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5" i="11" l="1"/>
  <c r="B2056" i="106" s="1"/>
  <c r="D2056" i="106" s="1"/>
  <c r="L13" i="11"/>
  <c r="B2060" i="106" s="1"/>
  <c r="D2060" i="106" s="1"/>
  <c r="F19" i="7"/>
  <c r="B1807" i="106" s="1"/>
  <c r="D1807" i="106" s="1"/>
  <c r="B281" i="106"/>
  <c r="D281"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L114" i="29" s="1"/>
  <c r="K33" i="29"/>
  <c r="B720" i="106"/>
  <c r="D720" i="106" s="1"/>
  <c r="C114" i="29"/>
  <c r="B757" i="106" s="1"/>
  <c r="D757"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L16" i="11"/>
  <c r="B2061" i="106" s="1"/>
  <c r="D2061"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<sst xmlns="http://schemas.openxmlformats.org/spreadsheetml/2006/main" count="5070" uniqueCount="2090">
  <si>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</si>
  <si>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</si>
  <si>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</si>
  <si>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</si>
  <si>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</si>
  <si>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</si>
  <si>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</si>
  <si>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</si>
  <si>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</si>
  <si>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</si>
  <si>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</si>
  <si>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</si>
  <si>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</si>
  <si>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</si>
  <si>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</si>
  <si>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</si>
  <si>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</si>
  <si>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</si>
  <si>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</si>
  <si>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</si>
  <si>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</si>
  <si>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</si>
  <si>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</si>
  <si>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</si>
  <si>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</si>
  <si>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</si>
  <si>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</si>
  <si>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</si>
  <si>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</si>
  <si>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</si>
  <si>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</si>
  <si>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</si>
  <si>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</si>
  <si>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</si>
  <si>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</si>
  <si>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</si>
  <si>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</si>
  <si>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</si>
  <si>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</si>
  <si>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</si>
  <si>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</si>
  <si>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</si>
  <si>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</si>
  <si>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</si>
  <si>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</si>
  <si>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</si>
  <si>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</si>
  <si>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</si>
  <si>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</si>
  <si>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</si>
  <si>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</si>
  <si>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</si>
  <si>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</si>
  <si>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</si>
  <si>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</si>
  <si>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</si>
  <si>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</si>
  <si>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</si>
  <si>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</si>
  <si>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</si>
  <si>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</si>
  <si>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</si>
  <si>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</si>
  <si>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</si>
  <si>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</si>
  <si>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</si>
  <si>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</si>
  <si>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</si>
  <si>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</si>
  <si>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</si>
  <si>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</si>
  <si>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</si>
  <si>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</si>
  <si>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</si>
  <si>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</si>
  <si>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</si>
  <si>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</si>
  <si>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</si>
  <si>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</si>
  <si>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</si>
  <si>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</si>
  <si>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</si>
  <si>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</si>
  <si>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</si>
  <si>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</si>
  <si>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</si>
  <si>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</si>
  <si>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</si>
  <si>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</si>
  <si>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</si>
  <si>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</si>
  <si>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</si>
  <si>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</si>
  <si>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</si>
  <si>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</si>
  <si>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</si>
  <si>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</si>
  <si>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</si>
  <si>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</si>
  <si>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</si>
  <si>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</si>
  <si>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</si>
  <si>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</si>
  <si>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</si>
  <si>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</si>
  <si>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</si>
  <si>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</si>
  <si>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</si>
  <si>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</si>
  <si>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</si>
  <si>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</si>
  <si>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</si>
  <si>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</si>
  <si>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</si>
  <si>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</si>
  <si>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</si>
  <si>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</si>
  <si>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</si>
  <si>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</si>
  <si>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</si>
  <si>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</si>
  <si>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</si>
  <si>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</si>
  <si>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</si>
  <si>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</si>
  <si>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</si>
  <si>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</si>
  <si>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</si>
  <si>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</si>
  <si>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</si>
  <si>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</si>
  <si>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</si>
  <si>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</si>
  <si>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</si>
  <si>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</si>
  <si>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</si>
  <si>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</si>
  <si>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</si>
  <si>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</si>
  <si>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</si>
  <si>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</si>
  <si>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</si>
  <si>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</si>
  <si>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</si>
  <si>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</si>
  <si>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</si>
  <si>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</si>
  <si>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</si>
  <si>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</si>
  <si>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</si>
  <si>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</si>
  <si>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</si>
  <si>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</si>
  <si>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</si>
  <si>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</si>
  <si>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</si>
  <si>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</si>
  <si>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</si>
  <si>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</si>
  <si>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</si>
  <si>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</si>
  <si>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</si>
  <si>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</si>
  <si>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</si>
  <si>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</si>
  <si>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</si>
  <si>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</si>
  <si>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</si>
  <si>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</si>
  <si>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</si>
  <si>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</si>
  <si>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</si>
  <si>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</si>
  <si>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</si>
  <si>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</si>
  <si>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</si>
  <si>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</si>
  <si>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</si>
  <si>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</si>
  <si>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</si>
  <si>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</si>
  <si>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</si>
  <si>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</si>
  <si>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</si>
  <si>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</si>
  <si>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</si>
  <si>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</si>
  <si>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</si>
  <si>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</si>
  <si>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</si>
  <si>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</si>
  <si>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</si>
  <si>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</si>
  <si>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</si>
  <si>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</si>
  <si>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</si>
  <si>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</si>
  <si>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</si>
  <si>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</si>
  <si>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</si>
  <si>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</si>
  <si>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</si>
  <si>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</si>
  <si>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</si>
  <si>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</si>
  <si>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</si>
  <si>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</si>
  <si>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</si>
  <si>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</si>
  <si>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</si>
  <si>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</si>
  <si>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</si>
  <si>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</si>
  <si>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</si>
  <si>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</si>
  <si>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</si>
  <si>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</si>
  <si>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</si>
  <si>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</si>
  <si>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</si>
  <si>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</si>
  <si>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</si>
  <si>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</si>
  <si>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</si>
  <si>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</si>
  <si>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</si>
  <si>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</si>
  <si>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</si>
  <si>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</si>
  <si>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</si>
  <si>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</si>
  <si>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</si>
  <si>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</si>
  <si>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</si>
  <si>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</si>
  <si>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</si>
  <si>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</si>
  <si>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</si>
  <si>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</si>
  <si>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</si>
  <si>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</si>
  <si>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</si>
  <si>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</si>
  <si>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</si>
  <si>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</si>
  <si>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</si>
  <si>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</si>
  <si>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</si>
  <si>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</si>
  <si>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</si>
  <si>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</si>
  <si>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</si>
  <si>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</si>
  <si>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</si>
  <si>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</si>
  <si>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</si>
  <si>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</si>
  <si>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</si>
  <si>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</si>
  <si>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</si>
  <si>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</si>
  <si>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</si>
  <si>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</si>
  <si>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</si>
  <si>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</si>
  <si>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</si>
  <si>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</si>
  <si>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</si>
  <si>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</si>
  <si>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</si>
  <si>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</si>
  <si>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</si>
  <si>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</si>
  <si>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</si>
  <si>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</si>
  <si>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</si>
  <si>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</si>
  <si>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</si>
  <si>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</si>
  <si>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</si>
  <si>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</si>
  <si>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</si>
  <si>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</si>
  <si>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</si>
  <si>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</si>
  <si>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</si>
  <si>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</si>
  <si>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</si>
  <si>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</si>
  <si>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</si>
  <si>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</si>
  <si>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</si>
  <si>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</si>
  <si>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</si>
  <si>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</si>
  <si>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</si>
  <si>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</si>
  <si>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</si>
  <si>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</si>
  <si>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</si>
  <si>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</si>
  <si>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</si>
  <si>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</si>
  <si>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</si>
  <si>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</si>
  <si>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</si>
  <si>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</si>
  <si>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</si>
  <si>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</si>
  <si>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</si>
  <si>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</si>
  <si>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</si>
  <si>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</si>
  <si>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</si>
  <si>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</si>
  <si>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</si>
  <si>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</si>
  <si>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</si>
  <si>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</si>
  <si>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</si>
  <si>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</si>
  <si>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</si>
  <si>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</si>
  <si>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</si>
  <si>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</si>
  <si>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</si>
  <si>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</si>
  <si>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</si>
  <si>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</si>
  <si>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</si>
  <si>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</si>
  <si>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</si>
  <si>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</si>
  <si>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</si>
  <si>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</si>
  <si>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</si>
  <si>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</si>
  <si>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</si>
  <si>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</si>
  <si>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</si>
  <si>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</si>
  <si>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</si>
  <si>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</si>
  <si>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</si>
  <si>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</si>
  <si>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</si>
  <si>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</si>
  <si>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</si>
  <si>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</si>
  <si>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</si>
  <si>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</si>
  <si>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</si>
  <si>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</si>
  <si>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</si>
  <si>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</si>
  <si>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</si>
  <si>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</si>
  <si>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</si>
  <si>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</si>
  <si>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</si>
  <si>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</si>
  <si>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</si>
  <si>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</si>
  <si>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</si>
  <si>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</si>
  <si>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</si>
  <si>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</si>
  <si>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</si>
  <si>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</si>
  <si>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</si>
  <si>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</si>
  <si>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</si>
  <si>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</si>
  <si>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</si>
  <si>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</si>
  <si>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</si>
  <si>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</si>
  <si>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</si>
  <si>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</si>
  <si>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</si>
  <si>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</si>
  <si>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</si>
  <si>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</si>
  <si>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</si>
  <si>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</si>
  <si>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</si>
  <si>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</si>
  <si>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</si>
  <si>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</si>
  <si>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</si>
  <si>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</si>
  <si>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</si>
  <si>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</si>
  <si>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</si>
  <si>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</si>
  <si>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</si>
  <si>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</si>
  <si>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</si>
  <si>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</si>
  <si>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</si>
  <si>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</si>
  <si>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</si>
  <si>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</si>
  <si>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</si>
  <si>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</si>
  <si>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</si>
  <si>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</si>
  <si>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</si>
  <si>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</si>
  <si>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</si>
  <si>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</si>
  <si>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</si>
  <si>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</si>
  <si>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</si>
  <si>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</si>
  <si>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</si>
  <si>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</si>
  <si>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</si>
  <si>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</si>
  <si>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</si>
  <si>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</si>
  <si>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</si>
  <si>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</si>
  <si>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</si>
  <si>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</si>
  <si>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</si>
  <si>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</si>
  <si>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</si>
  <si>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</si>
  <si>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</si>
  <si>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</si>
  <si>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</si>
  <si>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</si>
  <si>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</si>
  <si>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</si>
  <si>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</si>
  <si>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</si>
  <si>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</si>
  <si>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</si>
  <si>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</si>
  <si>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</si>
  <si>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</si>
  <si>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</si>
  <si>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</si>
  <si>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</si>
  <si>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</si>
  <si>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</si>
  <si>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</si>
  <si>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</si>
  <si>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</si>
  <si>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</si>
  <si>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</si>
  <si>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</si>
  <si>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</si>
  <si>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</si>
  <si>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</si>
  <si>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</si>
  <si>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</si>
  <si>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</si>
  <si>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</si>
  <si>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</si>
  <si>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</si>
  <si>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</si>
  <si>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</si>
  <si>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</si>
  <si>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</si>
  <si>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</si>
  <si>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</si>
  <si>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</si>
  <si>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</si>
  <si>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</si>
  <si>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</si>
  <si>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</si>
  <si>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</si>
  <si>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</si>
  <si>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</si>
  <si>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</si>
  <si>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</si>
  <si>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</si>
  <si>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</si>
  <si>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</si>
  <si>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</si>
  <si>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</si>
  <si>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</si>
  <si>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</si>
  <si>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</si>
  <si>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</si>
  <si>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</si>
  <si>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</si>
  <si>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</si>
  <si>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</si>
  <si>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</si>
  <si>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</si>
  <si>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</si>
  <si>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</si>
  <si>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</si>
  <si>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</si>
  <si>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</si>
  <si>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</si>
  <si>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</si>
  <si>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</si>
  <si>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</si>
  <si>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</si>
  <si>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</si>
  <si>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</si>
  <si>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</si>
  <si>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</si>
  <si>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</si>
  <si>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</si>
  <si>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</si>
  <si>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</si>
  <si>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</si>
  <si>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</si>
  <si>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</si>
  <si>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</si>
  <si>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</si>
  <si>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</si>
  <si>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</si>
  <si>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</si>
  <si>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</si>
  <si>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</si>
  <si>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</si>
  <si>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</si>
  <si>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</si>
  <si>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</si>
  <si>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</si>
  <si>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</si>
  <si>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</si>
  <si>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</si>
  <si>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</si>
  <si>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</si>
  <si>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</si>
  <si>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</si>
  <si>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</si>
  <si>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</si>
  <si>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</si>
  <si>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</si>
  <si>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</si>
  <si>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</si>
  <si>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</si>
  <si>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</si>
  <si>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</si>
  <si>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</si>
  <si>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</si>
  <si>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</si>
  <si>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</si>
  <si>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</si>
  <si>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</si>
  <si>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</si>
  <si>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</si>
  <si>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</si>
  <si>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</si>
  <si>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</si>
  <si>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</si>
  <si>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</si>
  <si>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</si>
  <si>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</si>
  <si>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</si>
  <si>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</si>
  <si>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</si>
  <si>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</si>
  <si>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</si>
  <si>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</si>
  <si>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</si>
  <si>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</si>
  <si>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</si>
  <si>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</si>
  <si>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</si>
  <si>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</si>
  <si>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</si>
  <si>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</si>
  <si>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</si>
  <si>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</si>
  <si>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</si>
  <si>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</si>
  <si>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</si>
  <si>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</si>
  <si>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</si>
  <si>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</si>
  <si>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</si>
  <si>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</si>
  <si>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</si>
  <si>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</si>
  <si>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</si>
  <si>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</si>
  <si>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</si>
  <si>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</si>
  <si>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</si>
  <si>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</si>
  <si>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</si>
  <si>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</si>
  <si>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</si>
  <si>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</si>
  <si>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</si>
  <si>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</si>
  <si>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</si>
  <si>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</si>
  <si>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</si>
  <si>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</si>
  <si>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</si>
  <si>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</si>
  <si>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</si>
  <si>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</si>
  <si>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</si>
  <si>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</si>
  <si>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</si>
  <si>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</si>
  <si>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</si>
  <si>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</si>
  <si>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</si>
  <si>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</si>
  <si>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</si>
  <si>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</si>
  <si>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</si>
  <si>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</si>
  <si>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</si>
  <si>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</si>
  <si>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</si>
  <si>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</si>
  <si>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</si>
  <si>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</si>
  <si>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</si>
  <si>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</si>
  <si>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</si>
  <si>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</si>
  <si>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</si>
  <si>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</si>
  <si>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</si>
  <si>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</si>
  <si>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</si>
  <si>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</si>
  <si>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</si>
  <si>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</si>
  <si>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</si>
  <si>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</si>
  <si>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</si>
  <si>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</si>
  <si>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</si>
  <si>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</si>
  <si>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</si>
  <si>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</si>
  <si>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</si>
  <si>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</si>
  <si>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</si>
  <si>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</si>
  <si>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</si>
  <si>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</si>
  <si>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</si>
  <si>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</si>
  <si>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</si>
  <si>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</si>
  <si>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</si>
  <si>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</si>
  <si>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</si>
  <si>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</si>
  <si>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</si>
  <si>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</si>
  <si>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</si>
  <si>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</si>
  <si>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</si>
  <si>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</si>
  <si>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</si>
  <si>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</si>
  <si>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</si>
  <si>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</si>
  <si>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</si>
  <si>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</si>
  <si>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</si>
  <si>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</si>
  <si>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</si>
  <si>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</si>
  <si>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</si>
  <si>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</si>
  <si>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</si>
  <si>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</si>
  <si>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</si>
  <si>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</si>
  <si>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</si>
  <si>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</si>
  <si>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</si>
  <si>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</si>
  <si>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</si>
  <si>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</si>
  <si>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</si>
  <si>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</si>
  <si>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</si>
  <si>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</si>
  <si>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</si>
  <si>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</si>
  <si>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</si>
  <si>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</si>
  <si>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</si>
  <si>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</si>
  <si>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</si>
  <si>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</si>
  <si>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</si>
  <si>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</si>
  <si>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</si>
  <si>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</si>
  <si>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</si>
  <si>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</si>
  <si>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</si>
  <si>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</si>
  <si>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</si>
  <si>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</si>
  <si>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</si>
  <si>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</si>
  <si>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</si>
  <si>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</si>
  <si>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</si>
  <si>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</si>
  <si>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</si>
  <si>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</si>
  <si>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</si>
  <si>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</si>
  <si>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</si>
  <si>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</si>
  <si>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</si>
  <si>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</si>
  <si>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</si>
  <si>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</si>
  <si>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</si>
  <si>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</si>
  <si>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</si>
  <si>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</si>
  <si>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</si>
  <si>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</si>
  <si>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</si>
  <si>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</si>
  <si>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</si>
  <si>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</si>
  <si>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</si>
  <si>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</si>
  <si>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</si>
  <si>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</si>
  <si>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</si>
  <si>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</si>
  <si>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</si>
  <si>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</si>
  <si>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</si>
  <si>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</si>
  <si>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</si>
  <si>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</si>
  <si>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</si>
  <si>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</si>
  <si>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</si>
  <si>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</si>
  <si>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</si>
  <si>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</si>
  <si>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</si>
  <si>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</si>
  <si>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</si>
  <si>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</si>
  <si>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</si>
  <si>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</si>
  <si>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</si>
  <si>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</si>
  <si>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</si>
  <si>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</si>
  <si>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</si>
  <si>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</si>
  <si>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</si>
  <si>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</si>
  <si>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</si>
  <si>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</si>
  <si>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</si>
  <si>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</si>
  <si>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</si>
  <si>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</si>
  <si>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</si>
  <si>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</si>
  <si>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</si>
  <si>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</si>
  <si>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</si>
  <si>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</si>
  <si>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</si>
  <si>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</si>
  <si>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</si>
  <si>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</si>
  <si>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</si>
  <si>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</si>
  <si>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</si>
  <si>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</si>
  <si>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</si>
  <si>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</si>
  <si>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</si>
  <si>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</si>
  <si>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</si>
  <si>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</si>
  <si>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</si>
  <si>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</si>
  <si>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</si>
  <si>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</si>
  <si>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</si>
  <si>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</si>
  <si>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</si>
  <si>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</si>
  <si>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</si>
  <si>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</si>
  <si>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</si>
  <si>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</si>
  <si>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</si>
  <si>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</si>
  <si>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</si>
  <si>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</si>
  <si>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</si>
  <si>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</si>
  <si>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</si>
  <si>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</si>
  <si>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</si>
  <si>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</si>
  <si>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</si>
  <si>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</si>
  <si>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</si>
  <si>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</si>
  <si>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</si>
  <si>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</si>
  <si>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</si>
  <si>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</si>
  <si>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</si>
  <si>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</si>
  <si>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</si>
  <si>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</si>
  <si>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</si>
  <si>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</si>
  <si>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</si>
  <si>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</si>
  <si>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</si>
  <si>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</si>
  <si>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</si>
  <si>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</si>
  <si>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</si>
  <si>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</si>
  <si>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</si>
  <si>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</si>
  <si>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</si>
  <si>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</si>
  <si>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</si>
  <si>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</si>
  <si>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</si>
  <si>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</si>
  <si>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</si>
  <si>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</si>
  <si>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</si>
  <si>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</si>
  <si>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</si>
  <si>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</si>
  <si>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</si>
  <si>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</si>
  <si>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</si>
  <si>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</si>
  <si>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</si>
  <si>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</si>
  <si>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</si>
  <si>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</si>
  <si>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</si>
  <si>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</si>
  <si>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</si>
  <si>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</si>
  <si>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</si>
  <si>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</si>
  <si>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</si>
  <si>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</si>
  <si>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</si>
  <si>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</si>
  <si>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</si>
  <si>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</si>
  <si>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</si>
  <si>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</si>
  <si>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</si>
  <si>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</si>
  <si>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</si>
  <si>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</si>
  <si>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</si>
  <si>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</si>
  <si>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</si>
  <si>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</si>
  <si>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</si>
  <si>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</si>
  <si>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</si>
  <si>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</si>
  <si>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</si>
  <si>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</si>
  <si>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</si>
  <si>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</si>
  <si>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</si>
  <si>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</si>
  <si>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</si>
  <si>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</si>
  <si>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</si>
  <si>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</si>
  <si>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</si>
  <si>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</si>
  <si>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</si>
  <si>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</si>
  <si>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</si>
  <si>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</si>
  <si>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</si>
  <si>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</si>
  <si>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</si>
  <si>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</si>
  <si>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</si>
  <si>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</si>
  <si>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</si>
  <si>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</si>
  <si>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</si>
  <si>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</si>
  <si>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</si>
  <si>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</si>
  <si>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</si>
  <si>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</si>
  <si>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</si>
  <si>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</si>
  <si>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</si>
  <si>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</si>
  <si>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</si>
  <si>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</si>
  <si>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</si>
  <si>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</si>
  <si>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</si>
  <si>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</si>
  <si>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</si>
  <si>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</si>
  <si>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</si>
  <si>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</si>
  <si>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</si>
  <si>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</si>
  <si>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</si>
  <si>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</si>
  <si>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</si>
  <si>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</si>
  <si>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</si>
  <si>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</si>
  <si>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</si>
  <si>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</si>
  <si>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</si>
  <si>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</si>
  <si>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</si>
  <si>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</si>
  <si>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</si>
  <si>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</si>
  <si>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</si>
  <si>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</si>
  <si>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</si>
  <si>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</si>
  <si>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</si>
  <si>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</si>
  <si>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</si>
  <si>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</si>
  <si>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</si>
  <si>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</si>
  <si>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</si>
  <si>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</si>
  <si>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</si>
  <si>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</si>
  <si>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</si>
  <si>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</si>
  <si>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</si>
  <si>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</si>
  <si>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</si>
  <si>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</si>
  <si>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</si>
  <si>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</si>
  <si>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</si>
  <si>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</si>
  <si>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</si>
  <si>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</si>
  <si>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</si>
  <si>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</si>
  <si>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</si>
  <si>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</si>
  <si>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</si>
  <si>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</si>
  <si>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</si>
  <si>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</si>
  <si>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</si>
  <si>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</si>
  <si>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</si>
  <si>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</si>
  <si>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</si>
  <si>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</si>
  <si>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</si>
  <si>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</si>
  <si>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</si>
  <si>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</si>
  <si>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</si>
  <si>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</si>
  <si>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</si>
  <si>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</si>
  <si>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</si>
  <si>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</si>
  <si>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</si>
  <si>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</si>
  <si>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</si>
  <si>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</si>
  <si>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</si>
  <si>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</si>
  <si>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</si>
  <si>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</si>
  <si>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</si>
  <si>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</si>
  <si>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</si>
  <si>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</si>
  <si>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</si>
  <si>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</si>
  <si>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</si>
  <si>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</si>
  <si>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</si>
  <si>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</si>
  <si>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</si>
  <si>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</si>
  <si>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</si>
  <si>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</si>
  <si>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</si>
  <si>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</si>
  <si>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</si>
  <si>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</si>
  <si>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</si>
  <si>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</si>
  <si>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</si>
  <si>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</si>
  <si>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</si>
  <si>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</si>
  <si>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</si>
  <si>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</si>
  <si>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</si>
  <si>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</si>
  <si>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</si>
  <si>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</si>
  <si>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</si>
  <si>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</si>
  <si>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</si>
  <si>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</si>
  <si>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</si>
  <si>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</si>
  <si>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</si>
  <si>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</si>
  <si>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</si>
  <si>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</si>
  <si>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</si>
  <si>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</si>
  <si>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</si>
  <si>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</si>
  <si>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</si>
  <si>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</si>
  <si>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</si>
  <si>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</si>
  <si>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</si>
  <si>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</si>
  <si>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</si>
  <si>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</si>
  <si>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</si>
  <si>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</si>
  <si>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</si>
  <si>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</si>
  <si>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</si>
  <si>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</si>
  <si>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</si>
  <si>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</si>
  <si>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</si>
  <si>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</si>
  <si>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</si>
  <si>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</si>
  <si>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</si>
  <si>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</si>
  <si>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</si>
  <si>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</si>
  <si>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</si>
  <si>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</si>
  <si>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</si>
  <si>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</si>
  <si>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</si>
  <si>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</si>
  <si>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</si>
  <si>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</si>
  <si>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</si>
  <si>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</si>
  <si>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</si>
  <si>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</si>
  <si>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</si>
  <si>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</si>
  <si>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</si>
  <si>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</si>
  <si>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</si>
  <si>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</si>
  <si>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</si>
  <si>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</si>
  <si>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</si>
  <si>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</si>
  <si>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</si>
  <si>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</si>
  <si>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</si>
  <si>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</si>
  <si>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</si>
  <si>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</si>
  <si>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</si>
  <si>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</si>
  <si>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</si>
  <si>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</si>
  <si>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</si>
  <si>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</si>
  <si>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</si>
  <si>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</si>
  <si>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</si>
  <si>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</si>
  <si>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</si>
  <si>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</si>
  <si>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</si>
  <si>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</si>
  <si>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</si>
  <si>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</si>
  <si>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</si>
  <si>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</si>
  <si>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</si>
  <si>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</si>
  <si>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</si>
  <si>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</si>
  <si>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</si>
  <si>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</si>
  <si>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</si>
  <si>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</si>
  <si>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</si>
  <si>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</si>
  <si>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</si>
  <si>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</si>
  <si>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</si>
  <si>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</si>
  <si>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</si>
  <si>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</si>
  <si>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</si>
  <si>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</si>
  <si>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</si>
  <si>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</si>
  <si>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</si>
  <si>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</si>
  <si>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</si>
  <si>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</si>
  <si>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</si>
  <si>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</si>
  <si>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</si>
  <si>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</si>
  <si>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</si>
  <si>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</si>
  <si>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</si>
  <si>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</si>
  <si>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</si>
  <si>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</si>
  <si>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</si>
  <si>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</si>
  <si>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</si>
  <si>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</si>
  <si>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</si>
  <si>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</si>
  <si>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</si>
  <si>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</si>
  <si>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</si>
  <si>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</si>
  <si>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</si>
  <si>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</si>
  <si>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</si>
  <si>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</si>
  <si>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</si>
  <si>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</si>
  <si>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</si>
  <si>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</si>
  <si>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</si>
  <si>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</si>
  <si>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</si>
  <si>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</si>
  <si>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</si>
  <si>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</si>
  <si>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</si>
  <si>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</si>
  <si>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</si>
  <si>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</si>
  <si>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</si>
  <si>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</si>
  <si>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</si>
  <si>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</si>
  <si>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</si>
  <si>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</si>
  <si>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</si>
  <si>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</si>
  <si>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</si>
  <si>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</si>
  <si>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</si>
  <si>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</si>
  <si>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</si>
  <si>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</si>
  <si>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</si>
  <si>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</si>
  <si>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</si>
  <si>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</si>
  <si>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</si>
  <si>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</si>
  <si>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</si>
  <si>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</si>
  <si>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</si>
  <si>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</si>
  <si>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</si>
  <si>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</si>
  <si>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</si>
  <si>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</si>
  <si>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</si>
  <si>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</si>
  <si>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</si>
  <si>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</si>
  <si>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</si>
  <si>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</si>
  <si>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</si>
  <si>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</si>
  <si>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</si>
  <si>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</si>
  <si>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</si>
  <si>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</si>
  <si>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</si>
  <si>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</si>
  <si>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</si>
  <si>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</si>
  <si>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</si>
  <si>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</si>
  <si>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</si>
  <si>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</si>
  <si>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</si>
  <si>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</si>
  <si>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</si>
  <si>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</si>
  <si>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</si>
  <si>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</si>
  <si>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</si>
  <si>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</si>
  <si>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</si>
  <si>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</si>
  <si>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</si>
  <si>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</si>
  <si>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</si>
  <si>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</si>
  <si>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</si>
  <si>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</si>
  <si>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</si>
  <si>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</si>
  <si>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</si>
  <si>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</si>
  <si>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</si>
  <si>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</si>
  <si>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</si>
  <si>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</si>
  <si>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</si>
  <si>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</si>
  <si>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</si>
  <si>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</si>
  <si>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</si>
  <si>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</si>
  <si>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</si>
  <si>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</si>
  <si>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</si>
  <si>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</si>
  <si>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</si>
  <si>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</si>
  <si>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</si>
  <si>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</si>
  <si>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</si>
  <si>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</si>
  <si>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</si>
  <si>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</si>
  <si>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</si>
  <si>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</si>
  <si>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</si>
  <si>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</si>
  <si>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</si>
  <si>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</si>
  <si>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</si>
  <si>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</si>
  <si>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</si>
  <si>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</si>
  <si>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</si>
  <si>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</si>
  <si>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</si>
  <si>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</si>
  <si>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</si>
  <si>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</si>
  <si>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</si>
  <si>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</si>
  <si>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</si>
  <si>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</si>
  <si>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</si>
  <si>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</si>
  <si>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</si>
  <si>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</si>
  <si>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</si>
  <si>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</si>
  <si>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</si>
  <si>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</si>
  <si>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</si>
  <si>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</si>
  <si>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</si>
  <si>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</si>
  <si>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</si>
  <si>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</si>
  <si>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</si>
  <si>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</si>
  <si>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</si>
  <si>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</si>
  <si>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</si>
  <si>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</si>
  <si>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</si>
  <si>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</si>
  <si>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</si>
  <si>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</si>
  <si>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</si>
  <si>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</si>
  <si>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</si>
  <si>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</si>
  <si>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</si>
  <si>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</si>
  <si>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</si>
  <si>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</si>
  <si>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</si>
  <si>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</si>
  <si>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</si>
  <si>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</si>
  <si>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</si>
  <si>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</si>
  <si>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</si>
  <si>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</si>
  <si>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</si>
  <si>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</si>
  <si>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</si>
  <si>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</si>
  <si>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</si>
  <si>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</si>
  <si>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</si>
  <si>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</si>
  <si>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</si>
  <si>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</si>
  <si>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</si>
  <si>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</si>
  <si>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</si>
  <si>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</si>
  <si>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</si>
  <si>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</si>
  <si>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</si>
  <si>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</si>
  <si>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</si>
  <si>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</si>
  <si>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</si>
  <si>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</si>
  <si>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</si>
  <si>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</si>
  <si>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</si>
  <si>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</si>
  <si>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</si>
  <si>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</si>
  <si>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</si>
  <si>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</si>
  <si>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</si>
  <si>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</si>
  <si>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</si>
  <si>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</si>
  <si>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</si>
  <si>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</si>
  <si>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</si>
  <si>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</si>
  <si>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</si>
  <si>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</si>
  <si>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</si>
  <si>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</si>
  <si>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</si>
  <si>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</si>
  <si>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</si>
  <si>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</si>
  <si>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</si>
  <si>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</si>
  <si>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</si>
  <si>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</si>
  <si>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</si>
  <si>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</si>
  <si>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</si>
  <si>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</si>
  <si>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</si>
  <si>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</si>
  <si>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</si>
  <si>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</si>
  <si>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</si>
  <si>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</si>
  <si>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</si>
  <si>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</si>
  <si>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</si>
  <si>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</si>
  <si>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</si>
  <si>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</si>
  <si>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</si>
  <si>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</si>
  <si>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</si>
  <si>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</si>
  <si>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</si>
  <si>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</si>
  <si>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</si>
  <si>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</si>
  <si>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</si>
  <si>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</si>
  <si>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</si>
  <si>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</si>
  <si>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</si>
  <si>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</si>
  <si>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</si>
  <si>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</si>
  <si>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</si>
  <si>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</si>
  <si>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</si>
  <si>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</si>
  <si>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</si>
  <si>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</si>
  <si>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</si>
  <si>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</si>
  <si>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</si>
  <si>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</si>
  <si>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</si>
  <si>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</si>
  <si>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</si>
  <si>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</si>
  <si>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</si>
  <si>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</si>
  <si>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</si>
  <si>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</si>
  <si>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</si>
  <si>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</si>
  <si>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</si>
  <si>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</si>
  <si>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</si>
  <si>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</si>
  <si>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</si>
  <si>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</si>
  <si>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</si>
  <si>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</si>
  <si>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</si>
  <si>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</si>
  <si>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</si>
  <si>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</si>
  <si>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</si>
  <si>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</si>
  <si>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</si>
  <si>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</si>
  <si>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</si>
  <si>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</si>
  <si>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</si>
  <si>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</si>
  <si>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</si>
  <si>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</si>
  <si>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</si>
  <si>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</si>
  <si>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</si>
  <si>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</si>
  <si>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</si>
  <si>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</si>
  <si>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</si>
  <si>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</si>
  <si>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</si>
  <si>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</si>
  <si>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</si>
  <si>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</si>
  <si>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</si>
  <si>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</si>
  <si>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</si>
  <si>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</si>
  <si>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</si>
  <si>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</si>
  <si>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</si>
  <si>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</si>
  <si>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</si>
  <si>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</si>
  <si>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</si>
  <si>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</si>
  <si>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</si>
  <si>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</si>
  <si>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</si>
  <si>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</si>
  <si>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</si>
  <si>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</si>
  <si>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</si>
  <si>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</si>
  <si>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</si>
  <si>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</si>
  <si>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</si>
  <si>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</si>
  <si>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</si>
  <si>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</si>
  <si>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</si>
  <si>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</si>
  <si>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</si>
  <si>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</si>
  <si>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</si>
  <si>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</si>
  <si>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</si>
  <si>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</si>
  <si>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</si>
  <si>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</si>
  <si>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</si>
  <si>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</si>
  <si>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</si>
  <si>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</si>
  <si>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</si>
  <si>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</si>
  <si>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</si>
  <si>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</si>
  <si>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</si>
  <si>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</si>
  <si>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</si>
  <si>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</si>
  <si>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</si>
  <si>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</si>
  <si>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</si>
  <si>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</si>
  <si>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</si>
  <si>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</si>
  <si>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</si>
  <si>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</si>
  <si>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</si>
  <si>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</si>
  <si>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</si>
  <si>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</si>
  <si>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</si>
  <si>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</si>
  <si>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</si>
  <si>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</si>
  <si>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</si>
  <si>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</si>
  <si>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</si>
  <si>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</si>
  <si>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</si>
  <si>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</si>
  <si>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</si>
  <si>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</si>
  <si>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</si>
  <si>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</si>
  <si>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</si>
  <si>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</si>
  <si>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</si>
  <si>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</si>
  <si>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</si>
  <si>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</si>
  <si>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</si>
  <si>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</si>
  <si>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</si>
  <si>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</si>
  <si>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</si>
  <si>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</si>
  <si>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</si>
  <si>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</si>
  <si>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</si>
  <si>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</si>
  <si>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</si>
  <si>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</si>
  <si>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</si>
  <si>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</si>
  <si>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</si>
  <si>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</si>
  <si>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</si>
  <si>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</si>
  <si>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</si>
  <si>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</si>
  <si>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</si>
  <si>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</si>
  <si>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</si>
  <si>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</si>
  <si>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</si>
  <si>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</si>
  <si>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</si>
  <si>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</si>
  <si>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</si>
  <si>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</si>
  <si>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</si>
  <si>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</si>
  <si>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</si>
  <si>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</si>
  <si>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</si>
  <si>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</si>
  <si>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</si>
  <si>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</si>
  <si>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</si>
  <si>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</si>
  <si>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</si>
  <si>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</si>
  <si>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</si>
  <si>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</si>
  <si>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</si>
  <si>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</si>
  <si>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</si>
  <si>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</si>
  <si>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</si>
  <si>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</si>
  <si>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</si>
  <si>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</si>
  <si>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</si>
  <si>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</si>
  <si>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</si>
  <si>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</si>
  <si>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</si>
  <si>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</si>
  <si>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</si>
  <si>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</si>
  <si>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</si>
  <si>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</si>
  <si>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</si>
  <si>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</si>
  <si>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</si>
  <si>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</si>
  <si>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</si>
  <si>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</si>
  <si>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</si>
  <si>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</si>
  <si>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</si>
  <si>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</si>
  <si>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</si>
  <si>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</si>
  <si>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</si>
  <si>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</si>
  <si>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</si>
  <si>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</si>
  <si>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</si>
  <si>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</si>
  <si>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</si>
  <si>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</si>
  <si>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</si>
  <si>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</si>
  <si>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</si>
  <si>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</si>
  <si>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</si>
  <si>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</si>
  <si>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</si>
  <si>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</si>
  <si>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</si>
  <si>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</si>
  <si>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</si>
  <si>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</si>
  <si>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</si>
  <si>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</si>
  <si>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</si>
  <si>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</si>
  <si>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</si>
  <si>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</si>
  <si>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</si>
  <si>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</si>
  <si>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</si>
  <si>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</si>
  <si>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</si>
  <si>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</si>
  <si>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</si>
  <si>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</si>
  <si>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</si>
  <si>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</si>
  <si>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</si>
  <si>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</si>
  <si>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</si>
  <si>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</si>
  <si>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</si>
  <si>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</si>
  <si>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</si>
  <si>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</si>
  <si>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</si>
  <si>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</si>
  <si>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</si>
  <si>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</si>
  <si>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</si>
  <si>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</si>
  <si>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</si>
  <si>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</si>
  <si>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</si>
  <si>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</si>
  <si>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</si>
  <si>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</si>
  <si>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</si>
  <si>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</si>
  <si>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</si>
  <si>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</si>
  <si>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</si>
  <si>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</si>
  <si>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</si>
  <si>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</si>
  <si>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</si>
  <si>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</si>
  <si>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</si>
  <si>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</si>
  <si>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</si>
  <si>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</si>
  <si>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</si>
  <si>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</si>
  <si>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</si>
  <si>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</si>
  <si>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</si>
  <si>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</si>
  <si>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</si>
  <si>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</si>
  <si>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</si>
  <si>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</si>
  <si>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</si>
  <si>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</si>
  <si>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</si>
  <si>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</si>
  <si>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</si>
  <si>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</si>
  <si>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</si>
  <si>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</si>
  <si>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</si>
  <si>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</si>
  <si>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</si>
  <si>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</si>
  <si>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</si>
  <si>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</si>
  <si>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</si>
  <si>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</si>
  <si>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</si>
  <si>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</si>
  <si>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</si>
  <si>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</si>
  <si>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</si>
  <si>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</si>
  <si>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</si>
  <si>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</si>
  <si>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</si>
  <si>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</si>
  <si>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</si>
  <si>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</si>
  <si>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</si>
  <si>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</si>
  <si>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</si>
  <si>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</si>
  <si>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</si>
  <si>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</si>
  <si>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</si>
  <si>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</si>
  <si>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</si>
  <si>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</si>
  <si>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</si>
  <si>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</si>
  <si>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</si>
  <si>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</si>
  <si>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</si>
  <si>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</si>
  <si>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</si>
  <si>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</si>
  <si>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</si>
  <si>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</si>
  <si>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</si>
  <si>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</si>
  <si>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</si>
  <si>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</si>
  <si>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</si>
  <si>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</si>
  <si>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</si>
  <si>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</si>
  <si>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</si>
  <si>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</si>
  <si>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</si>
  <si>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</si>
  <si>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</si>
  <si>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</si>
  <si>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</si>
  <si>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</si>
  <si>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</si>
  <si>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</si>
  <si>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</si>
  <si>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</si>
  <si>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</si>
  <si>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</si>
  <si>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</si>
  <si>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</si>
  <si>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</si>
  <si>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</si>
  <si>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</si>
  <si>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</si>
  <si>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</si>
  <si>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</si>
  <si>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</si>
  <si>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</si>
  <si>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</si>
  <si>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</si>
  <si>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</si>
  <si>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</si>
  <si>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</si>
  <si>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</si>
  <si>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</si>
  <si>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</si>
  <si>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</si>
  <si>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</si>
  <si>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</si>
  <si>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</si>
  <si>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</si>
  <si>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</si>
  <si>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</si>
  <si>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</si>
  <si>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</si>
  <si>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</si>
  <si>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</si>
  <si>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</si>
  <si>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</si>
  <si>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</si>
  <si>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</si>
  <si>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</si>
  <si>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</si>
  <si>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</si>
  <si>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</si>
  <si>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</si>
  <si>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</si>
  <si>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</si>
  <si>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</si>
  <si>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</si>
  <si>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</si>
  <si>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</si>
  <si>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</si>
  <si>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</si>
  <si>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</si>
  <si>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</si>
  <si>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</si>
  <si>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</si>
  <si>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</si>
  <si>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</si>
  <si>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</si>
  <si>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</si>
  <si>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</si>
  <si>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</si>
  <si>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</si>
  <si>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</si>
  <si>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</si>
  <si>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</si>
  <si>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</si>
  <si>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</si>
  <si>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</si>
  <si>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</si>
  <si>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</si>
  <si>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</si>
  <si>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</si>
  <si>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</si>
  <si>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</si>
  <si>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</si>
  <si>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</si>
  <si>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</si>
  <si>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</si>
  <si>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</si>
  <si>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</si>
  <si>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</si>
  <si>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</si>
  <si>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</si>
  <si>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</si>
  <si>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</si>
  <si>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</si>
  <si>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</si>
  <si>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</si>
  <si>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</si>
  <si>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</si>
  <si>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</si>
  <si>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</si>
  <si>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</si>
  <si>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</si>
  <si>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</si>
  <si>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</si>
  <si>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</si>
  <si>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</si>
  <si>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</si>
  <si>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</si>
  <si>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</si>
  <si>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</si>
  <si>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</si>
  <si>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</si>
  <si>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</si>
  <si>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</si>
  <si>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</si>
  <si>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</si>
  <si>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</si>
  <si>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</si>
  <si>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</si>
  <si>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</si>
  <si>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</si>
  <si>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</si>
  <si>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</si>
  <si>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</si>
  <si>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</si>
  <si>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</si>
  <si>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</si>
  <si>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</si>
  <si>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</si>
  <si>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</si>
  <si>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</si>
  <si>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</si>
  <si>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</si>
  <si>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</si>
  <si>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</si>
  <si>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</si>
  <si>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</si>
  <si>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</si>
  <si>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</si>
  <si>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</si>
  <si>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</si>
  <si>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</si>
  <si>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</si>
  <si>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</si>
  <si>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</si>
  <si>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</si>
  <si>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</si>
  <si>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</si>
  <si>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</si>
  <si>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</si>
  <si>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</si>
  <si>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</si>
  <si>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</si>
  <si>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</si>
  <si>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</si>
  <si>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</si>
  <si>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</si>
  <si>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</si>
  <si>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</si>
  <si>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</si>
  <si>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</si>
  <si>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</si>
  <si>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</si>
  <si>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</si>
  <si>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</si>
  <si>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</si>
  <si>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</si>
  <si>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</si>
  <si>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</si>
  <si>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</si>
  <si>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</si>
  <si>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</si>
  <si>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</si>
  <si>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</si>
  <si>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</si>
  <si>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</si>
  <si>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</si>
  <si>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</si>
  <si>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</si>
  <si>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</si>
  <si>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</si>
  <si>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</si>
  <si>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</si>
  <si>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</si>
  <si>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</si>
  <si>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</si>
  <si>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</si>
  <si>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</si>
  <si>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</si>
  <si>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</si>
  <si>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</si>
  <si>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</si>
  <si>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</si>
  <si>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</si>
  <si>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</si>
  <si>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</si>
  <si>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</si>
  <si>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</si>
  <si>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</si>
  <si>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</si>
  <si>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</si>
  <si>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</si>
  <si>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</si>
  <si>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</si>
  <si>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</si>
  <si>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</si>
  <si>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</si>
  <si>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</si>
  <si>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</si>
  <si>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</si>
  <si>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</si>
  <si>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</si>
  <si>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</si>
  <si>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</si>
  <si>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</si>
  <si>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</si>
  <si>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</si>
  <si>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</si>
  <si>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</si>
  <si>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</si>
  <si>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</si>
  <si>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</si>
  <si>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</si>
  <si>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</si>
  <si>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</si>
  <si>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</si>
  <si>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</si>
  <si>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</si>
  <si>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</si>
  <si>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</si>
  <si>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</si>
  <si>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</si>
  <si>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</si>
  <si>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</si>
  <si>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</si>
  <si>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</si>
  <si>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</si>
  <si>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</si>
  <si>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</si>
  <si>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</si>
  <si>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</si>
  <si>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</si>
  <si>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</si>
  <si>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</si>
  <si>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</si>
  <si>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</si>
  <si>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</si>
  <si>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</si>
  <si>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</si>
  <si>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</si>
  <si>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</si>
  <si>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</si>
  <si>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</si>
  <si>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</si>
  <si>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</si>
  <si>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</si>
  <si>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</si>
  <si>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</si>
  <si>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</si>
  <si>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</si>
  <si>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</si>
  <si>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</si>
  <si>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</si>
  <si>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</si>
  <si>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</si>
  <si>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</si>
  <si>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</si>
  <si>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</si>
  <si>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</si>
  <si>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</si>
  <si>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</si>
  <si>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</si>
  <si>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</si>
  <si>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</si>
  <si>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</si>
  <si>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</si>
  <si>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</si>
  <si>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</si>
  <si>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</si>
  <si>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</si>
  <si>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</si>
  <si>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</si>
  <si>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</si>
  <si>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</si>
  <si>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</si>
  <si>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</si>
  <si>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</si>
  <si>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</si>
  <si>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</si>
  <si>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</si>
  <si>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</si>
  <si>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</si>
  <si>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</si>
  <si>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</si>
  <si>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</si>
  <si>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</si>
  <si>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</si>
  <si>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</si>
  <si>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</si>
  <si>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</si>
  <si>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</si>
  <si>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</si>
  <si>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</si>
  <si>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</si>
  <si>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</si>
  <si>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</si>
  <si>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</si>
  <si>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</si>
  <si>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</si>
  <si>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</si>
  <si>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</si>
  <si>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</si>
  <si>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</si>
  <si>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Livingston</t>
  </si>
  <si>
    <t>PO Box 117</t>
  </si>
  <si>
    <t>Graymont</t>
  </si>
  <si>
    <t>Dawn M Carlson</t>
  </si>
  <si>
    <t>207 W Jefferson St</t>
  </si>
  <si>
    <t>Bloomington</t>
  </si>
  <si>
    <t>IL</t>
  </si>
  <si>
    <t>(309) 828-6071</t>
  </si>
  <si>
    <t>(309) 827-2465</t>
  </si>
  <si>
    <t>Todd Bean</t>
  </si>
  <si>
    <t>(815) 743-5394</t>
  </si>
  <si>
    <t>X</t>
  </si>
  <si>
    <t>Shared Art Teacher with Cornell Grade School</t>
  </si>
  <si>
    <t>Outsourced Service: Livingston County Special Services Unit</t>
  </si>
  <si>
    <t>Pg. 10, Line 72: Sales to Pupils - Other; Account 10.1614; $1,040 - Milk Sales.</t>
  </si>
  <si>
    <t>Pg. 10, Line 81: Other District/School Activity Revenues; Account 10.1790; $4,394 - Miscellaneous Revenue.</t>
  </si>
  <si>
    <t>Pg. 11, Line 107: Other Local Revenues; Account 20.1999; $84 - Miscellaneous Revenue.</t>
  </si>
  <si>
    <t>N/A</t>
  </si>
  <si>
    <t>No Applicable Contracts</t>
  </si>
  <si>
    <t>n/a</t>
  </si>
  <si>
    <t>Unmodified</t>
  </si>
  <si>
    <t>MCK, CPAs &amp; Advisors</t>
  </si>
  <si>
    <t>066-005232</t>
  </si>
  <si>
    <t>MCK CPAs &amp; Advisors</t>
  </si>
  <si>
    <t>Rooks Creek CCSD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</si>
</sst>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xdr:row>
          <xdr:rowOff>47625</xdr:rowOff>
        </xdr:from>
        <xdr:to>
          <xdr:col>1</xdr:col>
          <xdr:colOff>981075</xdr:colOff>
          <xdr:row>5</xdr:row>
          <xdr:rowOff>85725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2064</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17053425004</v>
      </c>
      <c r="B13" s="2018"/>
      <c r="C13" s="2018"/>
      <c r="D13" s="2018"/>
      <c r="E13" s="2018"/>
      <c r="F13" s="2018"/>
      <c r="G13" s="2018"/>
      <c r="H13" s="2019"/>
      <c r="I13" s="31"/>
      <c r="J13" s="30"/>
      <c r="K13" s="28"/>
      <c r="L13" s="30"/>
      <c r="M13" s="30"/>
      <c r="N13" s="30"/>
      <c r="O13" s="30"/>
      <c r="P13" s="30"/>
      <c r="Q13" s="30"/>
      <c r="R13" s="30"/>
      <c r="S13" s="30"/>
      <c r="T13" s="2022" t="s">
        <v>2086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2068</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2089</v>
      </c>
      <c r="B17" s="1977"/>
      <c r="C17" s="1977"/>
      <c r="D17" s="1977"/>
      <c r="E17" s="1977"/>
      <c r="F17" s="1977"/>
      <c r="G17" s="1977"/>
      <c r="H17" s="2002"/>
      <c r="T17" s="2033" t="s">
        <v>2069</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2066</v>
      </c>
      <c r="B19" s="1962"/>
      <c r="C19" s="1962"/>
      <c r="D19" s="1962"/>
      <c r="E19" s="1962"/>
      <c r="F19" s="1962"/>
      <c r="G19" s="1962"/>
      <c r="H19" s="1942"/>
      <c r="I19" s="30"/>
      <c r="J19" s="99"/>
      <c r="K19" s="40"/>
      <c r="L19" s="38"/>
      <c r="M19" s="112" t="s">
        <v>315</v>
      </c>
      <c r="P19" s="27"/>
      <c r="Q19" s="27"/>
      <c r="R19" s="27"/>
      <c r="S19" s="31"/>
      <c r="T19" s="2016" t="s">
        <v>2070</v>
      </c>
      <c r="U19" s="1941"/>
      <c r="V19" s="1941"/>
      <c r="W19" s="1942"/>
      <c r="X19" s="2031" t="s">
        <v>2071</v>
      </c>
      <c r="Y19" s="2032"/>
      <c r="Z19" s="2029">
        <v>61701</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2067</v>
      </c>
      <c r="B21" s="1941"/>
      <c r="C21" s="1941"/>
      <c r="D21" s="1941"/>
      <c r="E21" s="1941"/>
      <c r="F21" s="1941"/>
      <c r="G21" s="1941"/>
      <c r="H21" s="1942"/>
      <c r="I21" s="1996" t="s">
        <v>678</v>
      </c>
      <c r="J21" s="1991"/>
      <c r="K21" s="1991"/>
      <c r="L21" s="1991"/>
      <c r="M21" s="1991"/>
      <c r="N21" s="1991"/>
      <c r="O21" s="1991"/>
      <c r="P21" s="1991"/>
      <c r="Q21" s="1991"/>
      <c r="R21" s="1991"/>
      <c r="S21" s="1997"/>
      <c r="T21" s="2040" t="s">
        <v>2072</v>
      </c>
      <c r="U21" s="2041"/>
      <c r="V21" s="2041"/>
      <c r="W21" s="2041"/>
      <c r="X21" s="2046" t="s">
        <v>2073</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2087</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61743</v>
      </c>
      <c r="B25" s="1941"/>
      <c r="C25" s="1941"/>
      <c r="D25" s="1941"/>
      <c r="E25" s="1941"/>
      <c r="F25" s="1941"/>
      <c r="G25" s="1941"/>
      <c r="H25" s="1942"/>
      <c r="I25" s="113"/>
      <c r="J25" s="1965"/>
      <c r="K25" s="1965"/>
      <c r="L25" s="1965"/>
      <c r="M25" s="1965"/>
      <c r="N25" s="1965"/>
      <c r="O25" s="1965"/>
      <c r="P25" s="1965"/>
      <c r="Q25" s="1965"/>
      <c r="R25" s="1965"/>
      <c r="S25" s="1966"/>
      <c r="T25" s="2036"/>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2074</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2075</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topLeftCell="A2"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571265</v>
      </c>
      <c r="C4" s="1524">
        <v>571301</v>
      </c>
      <c r="D4" s="1752">
        <f>B4-C4</f>
        <v>-36</v>
      </c>
      <c r="E4" s="1524">
        <v>606478</v>
      </c>
      <c r="F4" s="1752">
        <f>E4-C4</f>
        <v>35177</v>
      </c>
    </row>
    <row r="5" spans="1:6" ht="13.7" customHeight="1" x14ac:dyDescent="0.2">
      <c r="A5" s="715" t="s">
        <v>870</v>
      </c>
      <c r="B5" s="1750">
        <f>'Revenues 9-14'!D5</f>
        <v>49938</v>
      </c>
      <c r="C5" s="585">
        <v>49941</v>
      </c>
      <c r="D5" s="1753">
        <f t="shared" ref="D5:D18" si="0">B5-C5</f>
        <v>-3</v>
      </c>
      <c r="E5" s="585">
        <v>55000</v>
      </c>
      <c r="F5" s="1753">
        <f>E5-C5</f>
        <v>5059</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19975</v>
      </c>
      <c r="C7" s="585">
        <v>19977</v>
      </c>
      <c r="D7" s="1753">
        <f t="shared" si="0"/>
        <v>-2</v>
      </c>
      <c r="E7" s="585">
        <v>22000</v>
      </c>
      <c r="F7" s="1753">
        <f t="shared" si="1"/>
        <v>2023</v>
      </c>
    </row>
    <row r="8" spans="1:6" ht="13.7" customHeight="1" x14ac:dyDescent="0.2">
      <c r="A8" s="715" t="s">
        <v>1179</v>
      </c>
      <c r="B8" s="1750">
        <f>'Revenues 9-14'!G5</f>
        <v>13484</v>
      </c>
      <c r="C8" s="585">
        <v>13485</v>
      </c>
      <c r="D8" s="1753">
        <f t="shared" si="0"/>
        <v>-1</v>
      </c>
      <c r="E8" s="585">
        <v>10000</v>
      </c>
      <c r="F8" s="1753">
        <f t="shared" si="1"/>
        <v>-3485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19977</v>
      </c>
      <c r="C11" s="585">
        <v>19977</v>
      </c>
      <c r="D11" s="1753">
        <f t="shared" si="0"/>
        <v>0</v>
      </c>
      <c r="E11" s="585">
        <v>20000</v>
      </c>
      <c r="F11" s="1753">
        <f t="shared" si="1"/>
        <v>23</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13483</v>
      </c>
      <c r="C16" s="585">
        <v>13485</v>
      </c>
      <c r="D16" s="1753">
        <f t="shared" si="0"/>
        <v>-2</v>
      </c>
      <c r="E16" s="585">
        <v>10000</v>
      </c>
      <c r="F16" s="1753">
        <f t="shared" si="1"/>
        <v>-3485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688122</v>
      </c>
      <c r="C19" s="1751">
        <f>SUM(C4:C18)</f>
        <v>688166</v>
      </c>
      <c r="D19" s="1751">
        <f>SUM(D4:D18)</f>
        <v>-44</v>
      </c>
      <c r="E19" s="1751">
        <f>SUM(E4:E18)</f>
        <v>723478</v>
      </c>
      <c r="F19" s="1751">
        <f>SUM(F4:F18)</f>
        <v>35312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8"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c r="I3" s="764"/>
      <c r="J3" s="765">
        <v>26672</v>
      </c>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23652</v>
      </c>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23652</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v>23000</v>
      </c>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23000</v>
      </c>
      <c r="K23" s="1758">
        <f>SUM(K14:K16,K21,K22)</f>
        <v>0</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27324</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27324</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c r="F3" s="1760">
        <f>(C3+D3)-E3</f>
        <v>0</v>
      </c>
      <c r="G3" s="836"/>
      <c r="H3" s="835">
        <v>0</v>
      </c>
      <c r="I3" s="835">
        <v>0</v>
      </c>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2500</v>
      </c>
      <c r="D5" s="841">
        <v>0</v>
      </c>
      <c r="E5" s="841"/>
      <c r="F5" s="1760">
        <f>(C5+D5)-E5</f>
        <v>2500</v>
      </c>
      <c r="G5" s="837"/>
      <c r="H5" s="842"/>
      <c r="I5" s="842"/>
      <c r="J5" s="842"/>
      <c r="K5" s="793"/>
      <c r="L5" s="1769">
        <f>F5-K5</f>
        <v>2500</v>
      </c>
    </row>
    <row r="6" spans="1:14" ht="14.25" thickTop="1" thickBot="1" x14ac:dyDescent="0.25">
      <c r="A6" s="778" t="s">
        <v>1117</v>
      </c>
      <c r="B6" s="840">
        <v>222</v>
      </c>
      <c r="C6" s="765">
        <v>0</v>
      </c>
      <c r="D6" s="765">
        <v>0</v>
      </c>
      <c r="E6" s="765"/>
      <c r="F6" s="1760">
        <f>(C6+D6)-E6</f>
        <v>0</v>
      </c>
      <c r="G6" s="837">
        <v>50</v>
      </c>
      <c r="H6" s="765">
        <v>0</v>
      </c>
      <c r="I6" s="765">
        <v>0</v>
      </c>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214980</v>
      </c>
      <c r="D8" s="844">
        <v>23000</v>
      </c>
      <c r="E8" s="844"/>
      <c r="F8" s="1760">
        <f>(C8+D8)-E8</f>
        <v>237980</v>
      </c>
      <c r="G8" s="843">
        <v>50</v>
      </c>
      <c r="H8" s="765">
        <v>180074</v>
      </c>
      <c r="I8" s="765">
        <v>1506</v>
      </c>
      <c r="J8" s="765"/>
      <c r="K8" s="1769">
        <f>(H8+I8)-J8</f>
        <v>181580</v>
      </c>
      <c r="L8" s="1769">
        <f>F8-K8</f>
        <v>56400</v>
      </c>
    </row>
    <row r="9" spans="1:14" ht="14.25" thickTop="1" thickBot="1" x14ac:dyDescent="0.25">
      <c r="A9" s="778" t="s">
        <v>1119</v>
      </c>
      <c r="B9" s="840">
        <v>232</v>
      </c>
      <c r="C9" s="765">
        <v>0</v>
      </c>
      <c r="D9" s="765">
        <v>0</v>
      </c>
      <c r="E9" s="765"/>
      <c r="F9" s="1760">
        <f>(C9+D9)-E9</f>
        <v>0</v>
      </c>
      <c r="G9" s="843">
        <v>20</v>
      </c>
      <c r="H9" s="765">
        <v>0</v>
      </c>
      <c r="I9" s="765">
        <v>0</v>
      </c>
      <c r="J9" s="765"/>
      <c r="K9" s="1769">
        <f>(H9+I9)-J9</f>
        <v>0</v>
      </c>
      <c r="L9" s="1769">
        <f>F9-K9</f>
        <v>0</v>
      </c>
    </row>
    <row r="10" spans="1:14" ht="24" thickTop="1" thickBot="1" x14ac:dyDescent="0.25">
      <c r="A10" s="845" t="s">
        <v>1120</v>
      </c>
      <c r="B10" s="840">
        <v>240</v>
      </c>
      <c r="C10" s="846">
        <v>9822</v>
      </c>
      <c r="D10" s="846">
        <v>0</v>
      </c>
      <c r="E10" s="846"/>
      <c r="F10" s="1764">
        <f>(C10+D10)-E10</f>
        <v>9822</v>
      </c>
      <c r="G10" s="843">
        <v>20</v>
      </c>
      <c r="H10" s="847">
        <v>9822</v>
      </c>
      <c r="I10" s="847">
        <v>0</v>
      </c>
      <c r="J10" s="847"/>
      <c r="K10" s="1769">
        <f>(H10+I10)-J10</f>
        <v>9822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57107</v>
      </c>
      <c r="D12" s="844">
        <v>2057</v>
      </c>
      <c r="E12" s="844"/>
      <c r="F12" s="1760">
        <f>(C12+D12)-E12</f>
        <v>59164</v>
      </c>
      <c r="G12" s="843">
        <v>10</v>
      </c>
      <c r="H12" s="765">
        <v>56403</v>
      </c>
      <c r="I12" s="765">
        <v>834</v>
      </c>
      <c r="J12" s="765"/>
      <c r="K12" s="1769">
        <f>(H12+I12)-J12</f>
        <v>57237</v>
      </c>
      <c r="L12" s="1769">
        <f>F12-K12</f>
        <v>1927</v>
      </c>
    </row>
    <row r="13" spans="1:14" ht="14.25" thickTop="1" thickBot="1" x14ac:dyDescent="0.25">
      <c r="A13" s="848" t="s">
        <v>1122</v>
      </c>
      <c r="B13" s="840">
        <v>252</v>
      </c>
      <c r="C13" s="844">
        <v>78922</v>
      </c>
      <c r="D13" s="844">
        <v>4300</v>
      </c>
      <c r="E13" s="844"/>
      <c r="F13" s="1760">
        <f>(C13+D13)-E13</f>
        <v>83222</v>
      </c>
      <c r="G13" s="843">
        <v>5</v>
      </c>
      <c r="H13" s="765">
        <v>71397</v>
      </c>
      <c r="I13" s="765">
        <v>3886</v>
      </c>
      <c r="J13" s="765"/>
      <c r="K13" s="1769">
        <f>(H13+I13)-J13</f>
        <v>75283</v>
      </c>
      <c r="L13" s="1769">
        <f>F13-K13</f>
        <v>7939</v>
      </c>
    </row>
    <row r="14" spans="1:14" ht="14.25" thickTop="1" thickBot="1" x14ac:dyDescent="0.25">
      <c r="A14" s="848" t="s">
        <v>1123</v>
      </c>
      <c r="B14" s="840">
        <v>253</v>
      </c>
      <c r="C14" s="765">
        <v>12965</v>
      </c>
      <c r="D14" s="765">
        <v>883</v>
      </c>
      <c r="E14" s="765"/>
      <c r="F14" s="1760">
        <f>(C14+D14)-E14</f>
        <v>13848</v>
      </c>
      <c r="G14" s="843">
        <v>3</v>
      </c>
      <c r="H14" s="765">
        <v>12964</v>
      </c>
      <c r="I14" s="765">
        <v>245</v>
      </c>
      <c r="J14" s="765"/>
      <c r="K14" s="1769">
        <f>(H14+I14)-J14</f>
        <v>13209</v>
      </c>
      <c r="L14" s="1769">
        <f>F14-K14</f>
        <v>639</v>
      </c>
    </row>
    <row r="15" spans="1:14" ht="15" customHeight="1" thickTop="1" thickBot="1" x14ac:dyDescent="0.25">
      <c r="A15" s="1631" t="s">
        <v>528</v>
      </c>
      <c r="B15" s="1630">
        <v>260</v>
      </c>
      <c r="C15" s="844">
        <v>0</v>
      </c>
      <c r="D15" s="844">
        <v>0</v>
      </c>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376296</v>
      </c>
      <c r="D16" s="1760">
        <f>SUM(D3,D5:D6,D8:D10,D12:D15)</f>
        <v>30240</v>
      </c>
      <c r="E16" s="1760">
        <f>SUM(E3,E5:E6,E8:E10,E12:E15)</f>
        <v>0</v>
      </c>
      <c r="F16" s="1760">
        <f>SUM(F3,F5:F6,F8:F10,F12:F15)</f>
        <v>406536</v>
      </c>
      <c r="G16" s="843"/>
      <c r="H16" s="1760">
        <f>SUM(H3,H6,H8:H10,H12:H14,)</f>
        <v>330660</v>
      </c>
      <c r="I16" s="1760">
        <f>SUM(I3,I6,I8:I10,I12:I14,)</f>
        <v>6471</v>
      </c>
      <c r="J16" s="1760">
        <f>SUM(J3,J6,J8:J10,J12:J14,)</f>
        <v>0</v>
      </c>
      <c r="K16" s="1760">
        <f>(H16+I16)-J16</f>
        <v>337131</v>
      </c>
      <c r="L16" s="1760">
        <f>F16-K16</f>
        <v>69405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6471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75"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6"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641856</v>
      </c>
      <c r="G8" s="865"/>
    </row>
    <row r="9" spans="1:7" x14ac:dyDescent="0.2">
      <c r="A9" s="869" t="s">
        <v>460</v>
      </c>
      <c r="B9" s="870" t="s">
        <v>1877</v>
      </c>
      <c r="C9" s="871"/>
      <c r="D9" s="869" t="s">
        <v>501</v>
      </c>
      <c r="E9" s="868"/>
      <c r="F9" s="1909">
        <f>'Expenditures 15-22'!K151</f>
        <v>74304</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45687</v>
      </c>
      <c r="G11" s="872"/>
    </row>
    <row r="12" spans="1:7" x14ac:dyDescent="0.2">
      <c r="A12" s="869" t="s">
        <v>462</v>
      </c>
      <c r="B12" s="870" t="s">
        <v>1880</v>
      </c>
      <c r="C12" s="871"/>
      <c r="D12" s="869" t="s">
        <v>501</v>
      </c>
      <c r="E12" s="868"/>
      <c r="F12" s="1909">
        <f>'Expenditures 15-22'!K295</f>
        <v>22381</v>
      </c>
      <c r="G12" s="872"/>
    </row>
    <row r="13" spans="1:7" x14ac:dyDescent="0.2">
      <c r="A13" s="869" t="s">
        <v>106</v>
      </c>
      <c r="B13" s="870" t="s">
        <v>1881</v>
      </c>
      <c r="C13" s="871"/>
      <c r="D13" s="869" t="s">
        <v>501</v>
      </c>
      <c r="E13" s="868"/>
      <c r="F13" s="1909">
        <f>'Expenditures 15-22'!K342</f>
        <v>15396</v>
      </c>
      <c r="G13" s="873"/>
    </row>
    <row r="14" spans="1:7" ht="12" customHeight="1" thickBot="1" x14ac:dyDescent="0.25">
      <c r="A14" s="1770"/>
      <c r="B14" s="1771"/>
      <c r="C14" s="1772"/>
      <c r="D14" s="1773" t="s">
        <v>501</v>
      </c>
      <c r="E14" s="1774" t="s">
        <v>958</v>
      </c>
      <c r="F14" s="1775">
        <f>SUM(F8:F13)</f>
        <v>799624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33978</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33978</v>
      </c>
      <c r="G76" s="865"/>
    </row>
    <row r="77" spans="1:8" s="893" customFormat="1" ht="12" customHeight="1" thickTop="1" thickBot="1" x14ac:dyDescent="0.25">
      <c r="A77" s="1779"/>
      <c r="B77" s="1776"/>
      <c r="C77" s="1772"/>
      <c r="D77" s="1777" t="s">
        <v>1900</v>
      </c>
      <c r="E77" s="1774"/>
      <c r="F77" s="1780">
        <f>(F14-F76)</f>
        <v>765646</v>
      </c>
      <c r="G77" s="869"/>
    </row>
    <row r="78" spans="1:8" s="893" customFormat="1" ht="12" customHeight="1" thickTop="1" x14ac:dyDescent="0.2">
      <c r="A78" s="1781"/>
      <c r="B78" s="1776"/>
      <c r="C78" s="1772"/>
      <c r="D78" s="1777" t="s">
        <v>2062</v>
      </c>
      <c r="E78" s="1774"/>
      <c r="F78" s="898">
        <v>45.737000000000002</v>
      </c>
      <c r="G78" s="899"/>
      <c r="H78" s="869"/>
    </row>
    <row r="79" spans="1:8" s="893" customFormat="1" ht="12" customHeight="1" thickBot="1" x14ac:dyDescent="0.25">
      <c r="A79" s="1782"/>
      <c r="B79" s="1776"/>
      <c r="C79" s="1772"/>
      <c r="D79" s="1777" t="s">
        <v>1901</v>
      </c>
      <c r="E79" s="1774" t="s">
        <v>958</v>
      </c>
      <c r="F79" s="1783">
        <f>IF(F78&gt;0,F77/F78," Complete Line 78")</f>
        <v>16740.188468854536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12159</v>
      </c>
      <c r="G94" s="912"/>
    </row>
    <row r="95" spans="1:7" x14ac:dyDescent="0.2">
      <c r="A95" s="908" t="s">
        <v>140</v>
      </c>
      <c r="B95" s="908" t="s">
        <v>175</v>
      </c>
      <c r="C95" s="910">
        <v>1700</v>
      </c>
      <c r="D95" s="918" t="str">
        <f>'Revenues 9-14'!A82</f>
        <v>Total District/School Activity Income</v>
      </c>
      <c r="E95" s="906"/>
      <c r="F95" s="1789">
        <f>SUM('Revenues 9-14'!C82,'Revenues 9-14'!D82)</f>
        <v>4394</v>
      </c>
      <c r="G95" s="912"/>
    </row>
    <row r="96" spans="1:7" x14ac:dyDescent="0.2">
      <c r="A96" s="908" t="s">
        <v>459</v>
      </c>
      <c r="B96" s="908" t="s">
        <v>176</v>
      </c>
      <c r="C96" s="910">
        <f>'Revenues 9-14'!B84</f>
        <v>1811</v>
      </c>
      <c r="D96" s="911" t="str">
        <f>'Revenues 9-14'!A84</f>
        <v>Rentals - Regular Textbooks</v>
      </c>
      <c r="E96" s="906"/>
      <c r="F96" s="1789">
        <f>'Revenues 9-14'!C84</f>
        <v>765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26770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3521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11054</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994</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910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6797</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67541</v>
      </c>
    </row>
    <row r="175" spans="1:7" ht="12" customHeight="1" x14ac:dyDescent="0.2">
      <c r="A175" s="1770"/>
      <c r="B175" s="1784"/>
      <c r="C175" s="1785"/>
      <c r="D175" s="1786" t="s">
        <v>2057</v>
      </c>
      <c r="E175" s="1787"/>
      <c r="F175" s="1789">
        <f>'PCTC-OEPP 27-28'!F77-F174</f>
        <v>698105</v>
      </c>
    </row>
    <row r="176" spans="1:7" ht="12" customHeight="1" x14ac:dyDescent="0.2">
      <c r="A176" s="1770"/>
      <c r="B176" s="1784"/>
      <c r="C176" s="1785"/>
      <c r="D176" s="1786" t="s">
        <v>1817</v>
      </c>
      <c r="E176" s="1787"/>
      <c r="F176" s="1789">
        <f>'Cap Outlay Deprec 26'!I18</f>
        <v>6471</v>
      </c>
    </row>
    <row r="177" spans="1:7" ht="12" customHeight="1" x14ac:dyDescent="0.2">
      <c r="A177" s="1770"/>
      <c r="B177" s="1784"/>
      <c r="C177" s="1785"/>
      <c r="D177" s="1786" t="s">
        <v>2058</v>
      </c>
      <c r="E177" s="1787"/>
      <c r="F177" s="1789">
        <f>F175+F176</f>
        <v>704576</v>
      </c>
    </row>
    <row r="178" spans="1:7" ht="12" customHeight="1" x14ac:dyDescent="0.2">
      <c r="A178" s="1770"/>
      <c r="B178" s="1790"/>
      <c r="C178" s="1785"/>
      <c r="D178" s="1786" t="str">
        <f>D78</f>
        <v>9 Month ADA from District Average Daily Attendance/Prior General State Aid Inquiry 2018-2019</v>
      </c>
      <c r="E178" s="1787"/>
      <c r="F178" s="1791">
        <f>'PCTC-OEPP 27-28'!F78</f>
        <v>45.737000000000002</v>
      </c>
      <c r="G178" s="930"/>
    </row>
    <row r="179" spans="1:7" ht="12" customHeight="1" thickBot="1" x14ac:dyDescent="0.25">
      <c r="A179" s="1770"/>
      <c r="B179" s="1790"/>
      <c r="C179" s="1785"/>
      <c r="D179" s="1786" t="s">
        <v>2059</v>
      </c>
      <c r="E179" s="1787" t="s">
        <v>1545</v>
      </c>
      <c r="F179" s="1792">
        <f>F177/F178</f>
        <v>15404.945667621399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topLeftCell="A7" zoomScaleNormal="100" workbookViewId="0">
      <selection activeCell="D18" sqref="D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8" t="s">
        <v>2082</v>
      </c>
      <c r="C17" s="1939" t="s">
        <v>2082</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16732</v>
      </c>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389857</v>
      </c>
      <c r="F19" s="1799"/>
      <c r="G19" s="1801">
        <f>'Expenditures 15-22'!K33-SUM('Expenditures 15-22'!G33,'Expenditures 15-22'!I33)+'Expenditures 15-22'!D229</f>
        <v>389857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14566</v>
      </c>
      <c r="F21" s="1802"/>
      <c r="G21" s="1805">
        <f>'Expenditures 15-22'!K42-SUM('Expenditures 15-22'!G42,'Expenditures 15-22'!I42)+'Expenditures 15-22'!K120-SUM('Expenditures 15-22'!G120,'Expenditures 15-22'!I120)+'Expenditures 15-22'!K180-SUM('Expenditures 15-22'!G180,'Expenditures 15-22'!I180)+'Expenditures 15-22'!D238</f>
        <v>14566</v>
      </c>
      <c r="H21" s="987"/>
      <c r="I21" s="162"/>
    </row>
    <row r="22" spans="1:9" s="668" customFormat="1" ht="12" customHeight="1" x14ac:dyDescent="0.2">
      <c r="A22" s="994" t="s">
        <v>564</v>
      </c>
      <c r="B22" s="995"/>
      <c r="C22" s="993">
        <v>2200</v>
      </c>
      <c r="D22" s="1802"/>
      <c r="E22" s="1804">
        <f>'Expenditures 15-22'!K47-SUM('Expenditures 15-22'!G47,'Expenditures 15-22'!I47)+'Expenditures 15-22'!D243</f>
        <v>906</v>
      </c>
      <c r="F22" s="1802"/>
      <c r="G22" s="1805">
        <f>'Expenditures 15-22'!K47-SUM('Expenditures 15-22'!G47,'Expenditures 15-22'!I47)+'Expenditures 15-22'!D243</f>
        <v>906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201926</v>
      </c>
      <c r="F23" s="1802"/>
      <c r="G23" s="1804">
        <f>'Expenditures 15-22'!K53-SUM('Expenditures 15-22'!G53,'Expenditures 15-22'!I53)+'Expenditures 15-22'!D257+'Expenditures 15-22'!K330-SUM('Expenditures 15-22'!G330,'Expenditures 15-22'!I330)</f>
        <v>201926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78275</v>
      </c>
      <c r="F28" s="1806">
        <f>'Expenditures 15-22'!K61-SUM('Expenditures 15-22'!G61,'Expenditures 15-22'!I61)+'Expenditures 15-22'!K124-SUM('Expenditures 15-22'!G124,'Expenditures 15-22'!I124)+'Expenditures 15-22'!D266-E9</f>
        <v>78275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47285</v>
      </c>
      <c r="F29" s="1802"/>
      <c r="G29" s="1805">
        <f>'Expenditures 15-22'!K62-SUM('Expenditures 15-22'!G62,'Expenditures 15-22'!I62)+'Expenditures 15-22'!K125-SUM('Expenditures 15-22'!G125,'Expenditures 15-22'!I125)+'Expenditures 15-22'!K182-SUM('Expenditures 15-22'!G182,'Expenditures 15-22'!I182)+'Expenditures 15-22'!D267</f>
        <v>47285</v>
      </c>
      <c r="H29" s="985"/>
    </row>
    <row r="30" spans="1:9" ht="12" customHeight="1" x14ac:dyDescent="0.2">
      <c r="A30" s="994" t="s">
        <v>100</v>
      </c>
      <c r="B30" s="997"/>
      <c r="C30" s="993">
        <v>2560</v>
      </c>
      <c r="D30" s="1802"/>
      <c r="E30" s="1804">
        <f>'Expenditures 15-22'!K63-SUM('Expenditures 15-22'!G63,'Expenditures 15-22'!I63)+'Expenditures 15-22'!D268-E10</f>
        <v>16099</v>
      </c>
      <c r="F30" s="1802"/>
      <c r="G30" s="1804">
        <f>'Expenditures 15-22'!K63-SUM('Expenditures 15-22'!G63,'Expenditures 15-22'!I63)+'Expenditures 15-22'!D268-E10</f>
        <v>16099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748914</v>
      </c>
      <c r="F41" s="1806">
        <f>SUM(F19:F39)</f>
        <v>78275</v>
      </c>
      <c r="G41" s="1806">
        <f>SUM(G19:G40)</f>
        <v>670639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0</v>
      </c>
      <c r="F43" s="1807" t="s">
        <v>473</v>
      </c>
      <c r="G43" s="1808">
        <f>F41</f>
        <v>78275</v>
      </c>
    </row>
    <row r="44" spans="1:7" ht="12" customHeight="1" x14ac:dyDescent="0.2">
      <c r="A44" s="987"/>
      <c r="B44" s="162"/>
      <c r="C44" s="1001"/>
      <c r="D44" s="1807" t="s">
        <v>474</v>
      </c>
      <c r="E44" s="1808">
        <f>E41</f>
        <v>748914</v>
      </c>
      <c r="F44" s="1807" t="s">
        <v>474</v>
      </c>
      <c r="G44" s="1808">
        <f>G41</f>
        <v>670639</v>
      </c>
    </row>
    <row r="45" spans="1:7" ht="12" customHeight="1" x14ac:dyDescent="0.2">
      <c r="A45" s="987"/>
      <c r="B45" s="162"/>
      <c r="C45" s="162"/>
      <c r="D45" s="1809" t="s">
        <v>1006</v>
      </c>
      <c r="E45" s="1810">
        <f>(E43/E44)</f>
        <v>0</v>
      </c>
      <c r="F45" s="1809" t="s">
        <v>1006</v>
      </c>
      <c r="G45" s="1810">
        <f>(G43/G44)</f>
        <v>0.11671704150817355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7" activePane="bottomLeft" state="frozen"/>
      <selection activeCell="A47" sqref="A47"/>
      <selection pane="bottomLeft" activeCell="G1" sqref="G1:G104857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Rooks Creek CCSD 425</v>
      </c>
      <c r="D6" s="2307"/>
      <c r="E6" s="2307"/>
      <c r="F6" s="1852"/>
    </row>
    <row r="7" spans="1:10" ht="11.25" customHeight="1" thickBot="1" x14ac:dyDescent="0.3">
      <c r="A7" s="1850"/>
      <c r="B7" s="1851"/>
      <c r="C7" s="2308">
        <f>COVER!A13</f>
        <v>17053425004</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2076</v>
      </c>
      <c r="D25" s="1865" t="s">
        <v>2076</v>
      </c>
      <c r="E25" s="1868" t="s">
        <v>2076</v>
      </c>
      <c r="F25" s="1867" t="s">
        <v>2077</v>
      </c>
      <c r="H25" s="1878">
        <f t="shared" si="0"/>
        <v>5</v>
      </c>
      <c r="I25" s="1878">
        <f t="shared" si="1"/>
        <v>5</v>
      </c>
      <c r="J25" s="1878">
        <f t="shared" si="2"/>
        <v>5</v>
      </c>
    </row>
    <row r="26" spans="1:12" ht="12" customHeight="1" x14ac:dyDescent="0.2">
      <c r="A26" s="1863" t="s">
        <v>1534</v>
      </c>
      <c r="B26" s="1864"/>
      <c r="C26" s="1865" t="s">
        <v>2076</v>
      </c>
      <c r="D26" s="1865" t="s">
        <v>2076</v>
      </c>
      <c r="E26" s="1868" t="s">
        <v>2076</v>
      </c>
      <c r="F26" s="1867" t="s">
        <v>2078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D17" sqref="D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Rooks Creek CCSD 425</v>
      </c>
      <c r="J6" s="2317"/>
      <c r="Q6" s="1664"/>
    </row>
    <row r="7" spans="1:17" x14ac:dyDescent="0.2">
      <c r="A7" s="2318" t="s">
        <v>869</v>
      </c>
      <c r="B7" s="2319"/>
      <c r="C7" s="2319"/>
      <c r="D7" s="2319"/>
      <c r="E7" s="2320"/>
      <c r="F7" s="1017"/>
      <c r="G7" s="1009"/>
      <c r="H7" s="1016" t="s">
        <v>372</v>
      </c>
      <c r="I7" s="2321">
        <f>COVER!A13</f>
        <v>17053425004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140337</v>
      </c>
      <c r="F12" s="1039"/>
      <c r="G12" s="1811">
        <f t="shared" ref="G12:G18" si="0">SUM(E12:F12)</f>
        <v>140337</v>
      </c>
      <c r="H12" s="1040">
        <v>144807</v>
      </c>
      <c r="I12" s="1039"/>
      <c r="J12" s="1811">
        <f t="shared" ref="J12:J18" si="1">SUM(H12:I12)</f>
        <v>144807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140337</v>
      </c>
      <c r="F19" s="1813">
        <f t="shared" si="2"/>
        <v>0</v>
      </c>
      <c r="G19" s="1813">
        <f t="shared" si="2"/>
        <v>140337</v>
      </c>
      <c r="H19" s="1813">
        <f t="shared" si="2"/>
        <v>144807</v>
      </c>
      <c r="I19" s="1813">
        <f t="shared" si="2"/>
        <v>0</v>
      </c>
      <c r="J19" s="1813">
        <f t="shared" si="2"/>
        <v>144807</v>
      </c>
    </row>
    <row r="20" spans="1:10" ht="13.5" thickTop="1" x14ac:dyDescent="0.2">
      <c r="A20" s="1035">
        <v>9</v>
      </c>
      <c r="B20" s="2328" t="s">
        <v>1981</v>
      </c>
      <c r="C20" s="2328"/>
      <c r="D20" s="2329"/>
      <c r="E20" s="1046"/>
      <c r="F20" s="1046"/>
      <c r="G20" s="1046"/>
      <c r="H20" s="1046"/>
      <c r="I20" s="1046"/>
      <c r="J20" s="1814">
        <f>IF(AND(G19&gt;0,J19&gt;0),(((J19-G19)/G19)),"Enter Budget Data")</f>
        <v>3.1851899356548877E-2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2079</v>
      </c>
    </row>
    <row r="6" spans="1:2" x14ac:dyDescent="0.2">
      <c r="A6" s="1068">
        <v>2</v>
      </c>
      <c r="B6" s="329" t="s">
        <v>2080</v>
      </c>
    </row>
    <row r="7" spans="1:2" x14ac:dyDescent="0.2">
      <c r="A7" s="1068">
        <v>3</v>
      </c>
      <c r="B7" s="329" t="s">
        <v>2081</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Rooks Creek CCSD 425</v>
      </c>
    </row>
    <row r="65" spans="2:2" x14ac:dyDescent="0.2">
      <c r="B65" s="1070">
        <f>COVER!A13</f>
        <v>17053425004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1</xdr:row>
                <xdr:rowOff>47625</xdr:rowOff>
              </from>
              <to>
                <xdr:col>1</xdr:col>
                <xdr:colOff>981075</xdr:colOff>
                <xdr:row>5</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654349</v>
      </c>
      <c r="C8" s="1815">
        <f>'Acct Summary 7-8'!D8</f>
        <v>54101</v>
      </c>
      <c r="D8" s="1815">
        <f>'Acct Summary 7-8'!F8</f>
        <v>46746</v>
      </c>
      <c r="E8" s="1815">
        <f>'Acct Summary 7-8'!I8</f>
        <v>0</v>
      </c>
      <c r="F8" s="1815">
        <f>SUM(B8:E8)</f>
        <v>755196</v>
      </c>
    </row>
    <row r="9" spans="1:8" s="1079" customFormat="1" ht="14.25" customHeight="1" thickBot="1" x14ac:dyDescent="0.25">
      <c r="A9" s="1078" t="s">
        <v>1369</v>
      </c>
      <c r="B9" s="1816">
        <f>'Acct Summary 7-8'!C17</f>
        <v>641856</v>
      </c>
      <c r="C9" s="1816">
        <f>'Acct Summary 7-8'!D17</f>
        <v>74304</v>
      </c>
      <c r="D9" s="1816">
        <f>'Acct Summary 7-8'!F17</f>
        <v>45687</v>
      </c>
      <c r="E9" s="1815"/>
      <c r="F9" s="1815">
        <f>SUM(B9:E9)</f>
        <v>761847</v>
      </c>
    </row>
    <row r="10" spans="1:8" s="1079" customFormat="1" ht="14.25" thickTop="1" thickBot="1" x14ac:dyDescent="0.25">
      <c r="A10" s="1080" t="s">
        <v>1370</v>
      </c>
      <c r="B10" s="1817">
        <f>(B8-B9)</f>
        <v>12493</v>
      </c>
      <c r="C10" s="1817">
        <f>(C8-C9)</f>
        <v>-20203</v>
      </c>
      <c r="D10" s="1817">
        <f>(D8-D9)</f>
        <v>1059</v>
      </c>
      <c r="E10" s="1816">
        <f>(E8-E9)</f>
        <v>0</v>
      </c>
      <c r="F10" s="1818">
        <f>SUM(F8-F9)</f>
        <v>-6651</v>
      </c>
    </row>
    <row r="11" spans="1:8" s="1079" customFormat="1" ht="14.25" thickTop="1" thickBot="1" x14ac:dyDescent="0.25">
      <c r="A11" s="1081" t="s">
        <v>1985</v>
      </c>
      <c r="B11" s="1819">
        <f>'Acct Summary 7-8'!C81</f>
        <v>443203</v>
      </c>
      <c r="C11" s="1819">
        <f>'Acct Summary 7-8'!D81</f>
        <v>268882</v>
      </c>
      <c r="D11" s="1819">
        <f>'Acct Summary 7-8'!F81</f>
        <v>253794</v>
      </c>
      <c r="E11" s="1819">
        <f>'Acct Summary 7-8'!I81</f>
        <v>0</v>
      </c>
      <c r="F11" s="1820">
        <f>SUM(B11:E11)</f>
        <v>965879</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17053425004</v>
      </c>
    </row>
    <row r="3" spans="1:2" x14ac:dyDescent="0.2">
      <c r="A3" t="s">
        <v>956</v>
      </c>
      <c r="B3" s="138" t="str">
        <f>COVER!A15</f>
        <v>Livingston</v>
      </c>
    </row>
    <row r="4" spans="1:2" x14ac:dyDescent="0.2">
      <c r="A4" t="s">
        <v>1007</v>
      </c>
      <c r="B4" s="138" t="str">
        <f>COVER!A17</f>
        <v>Rooks Creek CCSD 425</v>
      </c>
    </row>
    <row r="5" spans="1:2" x14ac:dyDescent="0.2">
      <c r="A5" t="s">
        <v>704</v>
      </c>
      <c r="B5" s="138" t="str">
        <f>COVER!A38</f>
        <v>Todd Bean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066-005232</v>
      </c>
    </row>
    <row r="16" spans="1:2" x14ac:dyDescent="0.2">
      <c r="A16" t="s">
        <v>422</v>
      </c>
      <c r="B16" s="138" t="str">
        <f>COVER!T13</f>
        <v>MCK, CPAs &amp; Advisors</v>
      </c>
    </row>
    <row r="17" spans="1:2" x14ac:dyDescent="0.2">
      <c r="A17" t="s">
        <v>884</v>
      </c>
      <c r="B17" s="138" t="str">
        <f>COVER!T15</f>
        <v>Dawn M Carlson</v>
      </c>
    </row>
    <row r="18" spans="1:2" x14ac:dyDescent="0.2">
      <c r="A18" t="s">
        <v>1150</v>
      </c>
      <c r="B18" s="138" t="str">
        <f>COVER!T17</f>
        <v>207 W Jefferson St</v>
      </c>
    </row>
    <row r="19" spans="1:2" x14ac:dyDescent="0.2">
      <c r="A19" t="s">
        <v>886</v>
      </c>
      <c r="B19" s="138">
        <f>COVER!T25</f>
        <v>0</v>
      </c>
    </row>
    <row r="20" spans="1:2" x14ac:dyDescent="0.2">
      <c r="A20" t="s">
        <v>887</v>
      </c>
      <c r="B20" s="138" t="str">
        <f>COVER!T19</f>
        <v>Bloomington</v>
      </c>
    </row>
    <row r="21" spans="1:2" x14ac:dyDescent="0.2">
      <c r="A21" t="s">
        <v>479</v>
      </c>
      <c r="B21" s="138" t="str">
        <f>COVER!X19</f>
        <v>IL</v>
      </c>
    </row>
    <row r="22" spans="1:2" x14ac:dyDescent="0.2">
      <c r="A22" t="s">
        <v>888</v>
      </c>
      <c r="B22" s="138">
        <f>COVER!Z19</f>
        <v>61701</v>
      </c>
    </row>
    <row r="23" spans="1:2" x14ac:dyDescent="0.2">
      <c r="A23" t="s">
        <v>1152</v>
      </c>
      <c r="B23" s="138" t="str">
        <f>COVER!T21</f>
        <v>(309) 828-6071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443203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443203</v>
      </c>
      <c r="D92" s="2" t="str">
        <f t="shared" si="0"/>
        <v>Error?</v>
      </c>
    </row>
    <row r="93" spans="1:4" x14ac:dyDescent="0.2">
      <c r="A93" s="5">
        <v>32</v>
      </c>
      <c r="B93" s="138">
        <f>'Assets-Liab 5-6'!C41</f>
        <v>443203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268882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268882</v>
      </c>
      <c r="D123" s="2" t="str">
        <f t="shared" si="0"/>
        <v>Error?</v>
      </c>
    </row>
    <row r="124" spans="1:4" x14ac:dyDescent="0.2">
      <c r="A124" s="5">
        <v>63</v>
      </c>
      <c r="B124" s="138">
        <f>'Assets-Liab 5-6'!D41</f>
        <v>268882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6989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6989</v>
      </c>
      <c r="D140" s="2" t="str">
        <f t="shared" si="1"/>
        <v>Error?</v>
      </c>
    </row>
    <row r="141" spans="1:4" x14ac:dyDescent="0.2">
      <c r="A141" s="5">
        <v>80</v>
      </c>
      <c r="B141" s="138">
        <f>'Assets-Liab 5-6'!E41</f>
        <v>6989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253794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253794</v>
      </c>
      <c r="D170" s="2" t="str">
        <f t="shared" si="1"/>
        <v>Error?</v>
      </c>
    </row>
    <row r="171" spans="1:4" x14ac:dyDescent="0.2">
      <c r="A171" s="5">
        <v>110</v>
      </c>
      <c r="B171" s="138">
        <f>'Assets-Liab 5-6'!F41</f>
        <v>253794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26260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26260</v>
      </c>
      <c r="D189" s="2" t="str">
        <f t="shared" si="1"/>
        <v>Error?</v>
      </c>
    </row>
    <row r="190" spans="1:4" x14ac:dyDescent="0.2">
      <c r="A190" s="5">
        <v>129</v>
      </c>
      <c r="B190" s="138">
        <f>'Assets-Liab 5-6'!G41</f>
        <v>26260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18185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18185</v>
      </c>
      <c r="D212" s="2" t="str">
        <f t="shared" si="2"/>
        <v>Error?</v>
      </c>
    </row>
    <row r="213" spans="1:4" x14ac:dyDescent="0.2">
      <c r="A213" s="12">
        <v>152</v>
      </c>
      <c r="B213" s="138">
        <f>'Assets-Liab 5-6'!H41</f>
        <v>18185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2500</v>
      </c>
      <c r="D273" s="2" t="str">
        <f t="shared" si="3"/>
        <v>Error?</v>
      </c>
    </row>
    <row r="274" spans="1:4" x14ac:dyDescent="0.2">
      <c r="A274" s="5">
        <v>213</v>
      </c>
      <c r="B274" s="138">
        <f>'Assets-Liab 5-6'!M17</f>
        <v>237980</v>
      </c>
      <c r="D274" s="2" t="str">
        <f t="shared" si="3"/>
        <v>Error?</v>
      </c>
    </row>
    <row r="275" spans="1:4" x14ac:dyDescent="0.2">
      <c r="A275" s="5">
        <v>214</v>
      </c>
      <c r="B275" s="138">
        <f>'Assets-Liab 5-6'!M18</f>
        <v>9822</v>
      </c>
      <c r="D275" s="2" t="str">
        <f t="shared" si="3"/>
        <v>Error?</v>
      </c>
    </row>
    <row r="276" spans="1:4" x14ac:dyDescent="0.2">
      <c r="A276" s="5">
        <v>215</v>
      </c>
      <c r="B276" s="138">
        <f>'Assets-Liab 5-6'!M19</f>
        <v>156234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406536</v>
      </c>
      <c r="C279" s="2" t="s">
        <v>573</v>
      </c>
      <c r="D279" s="2" t="str">
        <f t="shared" si="3"/>
        <v>Error?</v>
      </c>
    </row>
    <row r="280" spans="1:4" x14ac:dyDescent="0.2">
      <c r="A280" s="5">
        <v>219</v>
      </c>
      <c r="B280" s="138">
        <f>'Assets-Liab 5-6'!M40</f>
        <v>406536</v>
      </c>
      <c r="D280" s="2" t="str">
        <f t="shared" si="3"/>
        <v>Error?</v>
      </c>
    </row>
    <row r="281" spans="1:4" x14ac:dyDescent="0.2">
      <c r="A281" s="5">
        <v>220</v>
      </c>
      <c r="B281" s="138">
        <f>'Assets-Liab 5-6'!M41</f>
        <v>406536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353831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357981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14358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14358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126991</v>
      </c>
      <c r="D733" s="2" t="str">
        <f t="shared" si="10"/>
        <v>Error?</v>
      </c>
    </row>
    <row r="734" spans="1:4" x14ac:dyDescent="0.2">
      <c r="A734" s="5">
        <v>673</v>
      </c>
      <c r="B734" s="138">
        <f>'Expenditures 15-22'!C53</f>
        <v>126991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14278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14278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155627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513608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11924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11817</v>
      </c>
      <c r="D791" s="2" t="str">
        <f t="shared" si="11"/>
        <v>Error?</v>
      </c>
    </row>
    <row r="792" spans="1:4" x14ac:dyDescent="0.2">
      <c r="A792" s="5">
        <v>731</v>
      </c>
      <c r="B792" s="138">
        <f>'Expenditures 15-22'!D53</f>
        <v>11817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11817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23741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6909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7586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906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906</v>
      </c>
      <c r="C847" s="2" t="s">
        <v>573</v>
      </c>
      <c r="D847" s="2" t="str">
        <f t="shared" si="12"/>
        <v>Error?</v>
      </c>
    </row>
    <row r="848" spans="1:4" x14ac:dyDescent="0.2">
      <c r="A848" s="5">
        <v>787</v>
      </c>
      <c r="B848" s="138">
        <f>'Expenditures 15-22'!E49</f>
        <v>33972</v>
      </c>
      <c r="D848" s="2" t="str">
        <f t="shared" si="12"/>
        <v>Error?</v>
      </c>
    </row>
    <row r="849" spans="1:4" x14ac:dyDescent="0.2">
      <c r="A849" s="5">
        <v>788</v>
      </c>
      <c r="B849" s="138">
        <f>'Expenditures 15-22'!E50</f>
        <v>1529</v>
      </c>
      <c r="D849" s="2" t="str">
        <f t="shared" si="12"/>
        <v>Error?</v>
      </c>
    </row>
    <row r="850" spans="1:4" x14ac:dyDescent="0.2">
      <c r="A850" s="5">
        <v>789</v>
      </c>
      <c r="B850" s="138">
        <f>'Expenditures 15-22'!E53</f>
        <v>35501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36407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43993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2479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2479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16732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16732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19211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22512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4024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4024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33978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38002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375760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5032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380792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14358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14358</v>
      </c>
      <c r="C1115" s="2" t="s">
        <v>573</v>
      </c>
      <c r="D1115" s="2" t="str">
        <f t="shared" si="16"/>
        <v>Error?</v>
      </c>
    </row>
    <row r="1116" spans="1:4" x14ac:dyDescent="0.2">
      <c r="A1116" s="5">
        <v>1055</v>
      </c>
      <c r="B1116" s="138">
        <f>'Expenditures 15-22'!K44</f>
        <v>906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906</v>
      </c>
      <c r="C1119" s="2" t="s">
        <v>573</v>
      </c>
      <c r="D1119" s="2" t="str">
        <f t="shared" si="16"/>
        <v>Error?</v>
      </c>
    </row>
    <row r="1120" spans="1:4" x14ac:dyDescent="0.2">
      <c r="A1120" s="5">
        <v>1059</v>
      </c>
      <c r="B1120" s="138">
        <f>'Expenditures 15-22'!K49</f>
        <v>40475</v>
      </c>
      <c r="C1120" s="2" t="s">
        <v>573</v>
      </c>
      <c r="D1120" s="2" t="str">
        <f t="shared" si="16"/>
        <v>Error?</v>
      </c>
    </row>
    <row r="1121" spans="1:4" x14ac:dyDescent="0.2">
      <c r="A1121" s="5">
        <v>1060</v>
      </c>
      <c r="B1121" s="138">
        <f>'Expenditures 15-22'!K50</f>
        <v>140337</v>
      </c>
      <c r="C1121" s="2" t="s">
        <v>573</v>
      </c>
      <c r="D1121" s="2" t="str">
        <f t="shared" si="16"/>
        <v>Error?</v>
      </c>
    </row>
    <row r="1122" spans="1:4" x14ac:dyDescent="0.2">
      <c r="A1122" s="5">
        <v>1061</v>
      </c>
      <c r="B1122" s="138">
        <f>'Expenditures 15-22'!K53</f>
        <v>180812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31010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31010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227086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33978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641856</v>
      </c>
      <c r="C1152" s="2" t="s">
        <v>573</v>
      </c>
      <c r="D1152" s="2" t="str">
        <f t="shared" si="17"/>
        <v>Error?</v>
      </c>
    </row>
    <row r="1153" spans="1:4" x14ac:dyDescent="0.2">
      <c r="A1153" s="5">
        <v>1092</v>
      </c>
      <c r="B1153" s="138">
        <f>'Expenditures 15-22'!K115</f>
        <v>12493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31415</v>
      </c>
      <c r="D1221" s="2" t="str">
        <f t="shared" si="18"/>
        <v>Error?</v>
      </c>
    </row>
    <row r="1222" spans="1:4" x14ac:dyDescent="0.2">
      <c r="A1222" s="10">
        <v>1161</v>
      </c>
      <c r="D1222" s="2" t="str">
        <f t="shared" si="18"/>
        <v>OK</v>
      </c>
    </row>
    <row r="1223" spans="1:4" x14ac:dyDescent="0.2">
      <c r="A1223" s="5">
        <v>1162</v>
      </c>
      <c r="B1223" s="138">
        <f>'Expenditures 15-22'!C127</f>
        <v>31415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31415</v>
      </c>
      <c r="C1225" s="2" t="s">
        <v>573</v>
      </c>
      <c r="D1225" s="2" t="str">
        <f t="shared" si="18"/>
        <v>Error?</v>
      </c>
    </row>
    <row r="1226" spans="1:4" x14ac:dyDescent="0.2">
      <c r="A1226" s="5">
        <v>1165</v>
      </c>
      <c r="B1226" s="138">
        <f>'Expenditures 15-22'!C151</f>
        <v>31415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645</v>
      </c>
      <c r="D1229" s="2" t="str">
        <f t="shared" si="18"/>
        <v>Error?</v>
      </c>
    </row>
    <row r="1230" spans="1:4" x14ac:dyDescent="0.2">
      <c r="A1230" s="10">
        <v>1169</v>
      </c>
      <c r="D1230" s="2" t="str">
        <f t="shared" si="18"/>
        <v>OK</v>
      </c>
    </row>
    <row r="1231" spans="1:4" x14ac:dyDescent="0.2">
      <c r="A1231" s="5">
        <v>1170</v>
      </c>
      <c r="B1231" s="138">
        <f>'Expenditures 15-22'!D127</f>
        <v>645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645</v>
      </c>
      <c r="C1233" s="2" t="s">
        <v>573</v>
      </c>
      <c r="D1233" s="2" t="str">
        <f t="shared" si="18"/>
        <v>Error?</v>
      </c>
    </row>
    <row r="1234" spans="1:4" x14ac:dyDescent="0.2">
      <c r="A1234" s="5">
        <v>1173</v>
      </c>
      <c r="B1234" s="138">
        <f>'Expenditures 15-22'!D151</f>
        <v>645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25783</v>
      </c>
      <c r="D1237" s="2" t="str">
        <f t="shared" si="18"/>
        <v>Error?</v>
      </c>
    </row>
    <row r="1238" spans="1:4" x14ac:dyDescent="0.2">
      <c r="A1238" s="10">
        <v>1177</v>
      </c>
      <c r="D1238" s="2" t="str">
        <f t="shared" si="18"/>
        <v>OK</v>
      </c>
    </row>
    <row r="1239" spans="1:4" x14ac:dyDescent="0.2">
      <c r="A1239" s="5">
        <v>1178</v>
      </c>
      <c r="B1239" s="138">
        <f>'Expenditures 15-22'!E127</f>
        <v>25783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25783</v>
      </c>
      <c r="C1241" s="2" t="s">
        <v>573</v>
      </c>
      <c r="D1241" s="2" t="str">
        <f t="shared" si="18"/>
        <v>Error?</v>
      </c>
    </row>
    <row r="1242" spans="1:4" x14ac:dyDescent="0.2">
      <c r="A1242" s="5">
        <v>1181</v>
      </c>
      <c r="B1242" s="138">
        <f>'Expenditures 15-22'!E151</f>
        <v>25783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16461</v>
      </c>
      <c r="D1245" s="2" t="str">
        <f t="shared" si="18"/>
        <v>Error?</v>
      </c>
    </row>
    <row r="1246" spans="1:4" x14ac:dyDescent="0.2">
      <c r="A1246" s="10">
        <v>1185</v>
      </c>
      <c r="D1246" s="2" t="str">
        <f t="shared" si="18"/>
        <v>OK</v>
      </c>
    </row>
    <row r="1247" spans="1:4" x14ac:dyDescent="0.2">
      <c r="A1247" s="5">
        <v>1186</v>
      </c>
      <c r="B1247" s="138">
        <f>'Expenditures 15-22'!F127</f>
        <v>16461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16461</v>
      </c>
      <c r="C1249" s="2" t="s">
        <v>573</v>
      </c>
      <c r="D1249" s="2" t="str">
        <f t="shared" si="18"/>
        <v>Error?</v>
      </c>
    </row>
    <row r="1250" spans="1:4" x14ac:dyDescent="0.2">
      <c r="A1250" s="5">
        <v>1189</v>
      </c>
      <c r="B1250" s="138">
        <f>'Expenditures 15-22'!F151</f>
        <v>16461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74304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74304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74304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74304</v>
      </c>
      <c r="C1288" s="2" t="s">
        <v>573</v>
      </c>
      <c r="D1288" s="2" t="str">
        <f t="shared" si="19"/>
        <v>Error?</v>
      </c>
    </row>
    <row r="1289" spans="1:4" x14ac:dyDescent="0.2">
      <c r="A1289" s="5">
        <v>1228</v>
      </c>
      <c r="B1289" s="138">
        <f>'Expenditures 15-22'!K152</f>
        <v>-20203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17304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17304</v>
      </c>
      <c r="C1339" s="2" t="s">
        <v>573</v>
      </c>
      <c r="D1339" s="2" t="str">
        <f t="shared" si="19"/>
        <v>Error?</v>
      </c>
    </row>
    <row r="1340" spans="1:4" x14ac:dyDescent="0.2">
      <c r="A1340" s="5">
        <v>1279</v>
      </c>
      <c r="B1340" s="138">
        <f>'Expenditures 15-22'!C210</f>
        <v>17304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20877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20877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20877</v>
      </c>
      <c r="C1353" s="2" t="s">
        <v>573</v>
      </c>
      <c r="D1353" s="2" t="str">
        <f t="shared" si="20"/>
        <v>Error?</v>
      </c>
    </row>
    <row r="1354" spans="1:4" x14ac:dyDescent="0.2">
      <c r="A1354" s="5">
        <v>1293</v>
      </c>
      <c r="B1354" s="138">
        <f>'Expenditures 15-22'!F182</f>
        <v>7506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7506</v>
      </c>
      <c r="C1358" s="2" t="s">
        <v>573</v>
      </c>
      <c r="D1358" s="2" t="str">
        <f t="shared" si="20"/>
        <v>Error?</v>
      </c>
    </row>
    <row r="1359" spans="1:4" x14ac:dyDescent="0.2">
      <c r="A1359" s="5">
        <v>1298</v>
      </c>
      <c r="B1359" s="138">
        <f>'Expenditures 15-22'!F210</f>
        <v>7506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45687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45687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45687</v>
      </c>
      <c r="C1388" s="2" t="s">
        <v>573</v>
      </c>
      <c r="D1388" s="2" t="str">
        <f t="shared" si="20"/>
        <v>Error?</v>
      </c>
    </row>
    <row r="1389" spans="1:4" x14ac:dyDescent="0.2">
      <c r="A1389" s="5">
        <v>1328</v>
      </c>
      <c r="B1389" s="138">
        <f>'Expenditures 15-22'!K211</f>
        <v>1059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9065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5718</v>
      </c>
      <c r="D1423" s="2" t="str">
        <f t="shared" si="21"/>
        <v>Error?</v>
      </c>
    </row>
    <row r="1424" spans="1:4" x14ac:dyDescent="0.2">
      <c r="A1424" s="5">
        <v>1363</v>
      </c>
      <c r="B1424" s="138">
        <f>'Expenditures 15-22'!D257</f>
        <v>5718</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3971</v>
      </c>
      <c r="D1431" s="2" t="str">
        <f t="shared" si="21"/>
        <v>Error?</v>
      </c>
    </row>
    <row r="1432" spans="1:4" x14ac:dyDescent="0.2">
      <c r="A1432" s="5">
        <v>1371</v>
      </c>
      <c r="B1432" s="138">
        <f>'Expenditures 15-22'!D267</f>
        <v>1598</v>
      </c>
      <c r="D1432" s="2" t="str">
        <f t="shared" si="21"/>
        <v>Error?</v>
      </c>
    </row>
    <row r="1433" spans="1:4" x14ac:dyDescent="0.2">
      <c r="A1433" s="5">
        <v>1372</v>
      </c>
      <c r="B1433" s="138">
        <f>'Expenditures 15-22'!D268</f>
        <v>1821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7390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13316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22381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9065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208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208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5718</v>
      </c>
      <c r="C1487" s="2" t="s">
        <v>573</v>
      </c>
      <c r="D1487" s="2" t="str">
        <f t="shared" si="22"/>
        <v>Error?</v>
      </c>
    </row>
    <row r="1488" spans="1:4" x14ac:dyDescent="0.2">
      <c r="A1488" s="5">
        <v>1427</v>
      </c>
      <c r="B1488" s="138">
        <f>'Expenditures 15-22'!K257</f>
        <v>5718</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3971</v>
      </c>
      <c r="C1495" s="2" t="s">
        <v>573</v>
      </c>
      <c r="D1495" s="2" t="str">
        <f t="shared" si="22"/>
        <v>Error?</v>
      </c>
    </row>
    <row r="1496" spans="1:4" x14ac:dyDescent="0.2">
      <c r="A1496" s="5">
        <v>1435</v>
      </c>
      <c r="B1496" s="138">
        <f>'Expenditures 15-22'!K267</f>
        <v>1598</v>
      </c>
      <c r="C1496" s="2" t="s">
        <v>573</v>
      </c>
      <c r="D1496" s="2" t="str">
        <f t="shared" si="22"/>
        <v>Error?</v>
      </c>
    </row>
    <row r="1497" spans="1:4" x14ac:dyDescent="0.2">
      <c r="A1497" s="5">
        <v>1436</v>
      </c>
      <c r="B1497" s="138">
        <f>'Expenditures 15-22'!K268</f>
        <v>1821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7390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13316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22381</v>
      </c>
      <c r="C1517" s="2" t="s">
        <v>573</v>
      </c>
      <c r="D1517" s="2" t="str">
        <f t="shared" si="22"/>
        <v>Error?</v>
      </c>
    </row>
    <row r="1518" spans="1:4" x14ac:dyDescent="0.2">
      <c r="A1518" s="5">
        <v>1457</v>
      </c>
      <c r="B1518" s="138">
        <f>'Expenditures 15-22'!K296</f>
        <v>4590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23000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23000</v>
      </c>
      <c r="C1535" s="2" t="s">
        <v>573</v>
      </c>
      <c r="D1535" s="2" t="str">
        <f t="shared" ref="D1535:D1598" si="23">IF(ISBLANK(B1535),"OK",IF(A1535-B1535=0,"OK","Error?"))</f>
        <v>Error?</v>
      </c>
    </row>
    <row r="1536" spans="1:4" x14ac:dyDescent="0.2">
      <c r="A1536" s="5">
        <v>1475</v>
      </c>
      <c r="B1536" s="138">
        <f>'Expenditures 15-22'!E312</f>
        <v>23000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23000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23000</v>
      </c>
      <c r="C1559" s="2" t="s">
        <v>573</v>
      </c>
      <c r="D1559" s="2" t="str">
        <f t="shared" si="23"/>
        <v>Error?</v>
      </c>
    </row>
    <row r="1560" spans="1:4" x14ac:dyDescent="0.2">
      <c r="A1560" s="5">
        <v>1499</v>
      </c>
      <c r="B1560" s="138">
        <f>'Expenditures 15-22'!K312</f>
        <v>23000</v>
      </c>
      <c r="C1560" s="2" t="s">
        <v>573</v>
      </c>
      <c r="D1560" s="2" t="str">
        <f t="shared" si="23"/>
        <v>Error?</v>
      </c>
    </row>
    <row r="1561" spans="1:4" x14ac:dyDescent="0.2">
      <c r="A1561" s="5">
        <v>1500</v>
      </c>
      <c r="B1561" s="138">
        <f>'Expenditures 15-22'!K313</f>
        <v>652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430710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443203</v>
      </c>
      <c r="C1630" s="2" t="s">
        <v>573</v>
      </c>
      <c r="D1630" s="2" t="str">
        <f t="shared" si="24"/>
        <v>Error?</v>
      </c>
    </row>
    <row r="1631" spans="1:4" x14ac:dyDescent="0.2">
      <c r="A1631" s="5">
        <v>1570</v>
      </c>
      <c r="B1631" s="138">
        <f>'Acct Summary 7-8'!D79</f>
        <v>289085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268882</v>
      </c>
      <c r="C1644" s="2" t="s">
        <v>573</v>
      </c>
      <c r="D1644" s="2" t="str">
        <f t="shared" si="24"/>
        <v>Error?</v>
      </c>
    </row>
    <row r="1645" spans="1:4" x14ac:dyDescent="0.2">
      <c r="A1645" s="5">
        <v>1584</v>
      </c>
      <c r="B1645" s="138">
        <f>'Acct Summary 7-8'!E79</f>
        <v>6989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6989</v>
      </c>
      <c r="C1658" s="2" t="s">
        <v>573</v>
      </c>
      <c r="D1658" s="2" t="str">
        <f t="shared" si="24"/>
        <v>Error?</v>
      </c>
    </row>
    <row r="1659" spans="1:4" x14ac:dyDescent="0.2">
      <c r="A1659" s="5">
        <v>1598</v>
      </c>
      <c r="B1659" s="138">
        <f>'Acct Summary 7-8'!F79</f>
        <v>252735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253794</v>
      </c>
      <c r="C1672" s="2" t="s">
        <v>573</v>
      </c>
      <c r="D1672" s="2" t="str">
        <f t="shared" si="25"/>
        <v>Error?</v>
      </c>
    </row>
    <row r="1673" spans="1:4" x14ac:dyDescent="0.2">
      <c r="A1673" s="5">
        <v>1612</v>
      </c>
      <c r="B1673" s="138">
        <f>'Acct Summary 7-8'!G79</f>
        <v>21670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26260</v>
      </c>
      <c r="C1686" s="2" t="s">
        <v>573</v>
      </c>
      <c r="D1686" s="2" t="str">
        <f t="shared" si="25"/>
        <v>Error?</v>
      </c>
    </row>
    <row r="1687" spans="1:4" x14ac:dyDescent="0.2">
      <c r="A1687" s="5">
        <v>1626</v>
      </c>
      <c r="B1687" s="138">
        <f>'Acct Summary 7-8'!H79</f>
        <v>17533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18185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571265</v>
      </c>
      <c r="C1744" s="2" t="s">
        <v>573</v>
      </c>
      <c r="D1744" s="2" t="str">
        <f t="shared" si="26"/>
        <v>Error?</v>
      </c>
    </row>
    <row r="1745" spans="1:5" x14ac:dyDescent="0.2">
      <c r="A1745" s="5">
        <v>1684</v>
      </c>
      <c r="B1745" s="138">
        <f>'Tax Sched 23'!B5</f>
        <v>49938</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19975</v>
      </c>
      <c r="C1747" s="2" t="s">
        <v>573</v>
      </c>
      <c r="D1747" s="2" t="str">
        <f t="shared" si="26"/>
        <v>Error?</v>
      </c>
    </row>
    <row r="1748" spans="1:5" x14ac:dyDescent="0.2">
      <c r="A1748" s="5">
        <v>1687</v>
      </c>
      <c r="B1748" s="138">
        <f>'Tax Sched 23'!B8</f>
        <v>13484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19977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688122</v>
      </c>
      <c r="C1759" s="2" t="s">
        <v>573</v>
      </c>
      <c r="D1759" s="2" t="str">
        <f t="shared" si="26"/>
        <v>Error?</v>
      </c>
    </row>
    <row r="1760" spans="1:5" x14ac:dyDescent="0.2">
      <c r="A1760" s="5">
        <v>1699</v>
      </c>
      <c r="B1760" s="138">
        <f>'Tax Sched 23'!D4</f>
        <v>-36</v>
      </c>
      <c r="C1760" s="2" t="s">
        <v>573</v>
      </c>
      <c r="D1760" s="2" t="str">
        <f t="shared" si="26"/>
        <v>Error?</v>
      </c>
    </row>
    <row r="1761" spans="1:5" x14ac:dyDescent="0.2">
      <c r="A1761" s="5">
        <v>1700</v>
      </c>
      <c r="B1761" s="138">
        <f>'Tax Sched 23'!D5</f>
        <v>-3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-2</v>
      </c>
      <c r="C1763" s="2" t="s">
        <v>573</v>
      </c>
      <c r="D1763" s="2" t="str">
        <f t="shared" si="26"/>
        <v>Error?</v>
      </c>
    </row>
    <row r="1764" spans="1:5" x14ac:dyDescent="0.2">
      <c r="A1764" s="5">
        <v>1703</v>
      </c>
      <c r="B1764" s="138">
        <f>'Tax Sched 23'!D8</f>
        <v>-1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-44</v>
      </c>
      <c r="C1775" s="2" t="s">
        <v>573</v>
      </c>
      <c r="D1775" s="2" t="str">
        <f t="shared" si="26"/>
        <v>Error?</v>
      </c>
    </row>
    <row r="1776" spans="1:5" x14ac:dyDescent="0.2">
      <c r="A1776" s="5">
        <v>1715</v>
      </c>
      <c r="B1776" s="138">
        <f>'Tax Sched 23'!C4</f>
        <v>571301</v>
      </c>
      <c r="D1776" s="2" t="str">
        <f t="shared" si="26"/>
        <v>Error?</v>
      </c>
    </row>
    <row r="1777" spans="1:4" x14ac:dyDescent="0.2">
      <c r="A1777" s="5">
        <v>1716</v>
      </c>
      <c r="B1777" s="138">
        <f>'Tax Sched 23'!C5</f>
        <v>49941</v>
      </c>
      <c r="D1777" s="2" t="str">
        <f t="shared" si="26"/>
        <v>Error?</v>
      </c>
    </row>
    <row r="1778" spans="1:4" x14ac:dyDescent="0.2">
      <c r="A1778" s="5">
        <v>1717</v>
      </c>
      <c r="B1778" s="138">
        <f>'Tax Sched 23'!C6</f>
        <v>0</v>
      </c>
      <c r="D1778" s="2" t="str">
        <f t="shared" si="26"/>
        <v>Error?</v>
      </c>
    </row>
    <row r="1779" spans="1:4" x14ac:dyDescent="0.2">
      <c r="A1779" s="5">
        <v>1718</v>
      </c>
      <c r="B1779" s="138">
        <f>'Tax Sched 23'!C7</f>
        <v>19977</v>
      </c>
      <c r="D1779" s="2" t="str">
        <f t="shared" si="26"/>
        <v>Error?</v>
      </c>
    </row>
    <row r="1780" spans="1:4" x14ac:dyDescent="0.2">
      <c r="A1780" s="5">
        <v>1719</v>
      </c>
      <c r="B1780" s="138">
        <f>'Tax Sched 23'!C8</f>
        <v>13485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19977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688166</v>
      </c>
      <c r="C1791" s="2" t="s">
        <v>573</v>
      </c>
      <c r="D1791" s="2" t="str">
        <f t="shared" ref="D1791:D1854" si="27">IF(ISBLANK(B1791),"OK",IF(A1791-B1791=0,"OK","Error?"))</f>
        <v>Error?</v>
      </c>
    </row>
    <row r="1792" spans="1:4" x14ac:dyDescent="0.2">
      <c r="A1792" s="5">
        <v>1731</v>
      </c>
      <c r="B1792" s="138">
        <f>'Tax Sched 23'!F4</f>
        <v>35177</v>
      </c>
      <c r="C1792" s="2" t="s">
        <v>573</v>
      </c>
      <c r="D1792" s="2" t="str">
        <f t="shared" si="27"/>
        <v>Error?</v>
      </c>
    </row>
    <row r="1793" spans="1:4" x14ac:dyDescent="0.2">
      <c r="A1793" s="5">
        <v>1732</v>
      </c>
      <c r="B1793" s="138">
        <f>'Tax Sched 23'!F5</f>
        <v>5059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2023</v>
      </c>
      <c r="C1795" s="2" t="s">
        <v>573</v>
      </c>
      <c r="D1795" s="2" t="str">
        <f t="shared" si="27"/>
        <v>Error?</v>
      </c>
    </row>
    <row r="1796" spans="1:4" x14ac:dyDescent="0.2">
      <c r="A1796" s="5">
        <v>1735</v>
      </c>
      <c r="B1796" s="138">
        <f>'Tax Sched 23'!F8</f>
        <v>-3485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35312</v>
      </c>
      <c r="C1807" s="2" t="s">
        <v>573</v>
      </c>
      <c r="D1807" s="2" t="str">
        <f t="shared" si="27"/>
        <v>Error?</v>
      </c>
    </row>
    <row r="1808" spans="1:4" x14ac:dyDescent="0.2">
      <c r="A1808" s="5">
        <v>1747</v>
      </c>
      <c r="B1808" s="138">
        <f>'Tax Sched 23'!E4</f>
        <v>606478</v>
      </c>
      <c r="D1808" s="2" t="str">
        <f t="shared" si="27"/>
        <v>Error?</v>
      </c>
    </row>
    <row r="1809" spans="1:4" x14ac:dyDescent="0.2">
      <c r="A1809" s="5">
        <v>1748</v>
      </c>
      <c r="B1809" s="138">
        <f>'Tax Sched 23'!E5</f>
        <v>55000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22000</v>
      </c>
      <c r="D1811" s="2" t="str">
        <f t="shared" si="27"/>
        <v>Error?</v>
      </c>
    </row>
    <row r="1812" spans="1:4" x14ac:dyDescent="0.2">
      <c r="A1812" s="5">
        <v>1751</v>
      </c>
      <c r="B1812" s="138">
        <f>'Tax Sched 23'!E8</f>
        <v>10000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723478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v>
      </c>
      <c r="D2008" s="2" t="str">
        <f t="shared" si="30"/>
        <v>Error?</v>
      </c>
    </row>
    <row r="2009" spans="1:4" x14ac:dyDescent="0.2">
      <c r="A2009" s="5">
        <v>1948</v>
      </c>
      <c r="B2009" s="138">
        <f>'Cap Outlay Deprec 26'!C8</f>
        <v>214980</v>
      </c>
      <c r="D2009" s="2" t="str">
        <f t="shared" si="30"/>
        <v>Error?</v>
      </c>
    </row>
    <row r="2010" spans="1:4" x14ac:dyDescent="0.2">
      <c r="A2010" s="5">
        <v>1949</v>
      </c>
      <c r="B2010" s="138">
        <f>'Cap Outlay Deprec 26'!C10</f>
        <v>9822</v>
      </c>
      <c r="D2010" s="2" t="str">
        <f t="shared" si="30"/>
        <v>Error?</v>
      </c>
    </row>
    <row r="2011" spans="1:4" x14ac:dyDescent="0.2">
      <c r="A2011" s="5">
        <v>1950</v>
      </c>
      <c r="B2011" s="138">
        <f>'Cap Outlay Deprec 26'!C12</f>
        <v>57107</v>
      </c>
      <c r="D2011" s="2" t="str">
        <f t="shared" si="30"/>
        <v>Error?</v>
      </c>
    </row>
    <row r="2012" spans="1:4" x14ac:dyDescent="0.2">
      <c r="A2012" s="5">
        <v>1951</v>
      </c>
      <c r="B2012" s="138">
        <f>'Cap Outlay Deprec 26'!C13</f>
        <v>78922</v>
      </c>
      <c r="D2012" s="2" t="str">
        <f t="shared" si="30"/>
        <v>Error?</v>
      </c>
    </row>
    <row r="2013" spans="1:4" x14ac:dyDescent="0.2">
      <c r="A2013" s="5">
        <v>1952</v>
      </c>
      <c r="B2013" s="138">
        <f>'Cap Outlay Deprec 26'!C16</f>
        <v>376296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23000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2057</v>
      </c>
      <c r="D2017" s="2" t="str">
        <f t="shared" si="30"/>
        <v>Error?</v>
      </c>
    </row>
    <row r="2018" spans="1:4" x14ac:dyDescent="0.2">
      <c r="A2018" s="5">
        <v>1957</v>
      </c>
      <c r="B2018" s="138">
        <f>'Cap Outlay Deprec 26'!D13</f>
        <v>4300</v>
      </c>
      <c r="D2018" s="2" t="str">
        <f t="shared" si="30"/>
        <v>Error?</v>
      </c>
    </row>
    <row r="2019" spans="1:4" x14ac:dyDescent="0.2">
      <c r="A2019" s="5">
        <v>1958</v>
      </c>
      <c r="B2019" s="138">
        <f>'Cap Outlay Deprec 26'!D16</f>
        <v>30240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2500</v>
      </c>
      <c r="C2026" s="2" t="s">
        <v>573</v>
      </c>
      <c r="D2026" s="2" t="str">
        <f t="shared" si="30"/>
        <v>Error?</v>
      </c>
    </row>
    <row r="2027" spans="1:4" x14ac:dyDescent="0.2">
      <c r="A2027" s="5">
        <v>1966</v>
      </c>
      <c r="B2027" s="138">
        <f>'Cap Outlay Deprec 26'!F8</f>
        <v>237980</v>
      </c>
      <c r="C2027" s="2" t="s">
        <v>573</v>
      </c>
      <c r="D2027" s="2" t="str">
        <f t="shared" si="30"/>
        <v>Error?</v>
      </c>
    </row>
    <row r="2028" spans="1:4" x14ac:dyDescent="0.2">
      <c r="A2028" s="5">
        <v>1967</v>
      </c>
      <c r="B2028" s="138">
        <f>'Cap Outlay Deprec 26'!F10</f>
        <v>9822</v>
      </c>
      <c r="C2028" s="2" t="s">
        <v>573</v>
      </c>
      <c r="D2028" s="2" t="str">
        <f t="shared" si="30"/>
        <v>Error?</v>
      </c>
    </row>
    <row r="2029" spans="1:4" x14ac:dyDescent="0.2">
      <c r="A2029" s="5">
        <v>1968</v>
      </c>
      <c r="B2029" s="138">
        <f>'Cap Outlay Deprec 26'!F12</f>
        <v>59164</v>
      </c>
      <c r="C2029" s="2" t="s">
        <v>573</v>
      </c>
      <c r="D2029" s="2" t="str">
        <f t="shared" si="30"/>
        <v>Error?</v>
      </c>
    </row>
    <row r="2030" spans="1:4" x14ac:dyDescent="0.2">
      <c r="A2030" s="5">
        <v>1969</v>
      </c>
      <c r="B2030" s="138">
        <f>'Cap Outlay Deprec 26'!F13</f>
        <v>83222</v>
      </c>
      <c r="C2030" s="2" t="s">
        <v>573</v>
      </c>
      <c r="D2030" s="2" t="str">
        <f t="shared" si="30"/>
        <v>Error?</v>
      </c>
    </row>
    <row r="2031" spans="1:4" x14ac:dyDescent="0.2">
      <c r="A2031" s="5">
        <v>1970</v>
      </c>
      <c r="B2031" s="138">
        <f>'Cap Outlay Deprec 26'!F16</f>
        <v>406536</v>
      </c>
      <c r="C2031" s="2" t="s">
        <v>573</v>
      </c>
      <c r="D2031" s="2" t="str">
        <f t="shared" si="30"/>
        <v>Error?</v>
      </c>
    </row>
    <row r="2032" spans="1:4" x14ac:dyDescent="0.2">
      <c r="A2032" s="10">
        <v>1971</v>
      </c>
      <c r="D2032" s="2" t="str">
        <f t="shared" si="30"/>
        <v>OK</v>
      </c>
    </row>
    <row r="2033" spans="1:4" x14ac:dyDescent="0.2">
      <c r="A2033" s="5">
        <v>1972</v>
      </c>
      <c r="B2033" s="138">
        <f>'Cap Outlay Deprec 26'!H8</f>
        <v>180074</v>
      </c>
      <c r="D2033" s="2" t="str">
        <f t="shared" si="30"/>
        <v>Error?</v>
      </c>
    </row>
    <row r="2034" spans="1:4" x14ac:dyDescent="0.2">
      <c r="A2034" s="5">
        <v>1973</v>
      </c>
      <c r="B2034" s="138">
        <f>'Cap Outlay Deprec 26'!H10</f>
        <v>9822</v>
      </c>
      <c r="D2034" s="2" t="str">
        <f t="shared" si="30"/>
        <v>Error?</v>
      </c>
    </row>
    <row r="2035" spans="1:4" x14ac:dyDescent="0.2">
      <c r="A2035" s="5">
        <v>1974</v>
      </c>
      <c r="B2035" s="138">
        <f>'Cap Outlay Deprec 26'!H12</f>
        <v>56403</v>
      </c>
      <c r="D2035" s="2" t="str">
        <f t="shared" si="30"/>
        <v>Error?</v>
      </c>
    </row>
    <row r="2036" spans="1:4" x14ac:dyDescent="0.2">
      <c r="A2036" s="5">
        <v>1975</v>
      </c>
      <c r="B2036" s="138">
        <f>'Cap Outlay Deprec 26'!H13</f>
        <v>71397</v>
      </c>
      <c r="D2036" s="2" t="str">
        <f t="shared" si="30"/>
        <v>Error?</v>
      </c>
    </row>
    <row r="2037" spans="1:4" x14ac:dyDescent="0.2">
      <c r="A2037" s="5">
        <v>1976</v>
      </c>
      <c r="B2037" s="138">
        <f>'Cap Outlay Deprec 26'!H16</f>
        <v>330660</v>
      </c>
      <c r="C2037" s="2" t="s">
        <v>573</v>
      </c>
      <c r="D2037" s="2" t="str">
        <f t="shared" si="30"/>
        <v>Error?</v>
      </c>
    </row>
    <row r="2038" spans="1:4" x14ac:dyDescent="0.2">
      <c r="A2038" s="10">
        <v>1977</v>
      </c>
      <c r="D2038" s="2" t="str">
        <f t="shared" si="30"/>
        <v>OK</v>
      </c>
    </row>
    <row r="2039" spans="1:4" x14ac:dyDescent="0.2">
      <c r="A2039" s="5">
        <v>1978</v>
      </c>
      <c r="B2039" s="138">
        <f>'Cap Outlay Deprec 26'!I8</f>
        <v>1506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834</v>
      </c>
      <c r="D2041" s="2" t="str">
        <f t="shared" si="30"/>
        <v>Error?</v>
      </c>
    </row>
    <row r="2042" spans="1:4" x14ac:dyDescent="0.2">
      <c r="A2042" s="5">
        <v>1981</v>
      </c>
      <c r="B2042" s="138">
        <f>'Cap Outlay Deprec 26'!I13</f>
        <v>3886</v>
      </c>
      <c r="D2042" s="2" t="str">
        <f t="shared" si="30"/>
        <v>Error?</v>
      </c>
    </row>
    <row r="2043" spans="1:4" x14ac:dyDescent="0.2">
      <c r="A2043" s="5">
        <v>1982</v>
      </c>
      <c r="B2043" s="138">
        <f>'Cap Outlay Deprec 26'!I16</f>
        <v>6471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181580</v>
      </c>
      <c r="C2051" s="2" t="s">
        <v>573</v>
      </c>
      <c r="D2051" s="2" t="str">
        <f t="shared" si="31"/>
        <v>Error?</v>
      </c>
    </row>
    <row r="2052" spans="1:4" x14ac:dyDescent="0.2">
      <c r="A2052" s="5">
        <v>1991</v>
      </c>
      <c r="B2052" s="138">
        <f>'Cap Outlay Deprec 26'!K10</f>
        <v>9822</v>
      </c>
      <c r="C2052" s="2" t="s">
        <v>573</v>
      </c>
      <c r="D2052" s="2" t="str">
        <f t="shared" si="31"/>
        <v>Error?</v>
      </c>
    </row>
    <row r="2053" spans="1:4" x14ac:dyDescent="0.2">
      <c r="A2053" s="5">
        <v>1992</v>
      </c>
      <c r="B2053" s="138">
        <f>'Cap Outlay Deprec 26'!K12</f>
        <v>57237</v>
      </c>
      <c r="C2053" s="2" t="s">
        <v>573</v>
      </c>
      <c r="D2053" s="2" t="str">
        <f t="shared" si="31"/>
        <v>Error?</v>
      </c>
    </row>
    <row r="2054" spans="1:4" x14ac:dyDescent="0.2">
      <c r="A2054" s="5">
        <v>1993</v>
      </c>
      <c r="B2054" s="138">
        <f>'Cap Outlay Deprec 26'!K13</f>
        <v>75283</v>
      </c>
      <c r="C2054" s="2" t="s">
        <v>573</v>
      </c>
      <c r="D2054" s="2" t="str">
        <f t="shared" si="31"/>
        <v>Error?</v>
      </c>
    </row>
    <row r="2055" spans="1:4" x14ac:dyDescent="0.2">
      <c r="A2055" s="5">
        <v>1994</v>
      </c>
      <c r="B2055" s="138">
        <f>'Cap Outlay Deprec 26'!K16</f>
        <v>337131</v>
      </c>
      <c r="C2055" s="2" t="s">
        <v>573</v>
      </c>
      <c r="D2055" s="2" t="str">
        <f t="shared" si="31"/>
        <v>Error?</v>
      </c>
    </row>
    <row r="2056" spans="1:4" x14ac:dyDescent="0.2">
      <c r="A2056" s="5">
        <v>1995</v>
      </c>
      <c r="B2056" s="138">
        <f>'Cap Outlay Deprec 26'!L5</f>
        <v>2500</v>
      </c>
      <c r="C2056" s="2" t="s">
        <v>573</v>
      </c>
      <c r="D2056" s="2" t="str">
        <f t="shared" si="31"/>
        <v>Error?</v>
      </c>
    </row>
    <row r="2057" spans="1:4" x14ac:dyDescent="0.2">
      <c r="A2057" s="5">
        <v>1996</v>
      </c>
      <c r="B2057" s="138">
        <f>'Cap Outlay Deprec 26'!L8</f>
        <v>56400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1927</v>
      </c>
      <c r="C2059" s="2" t="s">
        <v>573</v>
      </c>
      <c r="D2059" s="2" t="str">
        <f t="shared" si="31"/>
        <v>Error?</v>
      </c>
    </row>
    <row r="2060" spans="1:4" x14ac:dyDescent="0.2">
      <c r="A2060" s="5">
        <v>1999</v>
      </c>
      <c r="B2060" s="138">
        <f>'Cap Outlay Deprec 26'!L13</f>
        <v>7939</v>
      </c>
      <c r="C2060" s="2" t="s">
        <v>573</v>
      </c>
      <c r="D2060" s="2" t="str">
        <f t="shared" si="31"/>
        <v>Error?</v>
      </c>
    </row>
    <row r="2061" spans="1:4" x14ac:dyDescent="0.2">
      <c r="A2061" s="5">
        <v>2000</v>
      </c>
      <c r="B2061" s="138">
        <f>'Cap Outlay Deprec 26'!L16</f>
        <v>69405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4160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4160</v>
      </c>
      <c r="C2088" s="2" t="s">
        <v>573</v>
      </c>
      <c r="D2088" s="2" t="str">
        <f t="shared" si="31"/>
        <v>Error?</v>
      </c>
    </row>
    <row r="2089" spans="1:4" x14ac:dyDescent="0.2">
      <c r="A2089" s="5">
        <v>2028</v>
      </c>
      <c r="B2089" s="138">
        <f>'Expenditures 15-22'!K92</f>
        <v>29818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606259</v>
      </c>
      <c r="C2551" s="2" t="s">
        <v>573</v>
      </c>
      <c r="D2551" s="2" t="str">
        <f t="shared" si="38"/>
        <v>Error?</v>
      </c>
    </row>
    <row r="2552" spans="1:4" x14ac:dyDescent="0.2">
      <c r="A2552" s="10">
        <v>2491</v>
      </c>
      <c r="D2552" s="2" t="str">
        <f t="shared" si="38"/>
        <v>OK</v>
      </c>
    </row>
    <row r="2553" spans="1:4" x14ac:dyDescent="0.2">
      <c r="A2553" s="5">
        <v>2492</v>
      </c>
      <c r="B2553" s="138">
        <f>'Acct Summary 7-8'!C6</f>
        <v>31611</v>
      </c>
      <c r="C2553" s="2" t="s">
        <v>573</v>
      </c>
      <c r="D2553" s="2" t="str">
        <f t="shared" si="38"/>
        <v>Error?</v>
      </c>
    </row>
    <row r="2554" spans="1:4" x14ac:dyDescent="0.2">
      <c r="A2554" s="5">
        <v>2493</v>
      </c>
      <c r="B2554" s="138">
        <f>'Acct Summary 7-8'!C7</f>
        <v>16479</v>
      </c>
      <c r="C2554" s="2" t="s">
        <v>573</v>
      </c>
      <c r="D2554" s="2" t="str">
        <f t="shared" si="38"/>
        <v>Error?</v>
      </c>
    </row>
    <row r="2555" spans="1:4" x14ac:dyDescent="0.2">
      <c r="A2555" s="5">
        <v>2494</v>
      </c>
      <c r="B2555" s="138">
        <f>'Acct Summary 7-8'!C8</f>
        <v>654349</v>
      </c>
      <c r="C2555" s="2" t="s">
        <v>573</v>
      </c>
      <c r="D2555" s="2" t="str">
        <f t="shared" si="38"/>
        <v>Error?</v>
      </c>
    </row>
    <row r="2556" spans="1:4" x14ac:dyDescent="0.2">
      <c r="A2556" s="5">
        <v>2495</v>
      </c>
      <c r="B2556" s="138">
        <f>'Acct Summary 7-8'!C12</f>
        <v>380792</v>
      </c>
      <c r="C2556" s="2" t="s">
        <v>573</v>
      </c>
      <c r="D2556" s="2" t="str">
        <f t="shared" si="38"/>
        <v>Error?</v>
      </c>
    </row>
    <row r="2557" spans="1:4" x14ac:dyDescent="0.2">
      <c r="A2557" s="5">
        <v>2496</v>
      </c>
      <c r="B2557" s="138">
        <f>'Acct Summary 7-8'!C13</f>
        <v>227086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33978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641856</v>
      </c>
      <c r="C2561" s="2" t="s">
        <v>573</v>
      </c>
      <c r="D2561" s="2" t="str">
        <f t="shared" si="39"/>
        <v>Error?</v>
      </c>
    </row>
    <row r="2562" spans="1:4" x14ac:dyDescent="0.2">
      <c r="A2562" s="5">
        <v>2501</v>
      </c>
      <c r="B2562" s="138">
        <f>'Acct Summary 7-8'!C20</f>
        <v>12493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54101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54101</v>
      </c>
      <c r="C2568" s="2" t="s">
        <v>573</v>
      </c>
      <c r="D2568" s="2" t="str">
        <f t="shared" si="39"/>
        <v>Error?</v>
      </c>
    </row>
    <row r="2569" spans="1:4" x14ac:dyDescent="0.2">
      <c r="A2569" s="5">
        <v>2508</v>
      </c>
      <c r="B2569" s="138">
        <f>'Acct Summary 7-8'!D13</f>
        <v>74304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74304</v>
      </c>
      <c r="C2573" s="2" t="s">
        <v>573</v>
      </c>
      <c r="D2573" s="2" t="str">
        <f t="shared" si="39"/>
        <v>Error?</v>
      </c>
    </row>
    <row r="2574" spans="1:4" x14ac:dyDescent="0.2">
      <c r="A2574" s="5">
        <v>2513</v>
      </c>
      <c r="B2574" s="138">
        <f>'Acct Summary 7-8'!D20</f>
        <v>-20203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19976</v>
      </c>
      <c r="C2591" s="2" t="s">
        <v>573</v>
      </c>
      <c r="D2591" s="2" t="str">
        <f t="shared" si="39"/>
        <v>Error?</v>
      </c>
    </row>
    <row r="2592" spans="1:4" x14ac:dyDescent="0.2">
      <c r="A2592" s="10">
        <v>2531</v>
      </c>
      <c r="D2592" s="2" t="str">
        <f t="shared" si="39"/>
        <v>OK</v>
      </c>
    </row>
    <row r="2593" spans="1:4" x14ac:dyDescent="0.2">
      <c r="A2593" s="5">
        <v>2532</v>
      </c>
      <c r="B2593" s="138">
        <f>'Acct Summary 7-8'!F6</f>
        <v>26770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46746</v>
      </c>
      <c r="C2595" s="2" t="s">
        <v>573</v>
      </c>
      <c r="D2595" s="2" t="str">
        <f t="shared" si="39"/>
        <v>Error?</v>
      </c>
    </row>
    <row r="2596" spans="1:4" x14ac:dyDescent="0.2">
      <c r="A2596" s="5">
        <v>2535</v>
      </c>
      <c r="B2596" s="138">
        <f>'Acct Summary 7-8'!F13</f>
        <v>45687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45687</v>
      </c>
      <c r="C2600" s="2" t="s">
        <v>573</v>
      </c>
      <c r="D2600" s="2" t="str">
        <f t="shared" si="39"/>
        <v>Error?</v>
      </c>
    </row>
    <row r="2601" spans="1:4" x14ac:dyDescent="0.2">
      <c r="A2601" s="5">
        <v>2540</v>
      </c>
      <c r="B2601" s="138">
        <f>'Acct Summary 7-8'!F20</f>
        <v>1059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26971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26971</v>
      </c>
      <c r="C2606" s="2" t="s">
        <v>573</v>
      </c>
      <c r="D2606" s="2" t="str">
        <f t="shared" si="39"/>
        <v>Error?</v>
      </c>
    </row>
    <row r="2607" spans="1:4" x14ac:dyDescent="0.2">
      <c r="A2607" s="5">
        <v>2546</v>
      </c>
      <c r="B2607" s="138">
        <f>'Acct Summary 7-8'!G12</f>
        <v>9065</v>
      </c>
      <c r="C2607" s="2" t="s">
        <v>573</v>
      </c>
      <c r="D2607" s="2" t="str">
        <f t="shared" si="39"/>
        <v>Error?</v>
      </c>
    </row>
    <row r="2608" spans="1:4" x14ac:dyDescent="0.2">
      <c r="A2608" s="5">
        <v>2547</v>
      </c>
      <c r="B2608" s="138">
        <f>'Acct Summary 7-8'!G13</f>
        <v>13316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22381</v>
      </c>
      <c r="C2612" s="2" t="s">
        <v>573</v>
      </c>
      <c r="D2612" s="2" t="str">
        <f t="shared" si="39"/>
        <v>Error?</v>
      </c>
    </row>
    <row r="2613" spans="1:4" x14ac:dyDescent="0.2">
      <c r="A2613" s="5">
        <v>2552</v>
      </c>
      <c r="B2613" s="138">
        <f>'Acct Summary 7-8'!G20</f>
        <v>4590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23652</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23652</v>
      </c>
      <c r="C2658" s="2" t="s">
        <v>573</v>
      </c>
      <c r="D2658" s="2" t="str">
        <f t="shared" si="40"/>
        <v>Error?</v>
      </c>
    </row>
    <row r="2659" spans="1:4" x14ac:dyDescent="0.2">
      <c r="A2659" s="5">
        <v>2598</v>
      </c>
      <c r="B2659" s="138">
        <f>'Acct Summary 7-8'!H13</f>
        <v>23000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23000</v>
      </c>
      <c r="C2661" s="2" t="s">
        <v>573</v>
      </c>
      <c r="D2661" s="2" t="str">
        <f t="shared" si="40"/>
        <v>Error?</v>
      </c>
    </row>
    <row r="2662" spans="1:4" x14ac:dyDescent="0.2">
      <c r="A2662" s="5">
        <v>2601</v>
      </c>
      <c r="B2662" s="138">
        <f>'Acct Summary 7-8'!H20</f>
        <v>652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350</v>
      </c>
      <c r="D2914" s="2" t="str">
        <f t="shared" si="44"/>
        <v>Error?</v>
      </c>
    </row>
    <row r="2915" spans="1:4" x14ac:dyDescent="0.2">
      <c r="A2915" s="10">
        <v>2854</v>
      </c>
      <c r="D2915" s="2" t="str">
        <f t="shared" si="44"/>
        <v>OK</v>
      </c>
    </row>
    <row r="2916" spans="1:4" x14ac:dyDescent="0.2">
      <c r="A2916" s="5">
        <v>2855</v>
      </c>
      <c r="B2916" s="138">
        <f>'Assets-Liab 5-6'!L34</f>
        <v>350</v>
      </c>
      <c r="C2916" s="2" t="s">
        <v>573</v>
      </c>
      <c r="D2916" s="2" t="str">
        <f t="shared" si="44"/>
        <v>Error?</v>
      </c>
    </row>
    <row r="2917" spans="1:4" x14ac:dyDescent="0.2">
      <c r="A2917" s="5">
        <v>2856</v>
      </c>
      <c r="B2917" s="138">
        <f>'Assets-Liab 5-6'!L41</f>
        <v>350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4160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4160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12493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-20203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1059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4590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9005</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9005</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443203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268882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6989</v>
      </c>
      <c r="D3417" s="2" t="str">
        <f t="shared" si="52"/>
        <v>Error?</v>
      </c>
    </row>
    <row r="3418" spans="1:4" x14ac:dyDescent="0.2">
      <c r="A3418" s="10">
        <v>3357</v>
      </c>
      <c r="D3418" s="2" t="str">
        <f t="shared" si="52"/>
        <v>OK</v>
      </c>
    </row>
    <row r="3419" spans="1:4" x14ac:dyDescent="0.2">
      <c r="A3419" s="5">
        <v>3358</v>
      </c>
      <c r="B3419" s="138">
        <f>'Assets-Liab 5-6'!F4</f>
        <v>253794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26260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18185</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13483</v>
      </c>
      <c r="C3446" s="2" t="s">
        <v>573</v>
      </c>
      <c r="D3446" s="2" t="str">
        <f t="shared" si="52"/>
        <v>Error?</v>
      </c>
    </row>
    <row r="3447" spans="1:4" x14ac:dyDescent="0.2">
      <c r="A3447" s="5">
        <v>3386</v>
      </c>
      <c r="B3447" s="138">
        <f>'Tax Sched 23'!D16</f>
        <v>-2</v>
      </c>
      <c r="C3447" s="2" t="s">
        <v>573</v>
      </c>
      <c r="D3447" s="2" t="str">
        <f t="shared" si="52"/>
        <v>Error?</v>
      </c>
    </row>
    <row r="3448" spans="1:4" x14ac:dyDescent="0.2">
      <c r="A3448" s="5">
        <v>3387</v>
      </c>
      <c r="B3448" s="138">
        <f>'Tax Sched 23'!C16</f>
        <v>13485</v>
      </c>
      <c r="D3448" s="2" t="str">
        <f t="shared" si="52"/>
        <v>Error?</v>
      </c>
    </row>
    <row r="3449" spans="1:4" x14ac:dyDescent="0.2">
      <c r="A3449" s="5">
        <v>3388</v>
      </c>
      <c r="B3449" s="138">
        <f>'Tax Sched 23'!F16</f>
        <v>-3485</v>
      </c>
      <c r="C3449" s="2" t="s">
        <v>573</v>
      </c>
      <c r="D3449" s="2" t="str">
        <f t="shared" si="52"/>
        <v>Error?</v>
      </c>
    </row>
    <row r="3450" spans="1:4" x14ac:dyDescent="0.2">
      <c r="A3450" s="5">
        <v>3389</v>
      </c>
      <c r="B3450" s="138">
        <f>'Tax Sched 23'!E16</f>
        <v>10000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58178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58178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58178</v>
      </c>
      <c r="D3567" s="2" t="str">
        <f t="shared" si="54"/>
        <v>Error?</v>
      </c>
    </row>
    <row r="3568" spans="1:4" x14ac:dyDescent="0.2">
      <c r="A3568" s="5">
        <v>3507</v>
      </c>
      <c r="B3568" s="138">
        <f>'Assets-Liab 5-6'!K41</f>
        <v>58178</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58178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58178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16732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47089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701438</v>
      </c>
      <c r="C4122" s="2" t="s">
        <v>573</v>
      </c>
      <c r="D4122" s="2" t="str">
        <f t="shared" si="63"/>
        <v>Error?</v>
      </c>
    </row>
    <row r="4123" spans="1:4" x14ac:dyDescent="0.2">
      <c r="A4123" s="5">
        <v>4062</v>
      </c>
      <c r="B4123" s="138">
        <f>'Acct Summary 7-8'!D10</f>
        <v>54101</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46746</v>
      </c>
      <c r="C4125" s="2" t="s">
        <v>573</v>
      </c>
      <c r="D4125" s="2" t="str">
        <f t="shared" si="63"/>
        <v>Error?</v>
      </c>
    </row>
    <row r="4126" spans="1:4" x14ac:dyDescent="0.2">
      <c r="A4126" s="5">
        <v>4065</v>
      </c>
      <c r="B4126" s="138">
        <f>'Acct Summary 7-8'!G10</f>
        <v>26971</v>
      </c>
      <c r="C4126" s="2" t="s">
        <v>573</v>
      </c>
      <c r="D4126" s="2" t="str">
        <f t="shared" si="63"/>
        <v>Error?</v>
      </c>
    </row>
    <row r="4127" spans="1:4" x14ac:dyDescent="0.2">
      <c r="A4127" s="5">
        <v>4066</v>
      </c>
      <c r="B4127" s="138">
        <f>'Acct Summary 7-8'!H10</f>
        <v>23652</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47089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688945</v>
      </c>
      <c r="C4136" s="2" t="s">
        <v>573</v>
      </c>
      <c r="D4136" s="2" t="str">
        <f t="shared" si="63"/>
        <v>Error?</v>
      </c>
    </row>
    <row r="4137" spans="1:4" x14ac:dyDescent="0.2">
      <c r="A4137" s="5">
        <v>4076</v>
      </c>
      <c r="B4137" s="138">
        <f>'Acct Summary 7-8'!D19</f>
        <v>74304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45687</v>
      </c>
      <c r="C4139" s="2" t="s">
        <v>573</v>
      </c>
      <c r="D4139" s="2" t="str">
        <f t="shared" si="63"/>
        <v>Error?</v>
      </c>
    </row>
    <row r="4140" spans="1:4" x14ac:dyDescent="0.2">
      <c r="A4140" s="5">
        <v>4079</v>
      </c>
      <c r="B4140" s="138">
        <f>'Acct Summary 7-8'!G19</f>
        <v>22381</v>
      </c>
      <c r="C4140" s="2" t="s">
        <v>573</v>
      </c>
      <c r="D4140" s="2" t="str">
        <f t="shared" si="63"/>
        <v>Error?</v>
      </c>
    </row>
    <row r="4141" spans="1:4" x14ac:dyDescent="0.2">
      <c r="A4141" s="5">
        <v>4080</v>
      </c>
      <c r="B4141" s="138">
        <f>'Acct Summary 7-8'!H19</f>
        <v>23000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3153.39</v>
      </c>
      <c r="C4265" s="2" t="s">
        <v>573</v>
      </c>
      <c r="D4265" s="2" t="str">
        <f t="shared" si="65"/>
        <v>Error?</v>
      </c>
      <c r="E4265" s="128"/>
    </row>
    <row r="4266" spans="1:5" x14ac:dyDescent="0.2">
      <c r="A4266" s="12">
        <v>4205</v>
      </c>
      <c r="B4266" s="138">
        <f>('FP Info 3'!F10)*100000</f>
        <v>285.98</v>
      </c>
      <c r="C4266" s="2" t="s">
        <v>573</v>
      </c>
      <c r="D4266" s="2" t="str">
        <f t="shared" si="65"/>
        <v>Error?</v>
      </c>
      <c r="E4266" s="128"/>
    </row>
    <row r="4267" spans="1:5" x14ac:dyDescent="0.2">
      <c r="A4267" s="12">
        <v>4206</v>
      </c>
      <c r="B4267" s="138">
        <f>('FP Info 3'!H10)*100000</f>
        <v>114.38900000000001</v>
      </c>
      <c r="C4267" s="2" t="s">
        <v>573</v>
      </c>
      <c r="D4267" s="2" t="str">
        <f t="shared" si="65"/>
        <v>Error?</v>
      </c>
      <c r="E4267" s="128"/>
    </row>
    <row r="4268" spans="1:5" x14ac:dyDescent="0.2">
      <c r="A4268" s="12">
        <v>4207</v>
      </c>
      <c r="B4268" s="138">
        <f>('FP Info 3'!J10)*100000</f>
        <v>3554</v>
      </c>
      <c r="C4268" s="2" t="s">
        <v>573</v>
      </c>
      <c r="D4268" s="2" t="str">
        <f t="shared" si="65"/>
        <v>Error?</v>
      </c>
    </row>
    <row r="4269" spans="1:5" x14ac:dyDescent="0.2">
      <c r="A4269" s="12">
        <v>4208</v>
      </c>
      <c r="B4269" s="138">
        <f>'FP Info 3'!J16</f>
        <v>965879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19232620</v>
      </c>
      <c r="D4995" s="2" t="str">
        <f t="shared" si="77"/>
        <v>Error?</v>
      </c>
    </row>
    <row r="4996" spans="1:4" x14ac:dyDescent="0.2">
      <c r="A4996" s="12">
        <v>4935</v>
      </c>
      <c r="B4996" s="138">
        <f>'FP Info 3'!H31</f>
        <v>1327050.78</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571265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571265</v>
      </c>
      <c r="C5066" s="2" t="s">
        <v>573</v>
      </c>
      <c r="D5066" s="2" t="str">
        <f t="shared" si="78"/>
        <v>Error?</v>
      </c>
    </row>
    <row r="5067" spans="1:4" x14ac:dyDescent="0.2">
      <c r="A5067" s="5">
        <v>5006</v>
      </c>
      <c r="B5067" s="138">
        <f>'Revenues 9-14'!C14</f>
        <v>34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6905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10771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10771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1040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12159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4394</v>
      </c>
      <c r="D5101" s="2" t="str">
        <f t="shared" si="78"/>
        <v>Error?</v>
      </c>
    </row>
    <row r="5102" spans="1:4" x14ac:dyDescent="0.2">
      <c r="A5102" s="5">
        <v>5041</v>
      </c>
      <c r="B5102" s="138">
        <f>'Revenues 9-14'!C82</f>
        <v>4394</v>
      </c>
      <c r="C5102" s="2" t="s">
        <v>573</v>
      </c>
      <c r="D5102" s="2" t="str">
        <f t="shared" si="78"/>
        <v>Error?</v>
      </c>
    </row>
    <row r="5103" spans="1:4" x14ac:dyDescent="0.2">
      <c r="A5103" s="5">
        <v>5042</v>
      </c>
      <c r="B5103" s="138">
        <f>'Revenues 9-14'!C84</f>
        <v>765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606259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31584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31584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31611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3521</v>
      </c>
      <c r="C5246" s="2" t="s">
        <v>573</v>
      </c>
      <c r="D5246" s="2" t="str">
        <f t="shared" si="80"/>
        <v>Error?</v>
      </c>
    </row>
    <row r="5247" spans="1:4" x14ac:dyDescent="0.2">
      <c r="A5247" s="5">
        <v>5186</v>
      </c>
      <c r="B5247" s="138">
        <f>'Revenues 9-14'!C200</f>
        <v>11054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994</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16479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16479</v>
      </c>
      <c r="C5326" s="2" t="s">
        <v>573</v>
      </c>
      <c r="D5326" s="2" t="str">
        <f t="shared" si="82"/>
        <v>Error?</v>
      </c>
    </row>
    <row r="5327" spans="1:5" x14ac:dyDescent="0.2">
      <c r="A5327" s="5">
        <v>5266</v>
      </c>
      <c r="B5327" s="138">
        <f>'Revenues 9-14'!C268</f>
        <v>654349</v>
      </c>
      <c r="C5327" s="2" t="s">
        <v>573</v>
      </c>
      <c r="D5327" s="2" t="str">
        <f t="shared" si="82"/>
        <v>Error?</v>
      </c>
    </row>
    <row r="5328" spans="1:5" x14ac:dyDescent="0.2">
      <c r="A5328" s="5">
        <v>5267</v>
      </c>
      <c r="B5328" s="138">
        <f>'Revenues 9-14'!D5</f>
        <v>49938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49938</v>
      </c>
      <c r="C5334" s="2" t="s">
        <v>573</v>
      </c>
      <c r="D5334" s="2" t="str">
        <f t="shared" si="82"/>
        <v>Error?</v>
      </c>
    </row>
    <row r="5335" spans="1:4" x14ac:dyDescent="0.2">
      <c r="A5335" s="5">
        <v>5274</v>
      </c>
      <c r="B5335" s="138">
        <f>'Revenues 9-14'!D14</f>
        <v>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3926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3929</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v>
      </c>
      <c r="D5354" s="2" t="str">
        <f t="shared" si="82"/>
        <v>Error?</v>
      </c>
    </row>
    <row r="5355" spans="1:4" x14ac:dyDescent="0.2">
      <c r="A5355" s="5">
        <v>5294</v>
      </c>
      <c r="B5355" s="138">
        <f>'Revenues 9-14'!D108</f>
        <v>234</v>
      </c>
      <c r="C5355" s="2" t="s">
        <v>573</v>
      </c>
      <c r="D5355" s="2" t="str">
        <f t="shared" si="82"/>
        <v>Error?</v>
      </c>
    </row>
    <row r="5356" spans="1:4" x14ac:dyDescent="0.2">
      <c r="A5356" s="5">
        <v>5295</v>
      </c>
      <c r="B5356" s="138">
        <f>'Revenues 9-14'!D109</f>
        <v>54101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54101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19975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19975</v>
      </c>
      <c r="C5557" s="2" t="s">
        <v>573</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19976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24888</v>
      </c>
      <c r="D5615" s="2" t="str">
        <f t="shared" si="86"/>
        <v>Error?</v>
      </c>
    </row>
    <row r="5616" spans="1:4" x14ac:dyDescent="0.2">
      <c r="A5616" s="10">
        <v>5555</v>
      </c>
      <c r="D5616" s="2" t="str">
        <f t="shared" si="86"/>
        <v>OK</v>
      </c>
    </row>
    <row r="5617" spans="1:5" x14ac:dyDescent="0.2">
      <c r="A5617" s="5">
        <v>5556</v>
      </c>
      <c r="B5617" s="138">
        <f>'Revenues 9-14'!F153</f>
        <v>1882</v>
      </c>
      <c r="D5617" s="2" t="str">
        <f t="shared" si="86"/>
        <v>Error?</v>
      </c>
    </row>
    <row r="5618" spans="1:5" x14ac:dyDescent="0.2">
      <c r="A5618" s="5">
        <v>5557</v>
      </c>
      <c r="B5618" s="138">
        <f>'Revenues 9-14'!F155</f>
        <v>26770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26770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26770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46746</v>
      </c>
      <c r="C5720" s="2" t="s">
        <v>573</v>
      </c>
      <c r="D5720" s="2" t="str">
        <f t="shared" si="88"/>
        <v>Error?</v>
      </c>
    </row>
    <row r="5721" spans="1:4" x14ac:dyDescent="0.2">
      <c r="A5721" s="5">
        <v>5660</v>
      </c>
      <c r="B5721" s="138">
        <f>'Revenues 9-14'!G5</f>
        <v>13484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26967</v>
      </c>
      <c r="C5725" s="2" t="s">
        <v>573</v>
      </c>
      <c r="D5725" s="2" t="str">
        <f t="shared" si="88"/>
        <v>Error?</v>
      </c>
    </row>
    <row r="5726" spans="1:4" x14ac:dyDescent="0.2">
      <c r="A5726" s="5">
        <v>5665</v>
      </c>
      <c r="B5726" s="138">
        <f>'Revenues 9-14'!G14</f>
        <v>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26971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23652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23652</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23652</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23652</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26971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11119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45.737000000000002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15255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15255</v>
      </c>
      <c r="D6215" s="2" t="str">
        <f t="shared" si="96"/>
        <v>Error?</v>
      </c>
      <c r="E6215" s="2" t="s">
        <v>190</v>
      </c>
    </row>
    <row r="6216" spans="1:5" x14ac:dyDescent="0.2">
      <c r="A6216">
        <v>6155</v>
      </c>
      <c r="B6216" s="138">
        <f>'Assets-Liab 5-6'!J41</f>
        <v>15255</v>
      </c>
      <c r="D6216" s="2" t="str">
        <f t="shared" si="96"/>
        <v>Error?</v>
      </c>
      <c r="E6216" s="2" t="s">
        <v>190</v>
      </c>
    </row>
    <row r="6217" spans="1:5" x14ac:dyDescent="0.2">
      <c r="A6217">
        <v>6156</v>
      </c>
      <c r="B6217" s="138">
        <f>'Assets-Liab 5-6'!J4</f>
        <v>15255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19977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19977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19977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15396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15396</v>
      </c>
      <c r="D6229" s="2" t="str">
        <f t="shared" si="96"/>
        <v>Error?</v>
      </c>
      <c r="E6229" s="2" t="s">
        <v>190</v>
      </c>
    </row>
    <row r="6230" spans="1:5" x14ac:dyDescent="0.2">
      <c r="A6230">
        <v>6169</v>
      </c>
      <c r="B6230" s="138">
        <f>'Acct Summary 7-8'!J20</f>
        <v>4581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4581</v>
      </c>
      <c r="D6263" s="2" t="str">
        <f t="shared" si="96"/>
        <v>Error?</v>
      </c>
      <c r="E6263" s="2" t="s">
        <v>190</v>
      </c>
    </row>
    <row r="6264" spans="1:5" x14ac:dyDescent="0.2">
      <c r="A6264">
        <v>6203</v>
      </c>
      <c r="B6264" s="138">
        <f>'Acct Summary 7-8'!J79</f>
        <v>10674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15255</v>
      </c>
      <c r="D6266" s="2" t="str">
        <f t="shared" si="96"/>
        <v>Error?</v>
      </c>
      <c r="E6266" s="2" t="s">
        <v>190</v>
      </c>
    </row>
    <row r="6267" spans="1:5" x14ac:dyDescent="0.2">
      <c r="A6267">
        <v>6206</v>
      </c>
      <c r="B6267" s="138">
        <f>'Acct Summary 7-8'!C82</f>
        <v>12493</v>
      </c>
      <c r="D6267" s="2" t="str">
        <f t="shared" si="96"/>
        <v>Error?</v>
      </c>
      <c r="E6267" s="2" t="s">
        <v>190</v>
      </c>
    </row>
    <row r="6268" spans="1:5" x14ac:dyDescent="0.2">
      <c r="A6268">
        <v>6207</v>
      </c>
      <c r="B6268" s="138">
        <f>'Acct Summary 7-8'!D82</f>
        <v>-20203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1059</v>
      </c>
      <c r="D6270" s="2" t="str">
        <f t="shared" si="96"/>
        <v>Error?</v>
      </c>
      <c r="E6270" s="2" t="s">
        <v>190</v>
      </c>
    </row>
    <row r="6271" spans="1:5" x14ac:dyDescent="0.2">
      <c r="A6271">
        <v>6210</v>
      </c>
      <c r="B6271" s="138">
        <f>'Acct Summary 7-8'!G82</f>
        <v>4590</v>
      </c>
      <c r="D6271" s="2" t="str">
        <f t="shared" ref="D6271:D6334" si="97">IF(ISBLANK(B6271),"OK",IF(A6271-B6271=0,"OK","Error?"))</f>
        <v>Error?</v>
      </c>
      <c r="E6271" s="2" t="s">
        <v>190</v>
      </c>
    </row>
    <row r="6272" spans="1:5" x14ac:dyDescent="0.2">
      <c r="A6272">
        <v>6211</v>
      </c>
      <c r="B6272" s="138">
        <f>'Acct Summary 7-8'!H82</f>
        <v>652</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4581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2.8187986092151902E-2</v>
      </c>
      <c r="D6276" s="2" t="str">
        <f t="shared" si="97"/>
        <v>Error?</v>
      </c>
      <c r="E6276" s="2" t="s">
        <v>190</v>
      </c>
    </row>
    <row r="6277" spans="1:5" x14ac:dyDescent="0.2">
      <c r="A6277">
        <v>6216</v>
      </c>
      <c r="B6277" s="138">
        <f>'Acct Summary 7-8'!D83</f>
        <v>-7.513704896571731E-2</v>
      </c>
      <c r="D6277" s="2" t="str">
        <f t="shared" si="97"/>
        <v>Error?</v>
      </c>
      <c r="E6277" s="2" t="s">
        <v>190</v>
      </c>
    </row>
    <row r="6278" spans="1:5" x14ac:dyDescent="0.2">
      <c r="A6278">
        <v>6217</v>
      </c>
      <c r="B6278" s="138">
        <f>'Acct Summary 7-8'!E83</f>
        <v>0</v>
      </c>
      <c r="D6278" s="2" t="str">
        <f t="shared" si="97"/>
        <v>Error?</v>
      </c>
      <c r="E6278" s="2" t="s">
        <v>190</v>
      </c>
    </row>
    <row r="6279" spans="1:5" x14ac:dyDescent="0.2">
      <c r="A6279">
        <v>6218</v>
      </c>
      <c r="B6279" s="138">
        <f>'Acct Summary 7-8'!F83</f>
        <v>4.1726754769616306E-3</v>
      </c>
      <c r="D6279" s="2" t="str">
        <f t="shared" si="97"/>
        <v>Error?</v>
      </c>
      <c r="E6279" s="2" t="s">
        <v>190</v>
      </c>
    </row>
    <row r="6280" spans="1:5" x14ac:dyDescent="0.2">
      <c r="A6280">
        <v>6219</v>
      </c>
      <c r="B6280" s="138">
        <f>'Acct Summary 7-8'!G83</f>
        <v>0.17479055597867479</v>
      </c>
      <c r="D6280" s="2" t="str">
        <f t="shared" si="97"/>
        <v>Error?</v>
      </c>
      <c r="E6280" s="2" t="s">
        <v>190</v>
      </c>
    </row>
    <row r="6281" spans="1:5" x14ac:dyDescent="0.2">
      <c r="A6281">
        <v>6220</v>
      </c>
      <c r="B6281" s="138">
        <f>'Acct Summary 7-8'!H83</f>
        <v>3.5853725598020345E-2</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0.30029498525073745</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19977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19977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19977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29818</v>
      </c>
      <c r="D6983" s="2" t="str">
        <f t="shared" si="108"/>
        <v>Error?</v>
      </c>
    </row>
    <row r="6984" spans="1:4" x14ac:dyDescent="0.2">
      <c r="A6984">
        <v>6923</v>
      </c>
      <c r="B6984" s="138">
        <f>'Expenditures 15-22'!K86</f>
        <v>29818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29818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15396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19977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15396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15396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15396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15396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15396</v>
      </c>
      <c r="D7224" s="2" t="str">
        <f t="shared" si="111"/>
        <v>Error?</v>
      </c>
    </row>
    <row r="7225" spans="1:4" x14ac:dyDescent="0.2">
      <c r="A7225">
        <v>7164</v>
      </c>
      <c r="B7225" s="138">
        <f>'Expenditures 15-22'!K343</f>
        <v>4581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12965</v>
      </c>
      <c r="D7615" s="2" t="str">
        <f t="shared" ref="D7615:D7678" si="124">IF(ISBLANK(B7615),"OK",IF(A7615-B7615=0,"OK","Error?"))</f>
        <v>Error?</v>
      </c>
      <c r="E7615" s="2" t="s">
        <v>19</v>
      </c>
    </row>
    <row r="7616" spans="1:5" x14ac:dyDescent="0.2">
      <c r="A7616">
        <f t="shared" si="123"/>
        <v>7555</v>
      </c>
      <c r="B7616" s="138">
        <f>'Cap Outlay Deprec 26'!D14</f>
        <v>883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13848</v>
      </c>
      <c r="D7618" s="2" t="str">
        <f t="shared" si="124"/>
        <v>Error?</v>
      </c>
      <c r="E7618" s="2" t="s">
        <v>19</v>
      </c>
    </row>
    <row r="7619" spans="1:5" x14ac:dyDescent="0.2">
      <c r="A7619">
        <f t="shared" si="123"/>
        <v>7558</v>
      </c>
      <c r="B7619" s="138">
        <f>'Cap Outlay Deprec 26'!H14</f>
        <v>12964</v>
      </c>
      <c r="D7619" s="2" t="str">
        <f t="shared" si="124"/>
        <v>Error?</v>
      </c>
      <c r="E7619" s="2" t="s">
        <v>19</v>
      </c>
    </row>
    <row r="7620" spans="1:5" x14ac:dyDescent="0.2">
      <c r="A7620">
        <f t="shared" si="123"/>
        <v>7559</v>
      </c>
      <c r="B7620" s="138">
        <f>'Cap Outlay Deprec 26'!I14</f>
        <v>245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13209</v>
      </c>
      <c r="D7622" s="2" t="str">
        <f t="shared" si="124"/>
        <v>Error?</v>
      </c>
      <c r="E7622" s="2" t="s">
        <v>19</v>
      </c>
    </row>
    <row r="7623" spans="1:5" x14ac:dyDescent="0.2">
      <c r="A7623">
        <f t="shared" si="123"/>
        <v>7562</v>
      </c>
      <c r="B7623" s="138">
        <f>'Cap Outlay Deprec 26'!L14</f>
        <v>639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6471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26672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23652</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23652</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23000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23000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27324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27324</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Rooks Creek CCSD 425</v>
      </c>
      <c r="B7" s="2384"/>
      <c r="C7" s="2384"/>
      <c r="D7" s="2421"/>
      <c r="E7" s="2422">
        <f>COVER!A13</f>
        <v>17053425004</v>
      </c>
      <c r="F7" s="2423"/>
      <c r="G7" s="2390" t="str">
        <f>COVER!T23</f>
        <v>066-005232</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MCK, CPAs &amp; Advisors</v>
      </c>
      <c r="H9" s="2397"/>
      <c r="I9" s="2397"/>
      <c r="J9" s="2397"/>
      <c r="K9" s="2397"/>
      <c r="L9" s="2398"/>
    </row>
    <row r="10" spans="1:29" ht="13.5" customHeight="1" x14ac:dyDescent="0.2">
      <c r="A10" s="2380" t="str">
        <f>COVER!A38</f>
        <v>Todd Bean</v>
      </c>
      <c r="B10" s="2381"/>
      <c r="C10" s="2381"/>
      <c r="D10" s="2381"/>
      <c r="E10" s="2381"/>
      <c r="F10" s="2382"/>
      <c r="G10" s="2396" t="str">
        <f>COVER!T17</f>
        <v>207 W Jefferson St</v>
      </c>
      <c r="H10" s="2409"/>
      <c r="I10" s="2409"/>
      <c r="J10" s="2409"/>
      <c r="K10" s="2409"/>
      <c r="L10" s="2410"/>
    </row>
    <row r="11" spans="1:29" ht="13.5" customHeight="1" x14ac:dyDescent="0.2">
      <c r="A11" s="1184" t="s">
        <v>1519</v>
      </c>
      <c r="B11" s="1185"/>
      <c r="C11" s="1186"/>
      <c r="D11" s="1191"/>
      <c r="E11" s="1186"/>
      <c r="F11" s="1190"/>
      <c r="G11" s="2396" t="str">
        <f>COVER!T19</f>
        <v>Bloomington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f>COVER!T25</f>
        <v>0</v>
      </c>
      <c r="J13" s="2418"/>
      <c r="K13" s="2418"/>
      <c r="L13" s="2419"/>
    </row>
    <row r="14" spans="1:29" ht="13.5" customHeight="1" x14ac:dyDescent="0.2">
      <c r="A14" s="2396" t="str">
        <f>COVER!A19</f>
        <v>PO Box 117</v>
      </c>
      <c r="B14" s="2409"/>
      <c r="C14" s="2409"/>
      <c r="D14" s="2409"/>
      <c r="E14" s="2409"/>
      <c r="F14" s="2410"/>
      <c r="G14" s="1195" t="s">
        <v>1185</v>
      </c>
      <c r="H14" s="1193"/>
      <c r="I14" s="1193"/>
      <c r="J14" s="1193"/>
      <c r="K14" s="1193"/>
      <c r="L14" s="1194"/>
    </row>
    <row r="15" spans="1:29" ht="13.5" customHeight="1" x14ac:dyDescent="0.2">
      <c r="A15" s="2396" t="str">
        <f>COVER!A21</f>
        <v>Graymont</v>
      </c>
      <c r="B15" s="2409"/>
      <c r="C15" s="2409"/>
      <c r="D15" s="2409"/>
      <c r="E15" s="2409"/>
      <c r="F15" s="2410"/>
      <c r="G15" s="2406" t="str">
        <f>COVER!T15</f>
        <v>Dawn M Carlson</v>
      </c>
      <c r="H15" s="2407"/>
      <c r="I15" s="2407"/>
      <c r="J15" s="2407"/>
      <c r="K15" s="2407"/>
      <c r="L15" s="2408"/>
    </row>
    <row r="16" spans="1:29" ht="12.2" customHeight="1" x14ac:dyDescent="0.2">
      <c r="A16" s="2386">
        <f>COVER!A25</f>
        <v>61743</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(309) 828-6071</v>
      </c>
      <c r="H18" s="2384"/>
      <c r="I18" s="2384"/>
      <c r="J18" s="2384"/>
      <c r="K18" s="2383" t="str">
        <f>COVER!X21</f>
        <v>(309) 827-2465</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Rooks Creek CCSD 425</v>
      </c>
      <c r="B1" s="2420"/>
      <c r="C1" s="2420"/>
      <c r="D1" s="2420"/>
    </row>
    <row r="2" spans="1:11" s="1212" customFormat="1" ht="12.75" x14ac:dyDescent="0.2">
      <c r="A2" s="2425">
        <f>'Single Audit Cover'!E7</f>
        <v>17053425004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Rooks Creek CCSD 425</v>
      </c>
      <c r="B1" s="2428"/>
      <c r="C1" s="2428"/>
      <c r="D1" s="2428"/>
      <c r="E1" s="2428"/>
    </row>
    <row r="2" spans="1:5" x14ac:dyDescent="0.2">
      <c r="A2" s="2429">
        <f>'Single Audit Cover'!E7</f>
        <v>17053425004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16479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16479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16479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16479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Rooks Creek CCSD 425</v>
      </c>
      <c r="C1" s="2432"/>
      <c r="D1" s="2432"/>
      <c r="E1" s="2432"/>
      <c r="F1" s="2432"/>
      <c r="G1" s="2432"/>
      <c r="H1" s="2432"/>
      <c r="I1" s="2432"/>
      <c r="J1" s="2432"/>
      <c r="K1" s="2432"/>
      <c r="L1" s="2432"/>
      <c r="M1" s="2432"/>
    </row>
    <row r="2" spans="2:14" ht="15" x14ac:dyDescent="0.2">
      <c r="B2" s="2433">
        <f>'Single Audit Cover'!E7</f>
        <v>17053425004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Rooks Creek CCSD 425</v>
      </c>
      <c r="B1" s="2437"/>
      <c r="C1" s="2437"/>
      <c r="D1" s="2437"/>
      <c r="E1" s="2437"/>
      <c r="F1" s="2437"/>
    </row>
    <row r="2" spans="1:7" ht="13.5" customHeight="1" x14ac:dyDescent="0.2">
      <c r="A2" s="2433">
        <f>'Single Audit Cover'!E7</f>
        <v>17053425004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101"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2088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34" zoomScale="110" zoomScaleNormal="110" workbookViewId="0">
      <selection activeCell="E17" sqref="E1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Rooks Creek CCSD 425</v>
      </c>
      <c r="C1" s="2453"/>
      <c r="D1" s="2453"/>
      <c r="E1" s="2453"/>
      <c r="F1" s="2453"/>
      <c r="G1" s="2453"/>
      <c r="H1" s="2453"/>
      <c r="I1" s="2453"/>
      <c r="J1" s="1406"/>
    </row>
    <row r="2" spans="2:10" s="317" customFormat="1" ht="12.75" customHeight="1" x14ac:dyDescent="0.2">
      <c r="B2" s="2454">
        <f>'Single Audit Cover'!E7</f>
        <v>17053425004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1164</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2076</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2076</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2085</v>
      </c>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2076</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t="s">
        <v>2084</v>
      </c>
      <c r="C38" s="2448" t="s">
        <v>2084</v>
      </c>
      <c r="D38" s="2449"/>
      <c r="E38" s="2449"/>
      <c r="F38" s="2450"/>
      <c r="G38" s="2463" t="s">
        <v>2084</v>
      </c>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2076</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Rooks Creek CCSD 425</v>
      </c>
      <c r="C1" s="2452"/>
      <c r="D1" s="2452"/>
      <c r="E1" s="2452"/>
      <c r="F1" s="2452"/>
      <c r="G1" s="2452"/>
      <c r="H1" s="2452"/>
      <c r="I1" s="2452"/>
      <c r="J1" s="2452"/>
      <c r="K1" s="2452"/>
      <c r="L1" s="1371"/>
      <c r="M1" s="1371"/>
    </row>
    <row r="2" spans="1:13" ht="12" customHeight="1" x14ac:dyDescent="0.2">
      <c r="B2" s="2454">
        <f>'Single Audit Cover'!E7</f>
        <v>17053425004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Rooks Creek CCSD 425</v>
      </c>
      <c r="C1" s="2479"/>
      <c r="D1" s="2479"/>
      <c r="E1" s="2479"/>
      <c r="F1" s="2479"/>
      <c r="G1" s="2479"/>
      <c r="H1" s="2479"/>
      <c r="I1" s="2479"/>
      <c r="J1" s="2479"/>
      <c r="K1" s="2479"/>
      <c r="L1" s="1449"/>
    </row>
    <row r="2" spans="1:12" ht="12.75" customHeight="1" x14ac:dyDescent="0.2">
      <c r="B2" s="2480">
        <f>'Single Audit Cover'!E7</f>
        <v>17053425004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Rooks Creek CCSD 425</v>
      </c>
      <c r="C1" s="2452"/>
      <c r="D1" s="2452"/>
      <c r="E1" s="1469"/>
    </row>
    <row r="2" spans="2:5" s="1279" customFormat="1" ht="12.75" customHeight="1" x14ac:dyDescent="0.2">
      <c r="B2" s="2454">
        <f>'Single Audit Cover'!E7</f>
        <v>17053425004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16"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19232620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3.1533899999999997E-2</v>
      </c>
      <c r="E10" s="356" t="s">
        <v>1005</v>
      </c>
      <c r="F10" s="355">
        <v>2.8598E-3</v>
      </c>
      <c r="G10" s="356" t="s">
        <v>1005</v>
      </c>
      <c r="H10" s="355">
        <v>1.1438900000000001E-3</v>
      </c>
      <c r="I10" s="356" t="s">
        <v>1006</v>
      </c>
      <c r="J10" s="1732">
        <f>ROUND(D10+F10+H10,5)</f>
        <v>3.5540000000000002E-2</v>
      </c>
      <c r="K10" s="222"/>
      <c r="L10" s="355">
        <v>0</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755196</v>
      </c>
      <c r="E16" s="356"/>
      <c r="F16" s="1733">
        <f>SUM('Acct Summary 7-8'!C17,'Acct Summary 7-8'!D17,'Acct Summary 7-8'!F17)</f>
        <v>761847</v>
      </c>
      <c r="G16" s="356"/>
      <c r="H16" s="1733">
        <f>SUM(D16-F16)</f>
        <v>-6651</v>
      </c>
      <c r="I16" s="222"/>
      <c r="J16" s="1733">
        <f>SUM('Acct Summary 7-8'!C81,'Acct Summary 7-8'!D81,'Acct Summary 7-8'!F81,'Acct Summary 7-8'!I81)</f>
        <v>965879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1327050.78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Rooks Creek CCSD 425</v>
      </c>
      <c r="E7" s="391"/>
      <c r="G7" s="252"/>
      <c r="H7" s="387"/>
      <c r="I7" s="387"/>
      <c r="J7" s="387"/>
      <c r="K7" s="387"/>
      <c r="L7" s="329"/>
      <c r="M7" s="329"/>
      <c r="N7" s="329"/>
      <c r="O7" s="329"/>
      <c r="P7" s="329"/>
    </row>
    <row r="8" spans="1:18" ht="12.75" x14ac:dyDescent="0.2">
      <c r="A8" s="329"/>
      <c r="B8" s="329"/>
      <c r="C8" s="389" t="s">
        <v>1125</v>
      </c>
      <c r="D8" s="392">
        <f>COVER!A13</f>
        <v>17053425004</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965879</v>
      </c>
      <c r="I12" s="404"/>
      <c r="J12" s="404"/>
      <c r="K12" s="405">
        <f>TRUNC((H12/H13*100000),5)/100000</f>
        <v>1.2789779077000001</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755196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761847</v>
      </c>
      <c r="I17" s="404"/>
      <c r="J17" s="416"/>
      <c r="K17" s="405">
        <f>TRUNC((H17/H18*100000),5)/100000</f>
        <v>1.0088069852000001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755196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133.86850100000001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965879</v>
      </c>
      <c r="I24" s="422"/>
      <c r="J24" s="422"/>
      <c r="K24" s="423">
        <f>TRUNC(((H24/H25*100000)/100000),2)</f>
        <v>456.41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2116.2416699999999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580998.21758000006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1327050.78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pane="bottomLeft" activeCell="J5" sqref="J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443203</v>
      </c>
      <c r="D4" s="466">
        <v>268882</v>
      </c>
      <c r="E4" s="466">
        <v>6989</v>
      </c>
      <c r="F4" s="466">
        <v>253794</v>
      </c>
      <c r="G4" s="466">
        <v>26260</v>
      </c>
      <c r="H4" s="466">
        <v>18185</v>
      </c>
      <c r="I4" s="466">
        <v>0</v>
      </c>
      <c r="J4" s="467">
        <v>15255</v>
      </c>
      <c r="K4" s="466">
        <v>58178</v>
      </c>
      <c r="L4" s="466">
        <v>350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443203</v>
      </c>
      <c r="D13" s="1737">
        <f t="shared" ref="D13:L13" si="0">SUM(D4:D12)</f>
        <v>268882</v>
      </c>
      <c r="E13" s="1737">
        <f t="shared" si="0"/>
        <v>6989</v>
      </c>
      <c r="F13" s="1737">
        <f t="shared" si="0"/>
        <v>253794</v>
      </c>
      <c r="G13" s="1737">
        <f t="shared" si="0"/>
        <v>26260</v>
      </c>
      <c r="H13" s="1737">
        <f t="shared" si="0"/>
        <v>18185</v>
      </c>
      <c r="I13" s="1737">
        <f t="shared" si="0"/>
        <v>0</v>
      </c>
      <c r="J13" s="1737">
        <f t="shared" si="0"/>
        <v>15255</v>
      </c>
      <c r="K13" s="1737">
        <f t="shared" si="0"/>
        <v>58178</v>
      </c>
      <c r="L13" s="1737">
        <f t="shared" si="0"/>
        <v>350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2500</v>
      </c>
      <c r="N16" s="484"/>
    </row>
    <row r="17" spans="1:14" s="485" customFormat="1" ht="12.75" customHeight="1" x14ac:dyDescent="0.2">
      <c r="A17" s="482" t="s">
        <v>1403</v>
      </c>
      <c r="B17" s="483">
        <v>230</v>
      </c>
      <c r="C17" s="477"/>
      <c r="D17" s="477"/>
      <c r="E17" s="477"/>
      <c r="F17" s="477"/>
      <c r="G17" s="477"/>
      <c r="H17" s="477"/>
      <c r="I17" s="477"/>
      <c r="J17" s="477"/>
      <c r="K17" s="477"/>
      <c r="L17" s="477"/>
      <c r="M17" s="467">
        <v>237980</v>
      </c>
      <c r="N17" s="484"/>
    </row>
    <row r="18" spans="1:14" s="485" customFormat="1" ht="12.75" customHeight="1" x14ac:dyDescent="0.2">
      <c r="A18" s="482" t="s">
        <v>1404</v>
      </c>
      <c r="B18" s="483">
        <v>240</v>
      </c>
      <c r="C18" s="477"/>
      <c r="D18" s="477"/>
      <c r="E18" s="477"/>
      <c r="F18" s="477"/>
      <c r="G18" s="477"/>
      <c r="H18" s="477"/>
      <c r="I18" s="477"/>
      <c r="J18" s="477"/>
      <c r="K18" s="477"/>
      <c r="L18" s="477"/>
      <c r="M18" s="467">
        <v>9822</v>
      </c>
      <c r="N18" s="484"/>
    </row>
    <row r="19" spans="1:14" s="485" customFormat="1" ht="12.75" customHeight="1" x14ac:dyDescent="0.2">
      <c r="A19" s="482" t="s">
        <v>1405</v>
      </c>
      <c r="B19" s="483">
        <v>250</v>
      </c>
      <c r="C19" s="477"/>
      <c r="D19" s="477"/>
      <c r="E19" s="477"/>
      <c r="F19" s="477"/>
      <c r="G19" s="477"/>
      <c r="H19" s="477"/>
      <c r="I19" s="477"/>
      <c r="J19" s="477"/>
      <c r="K19" s="477"/>
      <c r="L19" s="477"/>
      <c r="M19" s="467">
        <v>156234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406536</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350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350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443203</v>
      </c>
      <c r="D39" s="466">
        <v>268882</v>
      </c>
      <c r="E39" s="466">
        <v>6989</v>
      </c>
      <c r="F39" s="466">
        <v>253794</v>
      </c>
      <c r="G39" s="466">
        <v>26260</v>
      </c>
      <c r="H39" s="466">
        <v>18185</v>
      </c>
      <c r="I39" s="466"/>
      <c r="J39" s="467">
        <v>15255</v>
      </c>
      <c r="K39" s="466">
        <v>58178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406536</v>
      </c>
      <c r="N40" s="497"/>
    </row>
    <row r="41" spans="1:14" ht="13.5" customHeight="1" thickBot="1" x14ac:dyDescent="0.25">
      <c r="A41" s="1736" t="s">
        <v>655</v>
      </c>
      <c r="B41" s="1706"/>
      <c r="C41" s="1688">
        <f>(SUM(C34,C37,C38,C39))</f>
        <v>443203</v>
      </c>
      <c r="D41" s="1688">
        <f t="shared" ref="D41:L41" si="2">SUM(D34,D37,D38:D39)</f>
        <v>268882</v>
      </c>
      <c r="E41" s="1688">
        <f t="shared" si="2"/>
        <v>6989</v>
      </c>
      <c r="F41" s="1688">
        <f t="shared" si="2"/>
        <v>253794</v>
      </c>
      <c r="G41" s="1688">
        <f t="shared" si="2"/>
        <v>26260</v>
      </c>
      <c r="H41" s="1688">
        <f t="shared" si="2"/>
        <v>18185</v>
      </c>
      <c r="I41" s="1688">
        <f t="shared" si="2"/>
        <v>0</v>
      </c>
      <c r="J41" s="1688">
        <f t="shared" si="2"/>
        <v>15255</v>
      </c>
      <c r="K41" s="1688">
        <f t="shared" si="2"/>
        <v>58178</v>
      </c>
      <c r="L41" s="1688">
        <f t="shared" si="2"/>
        <v>350</v>
      </c>
      <c r="M41" s="1688">
        <f>SUM(M40)</f>
        <v>406536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2" right="0.2"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606259</v>
      </c>
      <c r="D4" s="1742">
        <f>'Revenues 9-14'!D109</f>
        <v>54101</v>
      </c>
      <c r="E4" s="1742">
        <f>'Revenues 9-14'!E109</f>
        <v>0</v>
      </c>
      <c r="F4" s="1742">
        <f>'Revenues 9-14'!F109</f>
        <v>19976</v>
      </c>
      <c r="G4" s="1742">
        <f>'Revenues 9-14'!G109</f>
        <v>26971</v>
      </c>
      <c r="H4" s="1742">
        <f>'Revenues 9-14'!H109</f>
        <v>0</v>
      </c>
      <c r="I4" s="1742">
        <f>'Revenues 9-14'!I109</f>
        <v>0</v>
      </c>
      <c r="J4" s="1742">
        <f>'Revenues 9-14'!J109</f>
        <v>19977</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31611</v>
      </c>
      <c r="D6" s="1743">
        <f>'Revenues 9-14'!D170</f>
        <v>0</v>
      </c>
      <c r="E6" s="1743">
        <f>'Revenues 9-14'!E170</f>
        <v>0</v>
      </c>
      <c r="F6" s="1743">
        <f>'Revenues 9-14'!F170</f>
        <v>26770</v>
      </c>
      <c r="G6" s="1743">
        <f>'Revenues 9-14'!G170</f>
        <v>0</v>
      </c>
      <c r="H6" s="1743">
        <f>'Revenues 9-14'!H170</f>
        <v>23652</v>
      </c>
      <c r="I6" s="1743">
        <f>'Revenues 9-14'!I170</f>
        <v>0</v>
      </c>
      <c r="J6" s="1743">
        <f>'Revenues 9-14'!J170</f>
        <v>0</v>
      </c>
      <c r="K6" s="1743">
        <f>'Revenues 9-14'!K170</f>
        <v>0</v>
      </c>
      <c r="L6" s="347"/>
      <c r="M6" s="513"/>
    </row>
    <row r="7" spans="1:13" ht="15.75" customHeight="1" x14ac:dyDescent="0.2">
      <c r="A7" s="1576" t="s">
        <v>1502</v>
      </c>
      <c r="B7" s="1578">
        <v>4000</v>
      </c>
      <c r="C7" s="1743">
        <f>'Revenues 9-14'!C267</f>
        <v>16479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654349</v>
      </c>
      <c r="D8" s="1688">
        <f t="shared" ref="D8:K8" si="0">SUM(D4:D7)</f>
        <v>54101</v>
      </c>
      <c r="E8" s="1688">
        <f t="shared" si="0"/>
        <v>0</v>
      </c>
      <c r="F8" s="1688">
        <f t="shared" si="0"/>
        <v>46746</v>
      </c>
      <c r="G8" s="1688">
        <f t="shared" si="0"/>
        <v>26971</v>
      </c>
      <c r="H8" s="1688">
        <f t="shared" si="0"/>
        <v>23652</v>
      </c>
      <c r="I8" s="1688">
        <f t="shared" si="0"/>
        <v>0</v>
      </c>
      <c r="J8" s="1688">
        <f t="shared" si="0"/>
        <v>19977</v>
      </c>
      <c r="K8" s="1688">
        <f t="shared" si="0"/>
        <v>0</v>
      </c>
      <c r="L8" s="347"/>
    </row>
    <row r="9" spans="1:13" ht="15.75" thickTop="1" x14ac:dyDescent="0.2">
      <c r="A9" s="514" t="s">
        <v>1653</v>
      </c>
      <c r="B9" s="515">
        <v>3998</v>
      </c>
      <c r="C9" s="481">
        <v>47089</v>
      </c>
      <c r="D9" s="516"/>
      <c r="E9" s="481"/>
      <c r="F9" s="481"/>
      <c r="G9" s="517"/>
      <c r="H9" s="481"/>
      <c r="I9" s="509" t="s">
        <v>1169</v>
      </c>
      <c r="J9" s="478"/>
      <c r="K9" s="481"/>
      <c r="L9" s="347"/>
    </row>
    <row r="10" spans="1:13" s="519" customFormat="1" ht="13.5" thickBot="1" x14ac:dyDescent="0.25">
      <c r="A10" s="1736" t="s">
        <v>1173</v>
      </c>
      <c r="B10" s="1709"/>
      <c r="C10" s="1688">
        <f>SUM(C8:C9)</f>
        <v>701438</v>
      </c>
      <c r="D10" s="1688">
        <f t="shared" ref="D10:K10" si="1">SUM(D8:D9)</f>
        <v>54101</v>
      </c>
      <c r="E10" s="1688">
        <f t="shared" si="1"/>
        <v>0</v>
      </c>
      <c r="F10" s="1688">
        <f t="shared" si="1"/>
        <v>46746</v>
      </c>
      <c r="G10" s="1688">
        <f t="shared" si="1"/>
        <v>26971</v>
      </c>
      <c r="H10" s="1688">
        <f t="shared" si="1"/>
        <v>23652</v>
      </c>
      <c r="I10" s="1688">
        <f t="shared" si="1"/>
        <v>0</v>
      </c>
      <c r="J10" s="1688">
        <f t="shared" si="1"/>
        <v>19977</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380792</v>
      </c>
      <c r="D12" s="520" t="s">
        <v>1169</v>
      </c>
      <c r="E12" s="468" t="s">
        <v>1169</v>
      </c>
      <c r="F12" s="468" t="s">
        <v>1169</v>
      </c>
      <c r="G12" s="1742">
        <f>'Expenditures 15-22'!K229</f>
        <v>9065</v>
      </c>
      <c r="H12" s="521"/>
      <c r="I12" s="468" t="s">
        <v>1169</v>
      </c>
      <c r="J12" s="468" t="s">
        <v>1169</v>
      </c>
      <c r="K12" s="521" t="s">
        <v>1169</v>
      </c>
      <c r="L12" s="347"/>
    </row>
    <row r="13" spans="1:13" ht="15.75" customHeight="1" x14ac:dyDescent="0.2">
      <c r="A13" s="1576" t="s">
        <v>457</v>
      </c>
      <c r="B13" s="1578">
        <v>2000</v>
      </c>
      <c r="C13" s="1743">
        <f>'Expenditures 15-22'!K74</f>
        <v>227086</v>
      </c>
      <c r="D13" s="1743">
        <f>'Expenditures 15-22'!K129</f>
        <v>74304</v>
      </c>
      <c r="E13" s="469" t="s">
        <v>1169</v>
      </c>
      <c r="F13" s="1743">
        <f>'Expenditures 15-22'!K184</f>
        <v>45687</v>
      </c>
      <c r="G13" s="1743">
        <f>'Expenditures 15-22'!K279</f>
        <v>13316</v>
      </c>
      <c r="H13" s="1743">
        <f>'Expenditures 15-22'!K303</f>
        <v>23000</v>
      </c>
      <c r="I13" s="468" t="s">
        <v>1169</v>
      </c>
      <c r="J13" s="1743">
        <f>'Expenditures 15-22'!K330</f>
        <v>15396</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33978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641856</v>
      </c>
      <c r="D17" s="1688">
        <f t="shared" si="2"/>
        <v>74304</v>
      </c>
      <c r="E17" s="1688">
        <f t="shared" si="2"/>
        <v>0</v>
      </c>
      <c r="F17" s="1688">
        <f t="shared" si="2"/>
        <v>45687</v>
      </c>
      <c r="G17" s="1688">
        <f t="shared" si="2"/>
        <v>22381</v>
      </c>
      <c r="H17" s="1688">
        <f t="shared" si="2"/>
        <v>23000</v>
      </c>
      <c r="I17" s="468"/>
      <c r="J17" s="1688">
        <f>SUM(J12:J16)</f>
        <v>15396</v>
      </c>
      <c r="K17" s="1688">
        <f>SUM(K12:K16)</f>
        <v>0</v>
      </c>
      <c r="L17" s="347"/>
    </row>
    <row r="18" spans="1:12" ht="15" customHeight="1" thickTop="1" x14ac:dyDescent="0.2">
      <c r="A18" s="1744" t="s">
        <v>1654</v>
      </c>
      <c r="B18" s="1745">
        <v>4180</v>
      </c>
      <c r="C18" s="1742">
        <f t="shared" ref="C18:H18" si="3">C9</f>
        <v>47089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688945</v>
      </c>
      <c r="D19" s="1688">
        <f t="shared" si="4"/>
        <v>74304</v>
      </c>
      <c r="E19" s="1688">
        <f t="shared" si="4"/>
        <v>0</v>
      </c>
      <c r="F19" s="1688">
        <f t="shared" si="4"/>
        <v>45687</v>
      </c>
      <c r="G19" s="1688">
        <f t="shared" si="4"/>
        <v>22381</v>
      </c>
      <c r="H19" s="1688">
        <f t="shared" si="4"/>
        <v>23000</v>
      </c>
      <c r="I19" s="468"/>
      <c r="J19" s="1688">
        <f>SUM(J17:J18)</f>
        <v>15396</v>
      </c>
      <c r="K19" s="1688">
        <f>SUM(K17:K18)</f>
        <v>0</v>
      </c>
      <c r="L19" s="347"/>
    </row>
    <row r="20" spans="1:12" ht="16.5" thickTop="1" thickBot="1" x14ac:dyDescent="0.25">
      <c r="A20" s="2125" t="s">
        <v>1655</v>
      </c>
      <c r="B20" s="2126"/>
      <c r="C20" s="1746">
        <f>C8-C17</f>
        <v>12493</v>
      </c>
      <c r="D20" s="1746">
        <f t="shared" ref="D20:K20" si="5">D8-D17</f>
        <v>-20203</v>
      </c>
      <c r="E20" s="1746">
        <f t="shared" si="5"/>
        <v>0</v>
      </c>
      <c r="F20" s="1746">
        <f t="shared" si="5"/>
        <v>1059</v>
      </c>
      <c r="G20" s="1746">
        <f t="shared" si="5"/>
        <v>4590</v>
      </c>
      <c r="H20" s="1746">
        <f t="shared" si="5"/>
        <v>652</v>
      </c>
      <c r="I20" s="1746">
        <f t="shared" si="5"/>
        <v>0</v>
      </c>
      <c r="J20" s="1746">
        <f t="shared" si="5"/>
        <v>4581</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12493</v>
      </c>
      <c r="D78" s="1702">
        <f t="shared" si="9"/>
        <v>-20203</v>
      </c>
      <c r="E78" s="1702">
        <f t="shared" si="9"/>
        <v>0</v>
      </c>
      <c r="F78" s="1702">
        <f t="shared" si="9"/>
        <v>1059</v>
      </c>
      <c r="G78" s="1702">
        <f t="shared" si="9"/>
        <v>4590</v>
      </c>
      <c r="H78" s="1702">
        <f t="shared" si="9"/>
        <v>652</v>
      </c>
      <c r="I78" s="1702">
        <f t="shared" si="9"/>
        <v>0</v>
      </c>
      <c r="J78" s="1702">
        <f t="shared" si="9"/>
        <v>4581</v>
      </c>
      <c r="K78" s="1702">
        <f t="shared" si="9"/>
        <v>0</v>
      </c>
      <c r="L78" s="533"/>
    </row>
    <row r="79" spans="1:12" ht="13.5" thickTop="1" x14ac:dyDescent="0.2">
      <c r="A79" s="1494" t="s">
        <v>1949</v>
      </c>
      <c r="B79" s="534"/>
      <c r="C79" s="478">
        <v>430710</v>
      </c>
      <c r="D79" s="535">
        <v>289085</v>
      </c>
      <c r="E79" s="535">
        <v>6989</v>
      </c>
      <c r="F79" s="535">
        <v>252735</v>
      </c>
      <c r="G79" s="535">
        <v>21670</v>
      </c>
      <c r="H79" s="535">
        <v>17533</v>
      </c>
      <c r="I79" s="535">
        <v>0</v>
      </c>
      <c r="J79" s="535">
        <v>10674</v>
      </c>
      <c r="K79" s="535">
        <v>58178</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443203</v>
      </c>
      <c r="D81" s="1688">
        <f>SUM(D78:D80)</f>
        <v>268882</v>
      </c>
      <c r="E81" s="1688">
        <f t="shared" ref="E81:K81" si="10">SUM(E78:E80)</f>
        <v>6989</v>
      </c>
      <c r="F81" s="1688">
        <f t="shared" si="10"/>
        <v>253794</v>
      </c>
      <c r="G81" s="1688">
        <f t="shared" si="10"/>
        <v>26260</v>
      </c>
      <c r="H81" s="1688">
        <f t="shared" si="10"/>
        <v>18185</v>
      </c>
      <c r="I81" s="1688">
        <f t="shared" si="10"/>
        <v>0</v>
      </c>
      <c r="J81" s="1688">
        <f t="shared" si="10"/>
        <v>15255</v>
      </c>
      <c r="K81" s="1688">
        <f t="shared" si="10"/>
        <v>58178</v>
      </c>
      <c r="L81" s="347"/>
    </row>
    <row r="82" spans="1:12" ht="0.75" customHeight="1" thickTop="1" thickBot="1" x14ac:dyDescent="0.25">
      <c r="A82" s="536" t="s">
        <v>343</v>
      </c>
      <c r="B82" s="537"/>
      <c r="C82" s="538">
        <f>(C81-C79)</f>
        <v>12493</v>
      </c>
      <c r="D82" s="538">
        <f t="shared" ref="D82:K82" si="11">(D81-D79)</f>
        <v>-20203</v>
      </c>
      <c r="E82" s="538">
        <f t="shared" si="11"/>
        <v>0</v>
      </c>
      <c r="F82" s="538">
        <f t="shared" si="11"/>
        <v>1059</v>
      </c>
      <c r="G82" s="538">
        <f t="shared" si="11"/>
        <v>4590</v>
      </c>
      <c r="H82" s="538">
        <f t="shared" si="11"/>
        <v>652</v>
      </c>
      <c r="I82" s="538">
        <f t="shared" si="11"/>
        <v>0</v>
      </c>
      <c r="J82" s="538">
        <f t="shared" si="11"/>
        <v>4581</v>
      </c>
      <c r="K82" s="538">
        <f t="shared" si="11"/>
        <v>0</v>
      </c>
    </row>
    <row r="83" spans="1:12" ht="14.25" hidden="1" thickTop="1" thickBot="1" x14ac:dyDescent="0.25">
      <c r="A83" s="539" t="s">
        <v>344</v>
      </c>
      <c r="B83" s="464"/>
      <c r="C83" s="540">
        <f>C82/C81</f>
        <v>2.8187986092151902E-2</v>
      </c>
      <c r="D83" s="540">
        <f t="shared" ref="D83:K83" si="12">D82/D81</f>
        <v>-7.513704896571731E-2</v>
      </c>
      <c r="E83" s="540">
        <f t="shared" si="12"/>
        <v>0</v>
      </c>
      <c r="F83" s="540">
        <f t="shared" si="12"/>
        <v>4.1726754769616306E-3</v>
      </c>
      <c r="G83" s="540">
        <f t="shared" si="12"/>
        <v>0.17479055597867479</v>
      </c>
      <c r="H83" s="540">
        <f t="shared" si="12"/>
        <v>3.5853725598020345E-2</v>
      </c>
      <c r="I83" s="540" t="e">
        <f t="shared" si="12"/>
        <v>#DIV/0!</v>
      </c>
      <c r="J83" s="540">
        <f t="shared" si="12"/>
        <v>0.30029498525073745</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90" activePane="bottomLeft" state="frozen"/>
      <selection pane="bottomLeft" activeCell="H117" sqref="H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571265</v>
      </c>
      <c r="D5" s="481">
        <v>49938</v>
      </c>
      <c r="E5" s="466"/>
      <c r="F5" s="548">
        <v>19975</v>
      </c>
      <c r="G5" s="466">
        <v>13484</v>
      </c>
      <c r="H5" s="466"/>
      <c r="I5" s="466"/>
      <c r="J5" s="467">
        <v>19977</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13483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571265</v>
      </c>
      <c r="D12" s="1707">
        <f t="shared" si="0"/>
        <v>49938</v>
      </c>
      <c r="E12" s="1707">
        <f t="shared" si="0"/>
        <v>0</v>
      </c>
      <c r="F12" s="1707">
        <f t="shared" si="0"/>
        <v>19975</v>
      </c>
      <c r="G12" s="1707">
        <f t="shared" si="0"/>
        <v>26967</v>
      </c>
      <c r="H12" s="1707">
        <f t="shared" si="0"/>
        <v>0</v>
      </c>
      <c r="I12" s="1707">
        <f t="shared" si="0"/>
        <v>0</v>
      </c>
      <c r="J12" s="1707">
        <f t="shared" si="0"/>
        <v>19977</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34</v>
      </c>
      <c r="D14" s="466">
        <v>3</v>
      </c>
      <c r="E14" s="466"/>
      <c r="F14" s="466">
        <v>1</v>
      </c>
      <c r="G14" s="466">
        <v>4</v>
      </c>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6871</v>
      </c>
      <c r="D16" s="466">
        <v>3926</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6905</v>
      </c>
      <c r="D18" s="1710">
        <f t="shared" ref="D18:K18" si="1">SUM(D14:D17)</f>
        <v>3929</v>
      </c>
      <c r="E18" s="1710">
        <f t="shared" si="1"/>
        <v>0</v>
      </c>
      <c r="F18" s="1710">
        <f t="shared" si="1"/>
        <v>1</v>
      </c>
      <c r="G18" s="1710">
        <f t="shared" si="1"/>
        <v>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10771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10771</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11119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1040</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12159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4394</v>
      </c>
      <c r="D81" s="466"/>
      <c r="E81" s="468"/>
      <c r="F81" s="468"/>
      <c r="G81" s="468"/>
      <c r="H81" s="468"/>
      <c r="I81" s="468"/>
      <c r="J81" s="468"/>
      <c r="K81" s="468"/>
    </row>
    <row r="82" spans="1:11" ht="12.75" customHeight="1" thickBot="1" x14ac:dyDescent="0.25">
      <c r="A82" s="1708" t="s">
        <v>241</v>
      </c>
      <c r="B82" s="1709"/>
      <c r="C82" s="1707">
        <f>SUM(C77:C81)</f>
        <v>4394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765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765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150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84</v>
      </c>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234</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606259</v>
      </c>
      <c r="D109" s="1715">
        <f t="shared" si="4"/>
        <v>54101</v>
      </c>
      <c r="E109" s="1715">
        <f t="shared" si="4"/>
        <v>0</v>
      </c>
      <c r="F109" s="1715">
        <f t="shared" si="4"/>
        <v>19976</v>
      </c>
      <c r="G109" s="1715">
        <f t="shared" si="4"/>
        <v>26971</v>
      </c>
      <c r="H109" s="1715">
        <f t="shared" si="4"/>
        <v>0</v>
      </c>
      <c r="I109" s="1715">
        <f t="shared" si="4"/>
        <v>0</v>
      </c>
      <c r="J109" s="1715">
        <f t="shared" si="4"/>
        <v>19977</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31584</v>
      </c>
      <c r="D117" s="481"/>
      <c r="E117" s="466"/>
      <c r="F117" s="481"/>
      <c r="G117" s="481"/>
      <c r="H117" s="466">
        <v>23652</v>
      </c>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31584</v>
      </c>
      <c r="D122" s="1707">
        <f t="shared" si="5"/>
        <v>0</v>
      </c>
      <c r="E122" s="1707">
        <f t="shared" si="5"/>
        <v>0</v>
      </c>
      <c r="F122" s="1707">
        <f t="shared" si="5"/>
        <v>0</v>
      </c>
      <c r="G122" s="1707">
        <f t="shared" si="5"/>
        <v>0</v>
      </c>
      <c r="H122" s="1707">
        <f t="shared" si="5"/>
        <v>23652</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24888</v>
      </c>
      <c r="G152" s="467"/>
      <c r="H152" s="468"/>
      <c r="I152" s="468"/>
      <c r="J152" s="468"/>
      <c r="K152" s="468"/>
    </row>
    <row r="153" spans="1:11" ht="12.75" customHeight="1" x14ac:dyDescent="0.2">
      <c r="A153" s="463" t="s">
        <v>1057</v>
      </c>
      <c r="B153" s="562">
        <v>3510</v>
      </c>
      <c r="C153" s="551"/>
      <c r="D153" s="466"/>
      <c r="E153" s="561"/>
      <c r="F153" s="466">
        <v>1882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26770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27</v>
      </c>
      <c r="D169" s="1722">
        <f t="shared" si="6"/>
        <v>0</v>
      </c>
      <c r="E169" s="1722">
        <f t="shared" si="6"/>
        <v>0</v>
      </c>
      <c r="F169" s="1722">
        <f t="shared" si="6"/>
        <v>26770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31611</v>
      </c>
      <c r="D170" s="1715">
        <f t="shared" si="7"/>
        <v>0</v>
      </c>
      <c r="E170" s="1715">
        <f t="shared" si="7"/>
        <v>0</v>
      </c>
      <c r="F170" s="1715">
        <f t="shared" si="7"/>
        <v>26770</v>
      </c>
      <c r="G170" s="1715">
        <f t="shared" si="7"/>
        <v>0</v>
      </c>
      <c r="H170" s="1715">
        <f t="shared" si="7"/>
        <v>23652</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3143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3521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11054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11054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994</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910</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16479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16479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654349</v>
      </c>
      <c r="D268" s="1715">
        <f t="shared" si="12"/>
        <v>54101</v>
      </c>
      <c r="E268" s="1715">
        <f t="shared" si="12"/>
        <v>0</v>
      </c>
      <c r="F268" s="1715">
        <f t="shared" si="12"/>
        <v>46746</v>
      </c>
      <c r="G268" s="1715">
        <f t="shared" si="12"/>
        <v>26971</v>
      </c>
      <c r="H268" s="1715">
        <f t="shared" si="12"/>
        <v>23652</v>
      </c>
      <c r="I268" s="1715">
        <f t="shared" si="12"/>
        <v>0</v>
      </c>
      <c r="J268" s="1715">
        <f t="shared" si="12"/>
        <v>19977</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47" activePane="bottomLeft" state="frozen"/>
      <selection pane="bottomLeft" activeCell="C50" sqref="C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353831</v>
      </c>
      <c r="D5" s="466">
        <v>11774</v>
      </c>
      <c r="E5" s="466">
        <v>6909</v>
      </c>
      <c r="F5" s="466">
        <v>3246</v>
      </c>
      <c r="G5" s="466"/>
      <c r="H5" s="466"/>
      <c r="I5" s="467"/>
      <c r="J5" s="467"/>
      <c r="K5" s="1671">
        <f>SUM(C5:J5)</f>
        <v>375760</v>
      </c>
      <c r="L5" s="466">
        <v>360780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v>27899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4150</v>
      </c>
      <c r="D14" s="466">
        <v>150</v>
      </c>
      <c r="E14" s="466">
        <v>677</v>
      </c>
      <c r="F14" s="466">
        <v>55</v>
      </c>
      <c r="G14" s="466"/>
      <c r="H14" s="466"/>
      <c r="I14" s="467"/>
      <c r="J14" s="467"/>
      <c r="K14" s="1671">
        <f t="shared" si="0"/>
        <v>5032</v>
      </c>
      <c r="L14" s="466">
        <v>13000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357981</v>
      </c>
      <c r="D33" s="1670">
        <f t="shared" ref="D33:L33" si="1">SUM(D5:D32)</f>
        <v>11924</v>
      </c>
      <c r="E33" s="1670">
        <f t="shared" si="1"/>
        <v>7586</v>
      </c>
      <c r="F33" s="1670">
        <f t="shared" si="1"/>
        <v>3301</v>
      </c>
      <c r="G33" s="1670">
        <f t="shared" si="1"/>
        <v>0</v>
      </c>
      <c r="H33" s="1670">
        <f t="shared" si="1"/>
        <v>0</v>
      </c>
      <c r="I33" s="1670">
        <f t="shared" si="1"/>
        <v>0</v>
      </c>
      <c r="J33" s="1670">
        <f t="shared" si="1"/>
        <v>0</v>
      </c>
      <c r="K33" s="1670">
        <f t="shared" si="1"/>
        <v>380792</v>
      </c>
      <c r="L33" s="1670">
        <f t="shared" si="1"/>
        <v>401679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14358</v>
      </c>
      <c r="D40" s="466"/>
      <c r="E40" s="466"/>
      <c r="F40" s="466"/>
      <c r="G40" s="466"/>
      <c r="H40" s="466"/>
      <c r="I40" s="467"/>
      <c r="J40" s="467"/>
      <c r="K40" s="1671">
        <f t="shared" si="2"/>
        <v>14358</v>
      </c>
      <c r="L40" s="466">
        <v>14500</v>
      </c>
    </row>
    <row r="41" spans="1:14" x14ac:dyDescent="0.2">
      <c r="A41" s="1504" t="s">
        <v>1669</v>
      </c>
      <c r="B41" s="614">
        <v>2190</v>
      </c>
      <c r="C41" s="466"/>
      <c r="D41" s="466"/>
      <c r="E41" s="466"/>
      <c r="F41" s="466"/>
      <c r="G41" s="466"/>
      <c r="H41" s="466"/>
      <c r="I41" s="467"/>
      <c r="J41" s="467"/>
      <c r="K41" s="1671">
        <f t="shared" si="2"/>
        <v>0</v>
      </c>
      <c r="L41" s="466">
        <v>100</v>
      </c>
    </row>
    <row r="42" spans="1:14" ht="12.75" customHeight="1" thickBot="1" x14ac:dyDescent="0.25">
      <c r="A42" s="1668" t="s">
        <v>560</v>
      </c>
      <c r="B42" s="1669" t="s">
        <v>716</v>
      </c>
      <c r="C42" s="1670">
        <f>SUM(C36:C41)</f>
        <v>14358</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14358</v>
      </c>
      <c r="L42" s="1670">
        <f t="shared" si="3"/>
        <v>14600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906</v>
      </c>
      <c r="F44" s="481"/>
      <c r="G44" s="481"/>
      <c r="H44" s="481"/>
      <c r="I44" s="467"/>
      <c r="J44" s="467"/>
      <c r="K44" s="1672">
        <f>SUM(C44:J44)</f>
        <v>906</v>
      </c>
      <c r="L44" s="481">
        <v>2500</v>
      </c>
    </row>
    <row r="45" spans="1:14" x14ac:dyDescent="0.2">
      <c r="A45" s="1504" t="s">
        <v>815</v>
      </c>
      <c r="B45" s="614">
        <v>2220</v>
      </c>
      <c r="C45" s="466"/>
      <c r="D45" s="466"/>
      <c r="E45" s="466"/>
      <c r="F45" s="466"/>
      <c r="G45" s="466"/>
      <c r="H45" s="466"/>
      <c r="I45" s="467"/>
      <c r="J45" s="467"/>
      <c r="K45" s="1672">
        <f>SUM(C45:J45)</f>
        <v>0</v>
      </c>
      <c r="L45" s="466">
        <v>1000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906</v>
      </c>
      <c r="F47" s="1670">
        <f t="shared" si="4"/>
        <v>0</v>
      </c>
      <c r="G47" s="1670">
        <f t="shared" si="4"/>
        <v>0</v>
      </c>
      <c r="H47" s="1670">
        <f t="shared" si="4"/>
        <v>0</v>
      </c>
      <c r="I47" s="1670">
        <f t="shared" si="4"/>
        <v>0</v>
      </c>
      <c r="J47" s="1670">
        <f t="shared" si="4"/>
        <v>0</v>
      </c>
      <c r="K47" s="1670">
        <f t="shared" si="4"/>
        <v>906</v>
      </c>
      <c r="L47" s="1670">
        <f>SUM(L44:L46)</f>
        <v>3500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33972</v>
      </c>
      <c r="F49" s="481">
        <v>2479</v>
      </c>
      <c r="G49" s="481"/>
      <c r="H49" s="481">
        <v>4024</v>
      </c>
      <c r="I49" s="467"/>
      <c r="J49" s="467"/>
      <c r="K49" s="1672">
        <f>SUM(C49:J49)</f>
        <v>40475</v>
      </c>
      <c r="L49" s="481">
        <v>42150</v>
      </c>
    </row>
    <row r="50" spans="1:14" x14ac:dyDescent="0.2">
      <c r="A50" s="1504" t="s">
        <v>818</v>
      </c>
      <c r="B50" s="614">
        <v>2320</v>
      </c>
      <c r="C50" s="466">
        <v>126991</v>
      </c>
      <c r="D50" s="466">
        <v>11817</v>
      </c>
      <c r="E50" s="466">
        <v>1529</v>
      </c>
      <c r="F50" s="466"/>
      <c r="G50" s="466"/>
      <c r="H50" s="466"/>
      <c r="I50" s="467"/>
      <c r="J50" s="467"/>
      <c r="K50" s="1672">
        <f>SUM(C50:J50)</f>
        <v>140337</v>
      </c>
      <c r="L50" s="466">
        <v>141041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126991</v>
      </c>
      <c r="D53" s="1670">
        <f t="shared" ref="D53:L53" si="5">SUM(D49:D52)</f>
        <v>11817</v>
      </c>
      <c r="E53" s="1670">
        <f t="shared" si="5"/>
        <v>35501</v>
      </c>
      <c r="F53" s="1670">
        <f t="shared" si="5"/>
        <v>2479</v>
      </c>
      <c r="G53" s="1670">
        <f t="shared" si="5"/>
        <v>0</v>
      </c>
      <c r="H53" s="1670">
        <f t="shared" si="5"/>
        <v>4024</v>
      </c>
      <c r="I53" s="1670">
        <f t="shared" si="5"/>
        <v>0</v>
      </c>
      <c r="J53" s="1670">
        <f t="shared" si="5"/>
        <v>0</v>
      </c>
      <c r="K53" s="1670">
        <f t="shared" si="5"/>
        <v>180812</v>
      </c>
      <c r="L53" s="1670">
        <f t="shared" si="5"/>
        <v>183191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14278</v>
      </c>
      <c r="D63" s="466"/>
      <c r="E63" s="466"/>
      <c r="F63" s="466">
        <v>16732</v>
      </c>
      <c r="G63" s="466"/>
      <c r="H63" s="466"/>
      <c r="I63" s="467"/>
      <c r="J63" s="467"/>
      <c r="K63" s="1672">
        <f t="shared" si="7"/>
        <v>31010</v>
      </c>
      <c r="L63" s="466">
        <v>31057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14278</v>
      </c>
      <c r="D65" s="1670">
        <f t="shared" ref="D65:L65" si="8">SUM(D59:D64)</f>
        <v>0</v>
      </c>
      <c r="E65" s="1670">
        <f t="shared" si="8"/>
        <v>0</v>
      </c>
      <c r="F65" s="1670">
        <f t="shared" si="8"/>
        <v>16732</v>
      </c>
      <c r="G65" s="1670">
        <f t="shared" si="8"/>
        <v>0</v>
      </c>
      <c r="H65" s="1670">
        <f t="shared" si="8"/>
        <v>0</v>
      </c>
      <c r="I65" s="1670">
        <f t="shared" si="8"/>
        <v>0</v>
      </c>
      <c r="J65" s="1670">
        <f t="shared" si="8"/>
        <v>0</v>
      </c>
      <c r="K65" s="1670">
        <f t="shared" si="8"/>
        <v>31010</v>
      </c>
      <c r="L65" s="1670">
        <f t="shared" si="8"/>
        <v>31057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155627</v>
      </c>
      <c r="D74" s="1677">
        <f t="shared" ref="D74:K74" si="10">SUM(D42,D47,D53,D57,D65,D72,D73)</f>
        <v>11817</v>
      </c>
      <c r="E74" s="1677">
        <f t="shared" si="10"/>
        <v>36407</v>
      </c>
      <c r="F74" s="1677">
        <f t="shared" si="10"/>
        <v>19211</v>
      </c>
      <c r="G74" s="1677">
        <f t="shared" si="10"/>
        <v>0</v>
      </c>
      <c r="H74" s="1677">
        <f t="shared" si="10"/>
        <v>4024</v>
      </c>
      <c r="I74" s="1677">
        <f t="shared" si="10"/>
        <v>0</v>
      </c>
      <c r="J74" s="1677">
        <f t="shared" si="10"/>
        <v>0</v>
      </c>
      <c r="K74" s="1677">
        <f t="shared" si="10"/>
        <v>227086</v>
      </c>
      <c r="L74" s="1677">
        <f>SUM(L42,L47,L53,L57,L65,L72,L73)</f>
        <v>232348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4160</v>
      </c>
      <c r="I79" s="477"/>
      <c r="J79" s="477"/>
      <c r="K79" s="1671">
        <f t="shared" si="11"/>
        <v>4160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4160</v>
      </c>
      <c r="I84" s="477"/>
      <c r="J84" s="477"/>
      <c r="K84" s="1670">
        <f>SUM(K78:K83)</f>
        <v>4160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29818</v>
      </c>
      <c r="I86" s="477"/>
      <c r="J86" s="477"/>
      <c r="K86" s="1677">
        <f t="shared" ref="K86:K98" si="12">H86</f>
        <v>29818</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29818</v>
      </c>
      <c r="I92" s="477"/>
      <c r="J92" s="477"/>
      <c r="K92" s="1677">
        <f t="shared" si="12"/>
        <v>29818</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33978</v>
      </c>
      <c r="I102" s="477"/>
      <c r="J102" s="477"/>
      <c r="K102" s="1677">
        <f>SUM(K84,K92,K100,K101)</f>
        <v>33978</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513608</v>
      </c>
      <c r="D114" s="1670">
        <f t="shared" ref="D114:K114" si="13">SUM(D33,D74,D75,D102,D112,D113)</f>
        <v>23741</v>
      </c>
      <c r="E114" s="1670">
        <f t="shared" si="13"/>
        <v>43993</v>
      </c>
      <c r="F114" s="1670">
        <f t="shared" si="13"/>
        <v>22512</v>
      </c>
      <c r="G114" s="1670">
        <f t="shared" si="13"/>
        <v>0</v>
      </c>
      <c r="H114" s="1670">
        <f>SUM(H33,H74,H75,H102,H112,H113)</f>
        <v>38002</v>
      </c>
      <c r="I114" s="1670">
        <f t="shared" si="13"/>
        <v>0</v>
      </c>
      <c r="J114" s="1670">
        <f t="shared" si="13"/>
        <v>0</v>
      </c>
      <c r="K114" s="1670">
        <f t="shared" si="13"/>
        <v>641856</v>
      </c>
      <c r="L114" s="1670">
        <f>SUM(L33,L74,L75,L102,L112,L113)</f>
        <v>634027</v>
      </c>
    </row>
    <row r="115" spans="1:14" ht="13.5" thickTop="1" x14ac:dyDescent="0.2">
      <c r="A115" s="2155" t="s">
        <v>996</v>
      </c>
      <c r="B115" s="2156"/>
      <c r="C115" s="618"/>
      <c r="D115" s="618"/>
      <c r="E115" s="618"/>
      <c r="F115" s="618"/>
      <c r="G115" s="618"/>
      <c r="H115" s="618"/>
      <c r="I115" s="618"/>
      <c r="J115" s="618"/>
      <c r="K115" s="1684">
        <f>'Revenues 9-14'!C268-'Expenditures 15-22'!K114</f>
        <v>12493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31415</v>
      </c>
      <c r="D124" s="466">
        <v>645</v>
      </c>
      <c r="E124" s="466">
        <v>25783</v>
      </c>
      <c r="F124" s="466">
        <v>16461</v>
      </c>
      <c r="G124" s="466"/>
      <c r="H124" s="466"/>
      <c r="I124" s="467"/>
      <c r="J124" s="467"/>
      <c r="K124" s="1670">
        <f>SUM(C124:J124)</f>
        <v>74304</v>
      </c>
      <c r="L124" s="466">
        <v>71925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31415</v>
      </c>
      <c r="D127" s="1670">
        <f t="shared" ref="D127:L127" si="14">SUM(D122:D126)</f>
        <v>645</v>
      </c>
      <c r="E127" s="1670">
        <f t="shared" si="14"/>
        <v>25783</v>
      </c>
      <c r="F127" s="1670">
        <f t="shared" si="14"/>
        <v>16461</v>
      </c>
      <c r="G127" s="1670">
        <f t="shared" si="14"/>
        <v>0</v>
      </c>
      <c r="H127" s="1670">
        <f t="shared" si="14"/>
        <v>0</v>
      </c>
      <c r="I127" s="1670">
        <f t="shared" si="14"/>
        <v>0</v>
      </c>
      <c r="J127" s="1670">
        <f t="shared" si="14"/>
        <v>0</v>
      </c>
      <c r="K127" s="1670">
        <f t="shared" si="14"/>
        <v>74304</v>
      </c>
      <c r="L127" s="1670">
        <f t="shared" si="14"/>
        <v>71925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31415</v>
      </c>
      <c r="D129" s="1677">
        <f t="shared" ref="D129:L129" si="15">SUM(D120,D127,D128)</f>
        <v>645</v>
      </c>
      <c r="E129" s="1677">
        <f t="shared" si="15"/>
        <v>25783</v>
      </c>
      <c r="F129" s="1677">
        <f t="shared" si="15"/>
        <v>16461</v>
      </c>
      <c r="G129" s="1677">
        <f t="shared" si="15"/>
        <v>0</v>
      </c>
      <c r="H129" s="1677">
        <f t="shared" si="15"/>
        <v>0</v>
      </c>
      <c r="I129" s="1677">
        <f t="shared" si="15"/>
        <v>0</v>
      </c>
      <c r="J129" s="1677">
        <f t="shared" si="15"/>
        <v>0</v>
      </c>
      <c r="K129" s="1677">
        <f t="shared" si="15"/>
        <v>74304</v>
      </c>
      <c r="L129" s="1677">
        <f t="shared" si="15"/>
        <v>71925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31415</v>
      </c>
      <c r="D151" s="1670">
        <f t="shared" ref="D151:K151" si="16">SUM(D129,D130,D139,D149,D150)</f>
        <v>645</v>
      </c>
      <c r="E151" s="1670">
        <f t="shared" si="16"/>
        <v>25783</v>
      </c>
      <c r="F151" s="1670">
        <f t="shared" si="16"/>
        <v>16461</v>
      </c>
      <c r="G151" s="1670">
        <f t="shared" si="16"/>
        <v>0</v>
      </c>
      <c r="H151" s="1670">
        <f t="shared" si="16"/>
        <v>0</v>
      </c>
      <c r="I151" s="1670">
        <f t="shared" si="16"/>
        <v>0</v>
      </c>
      <c r="J151" s="1670">
        <f t="shared" si="16"/>
        <v>0</v>
      </c>
      <c r="K151" s="1670">
        <f t="shared" si="16"/>
        <v>74304</v>
      </c>
      <c r="L151" s="1670">
        <f>SUM(L129,L130,L139,L149,L150)</f>
        <v>71925</v>
      </c>
    </row>
    <row r="152" spans="1:14" ht="12.75" customHeight="1" thickTop="1" x14ac:dyDescent="0.2">
      <c r="A152" s="2175" t="s">
        <v>1178</v>
      </c>
      <c r="B152" s="2176"/>
      <c r="C152" s="618"/>
      <c r="D152" s="618"/>
      <c r="E152" s="618"/>
      <c r="F152" s="618"/>
      <c r="G152" s="618"/>
      <c r="H152" s="618"/>
      <c r="I152" s="618"/>
      <c r="J152" s="616"/>
      <c r="K152" s="1684">
        <f>'Revenues 9-14'!D268-'Expenditures 15-22'!K151</f>
        <v>-20203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5" t="s">
        <v>996</v>
      </c>
      <c r="B175" s="2156"/>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17304</v>
      </c>
      <c r="D182" s="466"/>
      <c r="E182" s="466">
        <v>20877</v>
      </c>
      <c r="F182" s="466">
        <v>7506</v>
      </c>
      <c r="G182" s="466"/>
      <c r="H182" s="466"/>
      <c r="I182" s="467"/>
      <c r="J182" s="467"/>
      <c r="K182" s="1671">
        <f>SUM(C182:J182)</f>
        <v>45687</v>
      </c>
      <c r="L182" s="466">
        <v>50750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17304</v>
      </c>
      <c r="D184" s="1677">
        <f t="shared" ref="D184:J184" si="17">SUM(D180,D182,D183)</f>
        <v>0</v>
      </c>
      <c r="E184" s="1677">
        <f t="shared" si="17"/>
        <v>20877</v>
      </c>
      <c r="F184" s="1677">
        <f t="shared" si="17"/>
        <v>7506</v>
      </c>
      <c r="G184" s="1677">
        <f t="shared" si="17"/>
        <v>0</v>
      </c>
      <c r="H184" s="1677">
        <f t="shared" si="17"/>
        <v>0</v>
      </c>
      <c r="I184" s="1677">
        <f t="shared" si="17"/>
        <v>0</v>
      </c>
      <c r="J184" s="1677">
        <f t="shared" si="17"/>
        <v>0</v>
      </c>
      <c r="K184" s="1677">
        <f>SUM(K180,K182,K183)</f>
        <v>45687</v>
      </c>
      <c r="L184" s="1677">
        <f>SUM(L180, L182:L183)</f>
        <v>50750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17304</v>
      </c>
      <c r="D210" s="1670">
        <f>SUM(D184,D185)</f>
        <v>0</v>
      </c>
      <c r="E210" s="1670">
        <f>SUM(E184,E185,E196)</f>
        <v>20877</v>
      </c>
      <c r="F210" s="1670">
        <f>SUM(F184,F185)</f>
        <v>7506</v>
      </c>
      <c r="G210" s="1670">
        <f>SUM(G184,G185)</f>
        <v>0</v>
      </c>
      <c r="H210" s="1670">
        <f>SUM(H184,H185,H196,H208,H209)</f>
        <v>0</v>
      </c>
      <c r="I210" s="1670">
        <f>SUM(I184,I185)</f>
        <v>0</v>
      </c>
      <c r="J210" s="1670">
        <f>SUM(J184,J185)</f>
        <v>0</v>
      </c>
      <c r="K210" s="1671">
        <f>SUM(K184,K185,K196,K208,K209)</f>
        <v>45687</v>
      </c>
      <c r="L210" s="1670">
        <f>SUM(L184,L185,L196,L208,L209)</f>
        <v>51750</v>
      </c>
    </row>
    <row r="211" spans="1:14" ht="13.5" thickTop="1" x14ac:dyDescent="0.2">
      <c r="A211" s="2155" t="s">
        <v>996</v>
      </c>
      <c r="B211" s="2156"/>
      <c r="C211" s="618"/>
      <c r="D211" s="618"/>
      <c r="E211" s="618"/>
      <c r="F211" s="618"/>
      <c r="G211" s="618"/>
      <c r="H211" s="618"/>
      <c r="I211" s="616"/>
      <c r="J211" s="616"/>
      <c r="K211" s="1684">
        <f>'Revenues 9-14'!F268-'Expenditures 15-22'!K210</f>
        <v>1059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9005</v>
      </c>
      <c r="E215" s="616"/>
      <c r="F215" s="616"/>
      <c r="G215" s="616"/>
      <c r="H215" s="616"/>
      <c r="I215" s="616"/>
      <c r="J215" s="616"/>
      <c r="K215" s="1671">
        <f>D215</f>
        <v>9005</v>
      </c>
      <c r="L215" s="466">
        <v>7828</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60</v>
      </c>
      <c r="E223" s="616"/>
      <c r="F223" s="616"/>
      <c r="G223" s="616"/>
      <c r="H223" s="616"/>
      <c r="I223" s="616"/>
      <c r="J223" s="616"/>
      <c r="K223" s="1671">
        <f t="shared" si="19"/>
        <v>60</v>
      </c>
      <c r="L223" s="466">
        <v>750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9065</v>
      </c>
      <c r="E229" s="616"/>
      <c r="F229" s="616"/>
      <c r="G229" s="616"/>
      <c r="H229" s="616"/>
      <c r="I229" s="616"/>
      <c r="J229" s="616"/>
      <c r="K229" s="1670">
        <f>SUM(K215:K228)</f>
        <v>9065</v>
      </c>
      <c r="L229" s="1670">
        <f>SUM(L215:L228)</f>
        <v>8578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208</v>
      </c>
      <c r="E236" s="616"/>
      <c r="F236" s="616"/>
      <c r="G236" s="616"/>
      <c r="H236" s="616"/>
      <c r="I236" s="616"/>
      <c r="J236" s="616"/>
      <c r="K236" s="1671">
        <f t="shared" si="20"/>
        <v>208</v>
      </c>
      <c r="L236" s="466">
        <v>225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208</v>
      </c>
      <c r="E238" s="616"/>
      <c r="F238" s="616"/>
      <c r="G238" s="616"/>
      <c r="H238" s="616"/>
      <c r="I238" s="616"/>
      <c r="J238" s="616"/>
      <c r="K238" s="1670">
        <f>SUM(K232:K237)</f>
        <v>208</v>
      </c>
      <c r="L238" s="1670">
        <f>SUM(L232:L237)</f>
        <v>225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5718</v>
      </c>
      <c r="E246" s="616"/>
      <c r="F246" s="616"/>
      <c r="G246" s="616"/>
      <c r="H246" s="616"/>
      <c r="I246" s="616"/>
      <c r="J246" s="616"/>
      <c r="K246" s="1672">
        <f t="shared" ref="K246:K256" si="21">D246</f>
        <v>5718</v>
      </c>
      <c r="L246" s="466">
        <v>6000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5718</v>
      </c>
      <c r="E257" s="616"/>
      <c r="F257" s="616"/>
      <c r="G257" s="616"/>
      <c r="H257" s="616"/>
      <c r="I257" s="616"/>
      <c r="J257" s="616"/>
      <c r="K257" s="1670">
        <f>SUM(K245:K256)</f>
        <v>5718</v>
      </c>
      <c r="L257" s="1670">
        <f>SUM(L245:L256)</f>
        <v>6000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3971</v>
      </c>
      <c r="E266" s="616"/>
      <c r="F266" s="616"/>
      <c r="G266" s="616"/>
      <c r="H266" s="616"/>
      <c r="I266" s="616"/>
      <c r="J266" s="616"/>
      <c r="K266" s="1672">
        <f t="shared" si="22"/>
        <v>3971</v>
      </c>
      <c r="L266" s="466">
        <v>4500</v>
      </c>
    </row>
    <row r="267" spans="1:14" x14ac:dyDescent="0.2">
      <c r="A267" s="1504" t="s">
        <v>953</v>
      </c>
      <c r="B267" s="614">
        <v>2550</v>
      </c>
      <c r="C267" s="616"/>
      <c r="D267" s="466">
        <v>1598</v>
      </c>
      <c r="E267" s="616"/>
      <c r="F267" s="616"/>
      <c r="G267" s="616"/>
      <c r="H267" s="616"/>
      <c r="I267" s="616"/>
      <c r="J267" s="616"/>
      <c r="K267" s="1672">
        <f t="shared" si="22"/>
        <v>1598</v>
      </c>
      <c r="L267" s="466">
        <v>1875</v>
      </c>
    </row>
    <row r="268" spans="1:14" x14ac:dyDescent="0.2">
      <c r="A268" s="1504" t="s">
        <v>100</v>
      </c>
      <c r="B268" s="614">
        <v>2560</v>
      </c>
      <c r="C268" s="616"/>
      <c r="D268" s="466">
        <v>1821</v>
      </c>
      <c r="E268" s="616"/>
      <c r="F268" s="616"/>
      <c r="G268" s="616"/>
      <c r="H268" s="616"/>
      <c r="I268" s="616"/>
      <c r="J268" s="616"/>
      <c r="K268" s="1672">
        <f t="shared" si="22"/>
        <v>1821</v>
      </c>
      <c r="L268" s="466">
        <v>2025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7390</v>
      </c>
      <c r="E270" s="616"/>
      <c r="F270" s="616"/>
      <c r="G270" s="616"/>
      <c r="H270" s="616"/>
      <c r="I270" s="616"/>
      <c r="J270" s="616"/>
      <c r="K270" s="1670">
        <f>SUM(K263:K269)</f>
        <v>7390</v>
      </c>
      <c r="L270" s="1670">
        <f>SUM(L263:L269)</f>
        <v>8400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13316</v>
      </c>
      <c r="E279" s="616"/>
      <c r="F279" s="616"/>
      <c r="G279" s="616"/>
      <c r="H279" s="616"/>
      <c r="I279" s="616"/>
      <c r="J279" s="616"/>
      <c r="K279" s="1677">
        <f>SUM(K238,K243,K257,K261,K270,K277,K278)</f>
        <v>13316</v>
      </c>
      <c r="L279" s="1677">
        <f>SUM(L238,L243,L257,L261,L270,L277,L278)</f>
        <v>14625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22381</v>
      </c>
      <c r="E295" s="616"/>
      <c r="F295" s="616"/>
      <c r="G295" s="616"/>
      <c r="H295" s="1670">
        <f>H293</f>
        <v>0</v>
      </c>
      <c r="I295" s="616"/>
      <c r="J295" s="616"/>
      <c r="K295" s="1670">
        <f>SUM(K229,K279,K280,K285,K293,K294)</f>
        <v>22381</v>
      </c>
      <c r="L295" s="1670">
        <f>SUM(L229,L279,L280,L285,L293,L294)</f>
        <v>23203</v>
      </c>
    </row>
    <row r="296" spans="1:14" ht="13.5" thickTop="1" x14ac:dyDescent="0.2">
      <c r="A296" s="2155" t="s">
        <v>996</v>
      </c>
      <c r="B296" s="2156"/>
      <c r="C296" s="616"/>
      <c r="D296" s="618"/>
      <c r="E296" s="616"/>
      <c r="F296" s="616"/>
      <c r="G296" s="616"/>
      <c r="H296" s="687"/>
      <c r="I296" s="616"/>
      <c r="J296" s="616"/>
      <c r="K296" s="1684">
        <f>'Revenues 9-14'!G268-'Expenditures 15-22'!K295</f>
        <v>4590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23000</v>
      </c>
      <c r="F301" s="466"/>
      <c r="G301" s="466"/>
      <c r="H301" s="466"/>
      <c r="I301" s="467"/>
      <c r="J301" s="467"/>
      <c r="K301" s="1671">
        <f>SUM(C301:J301)</f>
        <v>23000</v>
      </c>
      <c r="L301" s="467">
        <v>23000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23000</v>
      </c>
      <c r="F303" s="1677">
        <f t="shared" si="23"/>
        <v>0</v>
      </c>
      <c r="G303" s="1677">
        <f t="shared" si="23"/>
        <v>0</v>
      </c>
      <c r="H303" s="1677">
        <f t="shared" si="23"/>
        <v>0</v>
      </c>
      <c r="I303" s="1677">
        <f t="shared" si="23"/>
        <v>0</v>
      </c>
      <c r="J303" s="1677">
        <f t="shared" si="23"/>
        <v>0</v>
      </c>
      <c r="K303" s="1677">
        <f t="shared" si="23"/>
        <v>23000</v>
      </c>
      <c r="L303" s="1677">
        <f t="shared" si="23"/>
        <v>23000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23000</v>
      </c>
      <c r="F312" s="1670">
        <f>SUM(F303)</f>
        <v>0</v>
      </c>
      <c r="G312" s="1670">
        <f>SUM(G303)</f>
        <v>0</v>
      </c>
      <c r="H312" s="1670">
        <f>SUM(H303,H310)</f>
        <v>0</v>
      </c>
      <c r="I312" s="1670">
        <f>SUM(I303)</f>
        <v>0</v>
      </c>
      <c r="J312" s="1670">
        <f>SUM(J303)</f>
        <v>0</v>
      </c>
      <c r="K312" s="1670">
        <f>SUM(K303,K310,K311)</f>
        <v>23000</v>
      </c>
      <c r="L312" s="1670">
        <f>SUM(L303,L310,L311)</f>
        <v>23000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652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15396</v>
      </c>
      <c r="F322" s="467"/>
      <c r="G322" s="467"/>
      <c r="H322" s="467"/>
      <c r="I322" s="467"/>
      <c r="J322" s="467"/>
      <c r="K322" s="1671">
        <f t="shared" si="24"/>
        <v>15396</v>
      </c>
      <c r="L322" s="467">
        <v>17500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15396</v>
      </c>
      <c r="F330" s="1670">
        <f t="shared" si="25"/>
        <v>0</v>
      </c>
      <c r="G330" s="1670">
        <f t="shared" si="25"/>
        <v>0</v>
      </c>
      <c r="H330" s="1670">
        <f t="shared" si="25"/>
        <v>0</v>
      </c>
      <c r="I330" s="1670">
        <f t="shared" si="25"/>
        <v>0</v>
      </c>
      <c r="J330" s="1670">
        <f t="shared" si="25"/>
        <v>0</v>
      </c>
      <c r="K330" s="1670">
        <f>SUM(K319:K329)</f>
        <v>15396</v>
      </c>
      <c r="L330" s="1670">
        <f>SUM(L319:L329)</f>
        <v>17500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15396</v>
      </c>
      <c r="F342" s="1670">
        <f>SUM(F330)</f>
        <v>0</v>
      </c>
      <c r="G342" s="1670">
        <f>SUM(G330)</f>
        <v>0</v>
      </c>
      <c r="H342" s="1670">
        <f>SUM(H330,H334,H340)</f>
        <v>0</v>
      </c>
      <c r="I342" s="1670">
        <f>SUM(I330)</f>
        <v>0</v>
      </c>
      <c r="J342" s="1670">
        <f>SUM(J330)</f>
        <v>0</v>
      </c>
      <c r="K342" s="1670">
        <f>SUM(K330,K334,K340)</f>
        <v>15396</v>
      </c>
      <c r="L342" s="1677">
        <f>SUM(L330,L340,L341)</f>
        <v>17500</v>
      </c>
    </row>
    <row r="343" spans="1:14" ht="12.75" customHeight="1" thickTop="1" x14ac:dyDescent="0.2">
      <c r="A343" s="2168" t="s">
        <v>996</v>
      </c>
      <c r="B343" s="2169"/>
      <c r="C343" s="616"/>
      <c r="D343" s="616"/>
      <c r="E343" s="616"/>
      <c r="F343" s="616"/>
      <c r="G343" s="616"/>
      <c r="H343" s="616"/>
      <c r="I343" s="616"/>
      <c r="J343" s="616"/>
      <c r="K343" s="1684">
        <f>'Revenues 9-14'!J268-'Expenditures 15-22'!K342</f>
        <v>4581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100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100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http://schemas.openxmlformats.org/package/2006/metadata/core-properties"/>
    <ds:schemaRef ds:uri="http://schemas.microsoft.com/office/2006/metadata/properties"/>
    <ds:schemaRef ds:uri="6ce3111e-7420-4802-b50a-75d4e9a0b980"/>
    <ds:schemaRef ds:uri="http://purl.org/dc/elements/1.1/"/>
    <ds:schemaRef ds:uri="http://schemas.microsoft.com/office/2006/documentManagement/types"/>
    <ds:schemaRef ds:uri="http://purl.org/dc/dcmitype/"/>
    <ds:schemaRef ds:uri="d21dc803-237d-4c68-8692-8d731fd29118"/>
    <ds:schemaRef ds:uri="http://schemas.microsoft.com/sharepoint/v3"/>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2019-08-27T18:18:21Z</cp:lastPrinted>
  <dcterms:created xsi:type="dcterms:W3CDTF">2003-10-29T19:06:34Z</dcterms:created>
  <dcterms:modified xsi:type="dcterms:W3CDTF">2019-11-25T17:14:30Z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