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C0709FCA-685E-49EF-9F4F-94057BE0C0F5}"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Signature page" sheetId="183"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Contracts Paid in CY 29" sheetId="181" r:id="rId15"/>
    <sheet name="PCTC-OEPP 27-28" sheetId="34" r:id="rId16"/>
    <sheet name="ICR Computation 30" sheetId="108"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7">'Acct Summary 7-8'!$A:$B,'Acct Summary 7-8'!$1:$2</definedName>
    <definedName name="_xlnm.Print_Titles" localSheetId="6">'Assets-Liab 5-6'!$A:$B,'Assets-Liab 5-6'!$1:$2</definedName>
    <definedName name="_xlnm.Print_Titles" localSheetId="22">AUDITCHECK!$20:$20</definedName>
    <definedName name="_xlnm.Print_Titles" localSheetId="14">'Contracts Paid in CY 29'!$15:$15</definedName>
    <definedName name="_xlnm.Print_Titles" localSheetId="9">'Expenditures 15-22'!$A:$B,'Expenditures 15-22'!$1:$2</definedName>
    <definedName name="_xlnm.Print_Titles" localSheetId="15">'PCTC-OEPP 27-28'!$1:$5</definedName>
    <definedName name="_xlnm.Print_Titles" localSheetId="8">'Revenues 9-14'!$A:$B,'Revenues 9-14'!$1:$2</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5">#REF!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5">#REF!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5">#REF!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5">#REF!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5">#REF!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 i="7"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D81" i="36" l="1"/>
  <c r="F79" i="34" l="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82" i="36"/>
  <c r="D78" i="36"/>
  <c r="K75" i="29"/>
  <c r="K130" i="29"/>
  <c r="K185" i="29"/>
  <c r="F62" i="34"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K82" i="29"/>
  <c r="K83" i="29"/>
  <c r="B2978" i="106" s="1"/>
  <c r="D2978" i="106" s="1"/>
  <c r="K93" i="29"/>
  <c r="B6997" i="106" s="1"/>
  <c r="D6997" i="106" s="1"/>
  <c r="K94" i="29"/>
  <c r="K95" i="29"/>
  <c r="K96" i="29"/>
  <c r="K97" i="29"/>
  <c r="B7005" i="106" s="1"/>
  <c r="D7005" i="106" s="1"/>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D26" i="108"/>
  <c r="E26" i="108"/>
  <c r="G26" i="108"/>
  <c r="E27" i="108"/>
  <c r="G27" i="108"/>
  <c r="F31" i="108"/>
  <c r="F36" i="108"/>
  <c r="G28" i="108"/>
  <c r="E30" i="108"/>
  <c r="G30" i="108"/>
  <c r="D31" i="108"/>
  <c r="D36" i="108"/>
  <c r="E31" i="108"/>
  <c r="G31" i="108"/>
  <c r="E33" i="108"/>
  <c r="G33" i="108"/>
  <c r="E34" i="108"/>
  <c r="G34"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B2633" i="106"/>
  <c r="D2633" i="106" s="1"/>
  <c r="D7" i="118"/>
  <c r="D8" i="118"/>
  <c r="D9" i="118"/>
  <c r="H14" i="118"/>
  <c r="H19" i="118"/>
  <c r="H24" i="118"/>
  <c r="H33" i="118"/>
  <c r="D22" i="37"/>
  <c r="J22" i="37"/>
  <c r="D24" i="37"/>
  <c r="B4270" i="106" s="1"/>
  <c r="D4270" i="106" s="1"/>
  <c r="B5752" i="106"/>
  <c r="D5752" i="106" s="1"/>
  <c r="D17" i="7"/>
  <c r="B4104" i="106" s="1"/>
  <c r="D4104" i="106" s="1"/>
  <c r="F27" i="108" l="1"/>
  <c r="D54" i="36"/>
  <c r="D9" i="7"/>
  <c r="B1767" i="106" s="1"/>
  <c r="D1767" i="106" s="1"/>
  <c r="F37" i="34"/>
  <c r="G35" i="108"/>
  <c r="F26" i="108"/>
  <c r="C342" i="29"/>
  <c r="B7216" i="106" s="1"/>
  <c r="D7216" i="106" s="1"/>
  <c r="L5" i="11"/>
  <c r="B2056" i="106" s="1"/>
  <c r="D2056" i="106" s="1"/>
  <c r="E35" i="108"/>
  <c r="D68" i="36"/>
  <c r="B7231" i="106"/>
  <c r="D7231" i="106" s="1"/>
  <c r="J77" i="4"/>
  <c r="B6262" i="106" s="1"/>
  <c r="D6262" i="106" s="1"/>
  <c r="H365" i="29"/>
  <c r="B7242" i="106" s="1"/>
  <c r="D7242" i="106" s="1"/>
  <c r="L342" i="29"/>
  <c r="B2836" i="106"/>
  <c r="D2836" i="106" s="1"/>
  <c r="L13" i="11"/>
  <c r="B2060" i="106" s="1"/>
  <c r="D2060" i="106" s="1"/>
  <c r="B1126" i="106"/>
  <c r="D1126" i="106" s="1"/>
  <c r="J367" i="29"/>
  <c r="B7245" i="106" s="1"/>
  <c r="D7245" i="106" s="1"/>
  <c r="B7235" i="106"/>
  <c r="D7235" i="106" s="1"/>
  <c r="D37" i="108"/>
  <c r="D41" i="108" s="1"/>
  <c r="E43" i="108" s="1"/>
  <c r="F37" i="108"/>
  <c r="D31" i="36"/>
  <c r="C129" i="29"/>
  <c r="B1225" i="106" s="1"/>
  <c r="D1225" i="106" s="1"/>
  <c r="D11" i="37"/>
  <c r="L367" i="29"/>
  <c r="F19" i="7"/>
  <c r="B1807" i="106" s="1"/>
  <c r="D1807" i="106" s="1"/>
  <c r="G39" i="108"/>
  <c r="C352" i="29"/>
  <c r="B3621" i="106" s="1"/>
  <c r="D3621" i="106" s="1"/>
  <c r="K76" i="4"/>
  <c r="B3586" i="106" s="1"/>
  <c r="D3586" i="106" s="1"/>
  <c r="N22" i="3"/>
  <c r="B283" i="106" s="1"/>
  <c r="D283" i="106" s="1"/>
  <c r="F28" i="108"/>
  <c r="J41" i="3"/>
  <c r="D51" i="36" s="1"/>
  <c r="K184" i="29"/>
  <c r="F13" i="4" s="1"/>
  <c r="B2596" i="106" s="1"/>
  <c r="D2596" i="106" s="1"/>
  <c r="G210" i="29"/>
  <c r="G15" i="145"/>
  <c r="H28" i="118"/>
  <c r="E28" i="108"/>
  <c r="H342" i="29"/>
  <c r="B7221" i="106" s="1"/>
  <c r="D7221" i="106" s="1"/>
  <c r="J129" i="29"/>
  <c r="B7038" i="106" s="1"/>
  <c r="D7038" i="106" s="1"/>
  <c r="K41" i="3"/>
  <c r="H29" i="118"/>
  <c r="K28" i="118" s="1"/>
  <c r="O27" i="118" s="1"/>
  <c r="O29" i="118" s="1"/>
  <c r="F14" i="4"/>
  <c r="B2597" i="106" s="1"/>
  <c r="D2597" i="106" s="1"/>
  <c r="L22" i="37"/>
  <c r="G29" i="108"/>
  <c r="D6103" i="106"/>
  <c r="B1308" i="106"/>
  <c r="D1308" i="106" s="1"/>
  <c r="E174" i="29"/>
  <c r="B1309" i="106" s="1"/>
  <c r="D1309" i="106" s="1"/>
  <c r="E29" i="108"/>
  <c r="B3254" i="106"/>
  <c r="D3254" i="106" s="1"/>
  <c r="I24" i="12"/>
  <c r="B3649" i="106"/>
  <c r="D3649" i="106" s="1"/>
  <c r="G367" i="29"/>
  <c r="D5" i="4"/>
  <c r="B3406" i="106" s="1"/>
  <c r="D3406" i="106" s="1"/>
  <c r="L312" i="29"/>
  <c r="I342" i="29"/>
  <c r="B7222" i="106" s="1"/>
  <c r="D7222" i="106" s="1"/>
  <c r="K350" i="29"/>
  <c r="F21" i="8"/>
  <c r="K24" i="12"/>
  <c r="C367" i="29"/>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B1317" i="106" l="1"/>
  <c r="D1317" i="106" s="1"/>
  <c r="F41" i="108"/>
  <c r="G43" i="108" s="1"/>
  <c r="C114" i="29"/>
  <c r="B757" i="106" s="1"/>
  <c r="D757" i="106" s="1"/>
  <c r="D44" i="36"/>
  <c r="N23" i="3"/>
  <c r="B284" i="106" s="1"/>
  <c r="D284" i="106" s="1"/>
  <c r="F174" i="34"/>
  <c r="J16" i="4"/>
  <c r="B6226" i="106" s="1"/>
  <c r="D6226" i="106" s="1"/>
  <c r="L16" i="11"/>
  <c r="B2061" i="106" s="1"/>
  <c r="D2061" i="106" s="1"/>
  <c r="G6" i="4"/>
  <c r="B2604" i="106" s="1"/>
  <c r="D2604" i="106" s="1"/>
  <c r="B3568" i="106"/>
  <c r="D3568" i="106" s="1"/>
  <c r="D52" i="36"/>
  <c r="B7215" i="106"/>
  <c r="D7215" i="106" s="1"/>
  <c r="H151" i="29"/>
  <c r="B1273" i="106" s="1"/>
  <c r="D1273" i="106" s="1"/>
  <c r="B1381" i="106"/>
  <c r="D1381" i="106" s="1"/>
  <c r="J151" i="29"/>
  <c r="B7052" i="106" s="1"/>
  <c r="D7052" i="106" s="1"/>
  <c r="C151" i="29"/>
  <c r="B1226" i="106" s="1"/>
  <c r="D1226" i="106" s="1"/>
  <c r="K365" i="29"/>
  <c r="D7253" i="106"/>
  <c r="L114" i="29"/>
  <c r="B1996" i="106"/>
  <c r="D1996" i="106" s="1"/>
  <c r="I26" i="12"/>
  <c r="B7741" i="106" s="1"/>
  <c r="D7741" i="106" s="1"/>
  <c r="B1365" i="106"/>
  <c r="D1365" i="106" s="1"/>
  <c r="F65" i="34"/>
  <c r="B7733" i="106"/>
  <c r="D7733" i="106" s="1"/>
  <c r="K26" i="12"/>
  <c r="B7743" i="106" s="1"/>
  <c r="D7743" i="106" s="1"/>
  <c r="K367" i="29"/>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0" i="4" l="1"/>
  <c r="B6225" i="106" s="1"/>
  <c r="D6225" i="106" s="1"/>
  <c r="J20" i="4"/>
  <c r="B6230" i="106" s="1"/>
  <c r="D6230" i="106" s="1"/>
  <c r="B6227" i="106"/>
  <c r="D6227" i="106" s="1"/>
  <c r="D8" i="146"/>
  <c r="K17" i="4"/>
  <c r="B3575" i="106" s="1"/>
  <c r="D3575"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K20" i="4"/>
  <c r="K19" i="4"/>
  <c r="B4144" i="106" s="1"/>
  <c r="D4144" i="106" s="1"/>
  <c r="D10" i="4"/>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B6263" i="106" l="1"/>
  <c r="D6263" i="106" s="1"/>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<sst xmlns="http://schemas.openxmlformats.org/spreadsheetml/2006/main" count="5022" uniqueCount="2053">
  <si>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</si>
  <si>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</si>
  <si>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</si>
  <si>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</si>
  <si>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</si>
  <si>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</si>
  <si>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</si>
  <si>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</si>
  <si>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</si>
  <si>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</si>
  <si>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</si>
  <si>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</si>
  <si>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</si>
  <si>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</si>
  <si>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</si>
  <si>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</si>
  <si>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</si>
  <si>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</si>
  <si>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</si>
  <si>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</si>
  <si>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</si>
  <si>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</si>
  <si>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</si>
  <si>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</si>
  <si>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</si>
  <si>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</si>
  <si>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</si>
  <si>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</si>
  <si>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</si>
  <si>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</si>
  <si>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</si>
  <si>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</si>
  <si>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</si>
  <si>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</si>
  <si>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</si>
  <si>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</si>
  <si>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</si>
  <si>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</si>
  <si>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</si>
  <si>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</si>
  <si>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</si>
  <si>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</si>
  <si>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</si>
  <si>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</si>
  <si>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</si>
  <si>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</si>
  <si>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</si>
  <si>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</si>
  <si>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</si>
  <si>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</si>
  <si>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</si>
  <si>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</si>
  <si>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</si>
  <si>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</si>
  <si>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</si>
  <si>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</si>
  <si>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</si>
  <si>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</si>
  <si>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</si>
  <si>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</si>
  <si>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</si>
  <si>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</si>
  <si>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</si>
  <si>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</si>
  <si>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</si>
  <si>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</si>
  <si>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</si>
  <si>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</si>
  <si>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</si>
  <si>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</si>
  <si>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</si>
  <si>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</si>
  <si>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</si>
  <si>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</si>
  <si>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</si>
  <si>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</si>
  <si>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</si>
  <si>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</si>
  <si>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</si>
  <si>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</si>
  <si>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</si>
  <si>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</si>
  <si>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</si>
  <si>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</si>
  <si>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</si>
  <si>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</si>
  <si>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</si>
  <si>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</si>
  <si>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</si>
  <si>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</si>
  <si>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</si>
  <si>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</si>
  <si>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</si>
  <si>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</si>
  <si>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</si>
  <si>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</si>
  <si>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</si>
  <si>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</si>
  <si>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</si>
  <si>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</si>
  <si>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</si>
  <si>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</si>
  <si>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</si>
  <si>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</si>
  <si>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</si>
  <si>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</si>
  <si>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</si>
  <si>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</si>
  <si>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</si>
  <si>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</si>
  <si>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</si>
  <si>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</si>
  <si>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</si>
  <si>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</si>
  <si>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</si>
  <si>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</si>
  <si>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</si>
  <si>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</si>
  <si>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</si>
  <si>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</si>
  <si>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</si>
  <si>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</si>
  <si>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</si>
  <si>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</si>
  <si>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</si>
  <si>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</si>
  <si>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</si>
  <si>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</si>
  <si>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</si>
  <si>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</si>
  <si>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</si>
  <si>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</si>
  <si>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</si>
  <si>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</si>
  <si>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</si>
  <si>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</si>
  <si>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</si>
  <si>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</si>
  <si>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</si>
  <si>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</si>
  <si>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</si>
  <si>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</si>
  <si>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</si>
  <si>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</si>
  <si>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</si>
  <si>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</si>
  <si>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</si>
  <si>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</si>
  <si>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</si>
  <si>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</si>
  <si>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</si>
  <si>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</si>
  <si>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</si>
  <si>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</si>
  <si>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</si>
  <si>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</si>
  <si>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</si>
  <si>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</si>
  <si>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</si>
  <si>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</si>
  <si>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</si>
  <si>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</si>
  <si>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</si>
  <si>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</si>
  <si>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</si>
  <si>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</si>
  <si>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</si>
  <si>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</si>
  <si>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</si>
  <si>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</si>
  <si>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</si>
  <si>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</si>
  <si>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</si>
  <si>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</si>
  <si>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</si>
  <si>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</si>
  <si>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</si>
  <si>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</si>
  <si>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</si>
  <si>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</si>
  <si>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</si>
  <si>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</si>
  <si>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</si>
  <si>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</si>
  <si>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</si>
  <si>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</si>
  <si>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</si>
  <si>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</si>
  <si>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</si>
  <si>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</si>
  <si>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</si>
  <si>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</si>
  <si>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</si>
  <si>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</si>
  <si>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</si>
  <si>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</si>
  <si>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</si>
  <si>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</si>
  <si>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</si>
  <si>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</si>
  <si>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</si>
  <si>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</si>
  <si>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</si>
  <si>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</si>
  <si>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</si>
  <si>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</si>
  <si>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</si>
  <si>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</si>
  <si>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</si>
  <si>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</si>
  <si>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</si>
  <si>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</si>
  <si>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</si>
  <si>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</si>
  <si>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</si>
  <si>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</si>
  <si>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</si>
  <si>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</si>
  <si>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</si>
  <si>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</si>
  <si>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</si>
  <si>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</si>
  <si>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</si>
  <si>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</si>
  <si>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</si>
  <si>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</si>
  <si>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</si>
  <si>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</si>
  <si>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</si>
  <si>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</si>
  <si>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</si>
  <si>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</si>
  <si>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</si>
  <si>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</si>
  <si>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</si>
  <si>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</si>
  <si>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</si>
  <si>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</si>
  <si>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</si>
  <si>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</si>
  <si>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</si>
  <si>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</si>
  <si>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</si>
  <si>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</si>
  <si>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</si>
  <si>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</si>
  <si>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</si>
  <si>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</si>
  <si>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</si>
  <si>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</si>
  <si>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</si>
  <si>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</si>
  <si>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</si>
  <si>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</si>
  <si>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</si>
  <si>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</si>
  <si>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</si>
  <si>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</si>
  <si>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</si>
  <si>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</si>
  <si>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</si>
  <si>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</si>
  <si>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</si>
  <si>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</si>
  <si>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</si>
  <si>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</si>
  <si>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</si>
  <si>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</si>
  <si>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</si>
  <si>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</si>
  <si>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</si>
  <si>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</si>
  <si>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</si>
  <si>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</si>
  <si>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</si>
  <si>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</si>
  <si>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</si>
  <si>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</si>
  <si>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</si>
  <si>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</si>
  <si>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</si>
  <si>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</si>
  <si>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</si>
  <si>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</si>
  <si>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</si>
  <si>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</si>
  <si>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</si>
  <si>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</si>
  <si>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</si>
  <si>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</si>
  <si>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</si>
  <si>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</si>
  <si>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</si>
  <si>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</si>
  <si>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</si>
  <si>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</si>
  <si>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</si>
  <si>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</si>
  <si>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</si>
  <si>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</si>
  <si>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</si>
  <si>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</si>
  <si>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</si>
  <si>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</si>
  <si>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</si>
  <si>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</si>
  <si>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</si>
  <si>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</si>
  <si>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</si>
  <si>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</si>
  <si>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</si>
  <si>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</si>
  <si>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</si>
  <si>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</si>
  <si>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</si>
  <si>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</si>
  <si>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</si>
  <si>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</si>
  <si>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</si>
  <si>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</si>
  <si>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</si>
  <si>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</si>
  <si>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</si>
  <si>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</si>
  <si>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</si>
  <si>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</si>
  <si>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</si>
  <si>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</si>
  <si>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</si>
  <si>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</si>
  <si>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</si>
  <si>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</si>
  <si>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</si>
  <si>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</si>
  <si>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</si>
  <si>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</si>
  <si>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</si>
  <si>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</si>
  <si>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</si>
  <si>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</si>
  <si>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</si>
  <si>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</si>
  <si>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</si>
  <si>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</si>
  <si>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</si>
  <si>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</si>
  <si>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</si>
  <si>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</si>
  <si>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</si>
  <si>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</si>
  <si>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</si>
  <si>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</si>
  <si>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</si>
  <si>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</si>
  <si>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</si>
  <si>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</si>
  <si>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</si>
  <si>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</si>
  <si>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</si>
  <si>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</si>
  <si>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</si>
  <si>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</si>
  <si>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</si>
  <si>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</si>
  <si>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</si>
  <si>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</si>
  <si>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</si>
  <si>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</si>
  <si>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</si>
  <si>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</si>
  <si>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</si>
  <si>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</si>
  <si>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</si>
  <si>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</si>
  <si>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</si>
  <si>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</si>
  <si>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</si>
  <si>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</si>
  <si>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</si>
  <si>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</si>
  <si>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</si>
  <si>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</si>
  <si>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</si>
  <si>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</si>
  <si>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</si>
  <si>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</si>
  <si>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</si>
  <si>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</si>
  <si>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</si>
  <si>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</si>
  <si>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</si>
  <si>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</si>
  <si>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</si>
  <si>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</si>
  <si>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</si>
  <si>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</si>
  <si>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</si>
  <si>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</si>
  <si>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</si>
  <si>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</si>
  <si>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</si>
  <si>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</si>
  <si>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</si>
  <si>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</si>
  <si>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</si>
  <si>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</si>
  <si>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</si>
  <si>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</si>
  <si>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</si>
  <si>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</si>
  <si>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</si>
  <si>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</si>
  <si>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</si>
  <si>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</si>
  <si>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</si>
  <si>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</si>
  <si>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</si>
  <si>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</si>
  <si>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</si>
  <si>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</si>
  <si>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</si>
  <si>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</si>
  <si>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</si>
  <si>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</si>
  <si>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</si>
  <si>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</si>
  <si>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</si>
  <si>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</si>
  <si>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</si>
  <si>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</si>
  <si>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</si>
  <si>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</si>
  <si>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</si>
  <si>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</si>
  <si>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</si>
  <si>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</si>
  <si>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</si>
  <si>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</si>
  <si>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</si>
  <si>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</si>
  <si>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</si>
  <si>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</si>
  <si>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</si>
  <si>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</si>
  <si>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</si>
  <si>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</si>
  <si>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</si>
  <si>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</si>
  <si>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</si>
  <si>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</si>
  <si>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</si>
  <si>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</si>
  <si>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</si>
  <si>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</si>
  <si>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</si>
  <si>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</si>
  <si>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</si>
  <si>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</si>
  <si>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</si>
  <si>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</si>
  <si>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</si>
  <si>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</si>
  <si>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</si>
  <si>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</si>
  <si>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</si>
  <si>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</si>
  <si>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</si>
  <si>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</si>
  <si>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</si>
  <si>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</si>
  <si>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</si>
  <si>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</si>
  <si>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</si>
  <si>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</si>
  <si>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</si>
  <si>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</si>
  <si>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</si>
  <si>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</si>
  <si>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</si>
  <si>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</si>
  <si>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</si>
  <si>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</si>
  <si>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</si>
  <si>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</si>
  <si>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</si>
  <si>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</si>
  <si>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</si>
  <si>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</si>
  <si>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</si>
  <si>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</si>
  <si>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</si>
  <si>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</si>
  <si>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</si>
  <si>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</si>
  <si>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</si>
  <si>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</si>
  <si>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</si>
  <si>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</si>
  <si>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</si>
  <si>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</si>
  <si>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</si>
  <si>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</si>
  <si>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</si>
  <si>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</si>
  <si>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</si>
  <si>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</si>
  <si>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</si>
  <si>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</si>
  <si>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</si>
  <si>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</si>
  <si>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</si>
  <si>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</si>
  <si>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</si>
  <si>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</si>
  <si>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</si>
  <si>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</si>
  <si>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</si>
  <si>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</si>
  <si>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</si>
  <si>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</si>
  <si>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</si>
  <si>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</si>
  <si>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</si>
  <si>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</si>
  <si>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</si>
  <si>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</si>
  <si>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</si>
  <si>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</si>
  <si>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</si>
  <si>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</si>
  <si>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</si>
  <si>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</si>
  <si>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</si>
  <si>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</si>
  <si>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</si>
  <si>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</si>
  <si>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</si>
  <si>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</si>
  <si>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</si>
  <si>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</si>
  <si>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</si>
  <si>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</si>
  <si>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</si>
  <si>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</si>
  <si>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</si>
  <si>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</si>
  <si>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</si>
  <si>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</si>
  <si>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</si>
  <si>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</si>
  <si>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</si>
  <si>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</si>
  <si>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</si>
  <si>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</si>
  <si>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</si>
  <si>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</si>
  <si>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</si>
  <si>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</si>
  <si>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</si>
  <si>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</si>
  <si>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</si>
  <si>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</si>
  <si>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</si>
  <si>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</si>
  <si>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</si>
  <si>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</si>
  <si>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</si>
  <si>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</si>
  <si>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</si>
  <si>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</si>
  <si>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</si>
  <si>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</si>
  <si>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</si>
  <si>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</si>
  <si>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</si>
  <si>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</si>
  <si>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</si>
  <si>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</si>
  <si>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</si>
  <si>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</si>
  <si>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</si>
  <si>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</si>
  <si>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</si>
  <si>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</si>
  <si>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</si>
  <si>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</si>
  <si>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</si>
  <si>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</si>
  <si>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</si>
  <si>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</si>
  <si>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</si>
  <si>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</si>
  <si>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</si>
  <si>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</si>
  <si>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</si>
  <si>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</si>
  <si>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</si>
  <si>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</si>
  <si>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</si>
  <si>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</si>
  <si>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</si>
  <si>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</si>
  <si>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</si>
  <si>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</si>
  <si>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</si>
  <si>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</si>
  <si>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</si>
  <si>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</si>
  <si>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</si>
  <si>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</si>
  <si>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</si>
  <si>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</si>
  <si>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</si>
  <si>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</si>
  <si>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</si>
  <si>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</si>
  <si>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</si>
  <si>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</si>
  <si>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</si>
  <si>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</si>
  <si>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</si>
  <si>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</si>
  <si>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</si>
  <si>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</si>
  <si>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</si>
  <si>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</si>
  <si>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</si>
  <si>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</si>
  <si>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</si>
  <si>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</si>
  <si>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</si>
  <si>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</si>
  <si>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</si>
  <si>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</si>
  <si>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</si>
  <si>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</si>
  <si>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</si>
  <si>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</si>
  <si>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</si>
  <si>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</si>
  <si>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</si>
  <si>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</si>
  <si>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</si>
  <si>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</si>
  <si>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</si>
  <si>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</si>
  <si>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</si>
  <si>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</si>
  <si>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</si>
  <si>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</si>
  <si>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</si>
  <si>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</si>
  <si>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</si>
  <si>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</si>
  <si>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</si>
  <si>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</si>
  <si>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</si>
  <si>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</si>
  <si>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</si>
  <si>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</si>
  <si>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</si>
  <si>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</si>
  <si>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</si>
  <si>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</si>
  <si>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</si>
  <si>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</si>
  <si>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</si>
  <si>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</si>
  <si>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</si>
  <si>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</si>
  <si>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</si>
  <si>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</si>
  <si>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</si>
  <si>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</si>
  <si>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</si>
  <si>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</si>
  <si>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</si>
  <si>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</si>
  <si>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</si>
  <si>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</si>
  <si>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</si>
  <si>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</si>
  <si>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</si>
  <si>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</si>
  <si>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</si>
  <si>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</si>
  <si>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</si>
  <si>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</si>
  <si>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</si>
  <si>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</si>
  <si>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</si>
  <si>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</si>
  <si>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</si>
  <si>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</si>
  <si>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</si>
  <si>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</si>
  <si>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</si>
  <si>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</si>
  <si>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</si>
  <si>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</si>
  <si>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</si>
  <si>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</si>
  <si>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</si>
  <si>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</si>
  <si>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</si>
  <si>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</si>
  <si>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</si>
  <si>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</si>
  <si>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</si>
  <si>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</si>
  <si>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</si>
  <si>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</si>
  <si>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</si>
  <si>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</si>
  <si>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</si>
  <si>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</si>
  <si>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</si>
  <si>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</si>
  <si>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</si>
  <si>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</si>
  <si>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</si>
  <si>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</si>
  <si>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</si>
  <si>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</si>
  <si>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</si>
  <si>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</si>
  <si>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</si>
  <si>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</si>
  <si>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</si>
  <si>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</si>
  <si>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</si>
  <si>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</si>
  <si>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</si>
  <si>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</si>
  <si>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</si>
  <si>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</si>
  <si>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</si>
  <si>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</si>
  <si>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</si>
  <si>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</si>
  <si>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</si>
  <si>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</si>
  <si>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</si>
  <si>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</si>
  <si>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</si>
  <si>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</si>
  <si>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</si>
  <si>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</si>
  <si>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</si>
  <si>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</si>
  <si>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</si>
  <si>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</si>
  <si>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</si>
  <si>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</si>
  <si>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</si>
  <si>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</si>
  <si>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</si>
  <si>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</si>
  <si>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</si>
  <si>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</si>
  <si>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</si>
  <si>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</si>
  <si>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</si>
  <si>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</si>
  <si>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</si>
  <si>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</si>
  <si>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</si>
  <si>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</si>
  <si>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</si>
  <si>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</si>
  <si>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</si>
  <si>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</si>
  <si>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</si>
  <si>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</si>
  <si>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</si>
  <si>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</si>
  <si>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</si>
  <si>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</si>
  <si>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</si>
  <si>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</si>
  <si>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</si>
  <si>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</si>
  <si>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</si>
  <si>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</si>
  <si>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</si>
  <si>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</si>
  <si>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</si>
  <si>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</si>
  <si>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</si>
  <si>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</si>
  <si>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</si>
  <si>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</si>
  <si>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</si>
  <si>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</si>
  <si>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</si>
  <si>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</si>
  <si>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</si>
  <si>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</si>
  <si>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</si>
  <si>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</si>
  <si>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</si>
  <si>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</si>
  <si>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</si>
  <si>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</si>
  <si>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</si>
  <si>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</si>
  <si>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</si>
  <si>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</si>
  <si>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</si>
  <si>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</si>
  <si>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</si>
  <si>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</si>
  <si>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</si>
  <si>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</si>
  <si>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</si>
  <si>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</si>
  <si>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</si>
  <si>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</si>
  <si>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</si>
  <si>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</si>
  <si>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</si>
  <si>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</si>
  <si>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</si>
  <si>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</si>
  <si>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</si>
  <si>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</si>
  <si>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</si>
  <si>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</si>
  <si>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</si>
  <si>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</si>
  <si>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</si>
  <si>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</si>
  <si>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</si>
  <si>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</si>
  <si>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</si>
  <si>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</si>
  <si>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</si>
  <si>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</si>
  <si>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</si>
  <si>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</si>
  <si>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</si>
  <si>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</si>
  <si>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</si>
  <si>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</si>
  <si>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</si>
  <si>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</si>
  <si>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</si>
  <si>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</si>
  <si>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</si>
  <si>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</si>
  <si>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</si>
  <si>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</si>
  <si>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</si>
  <si>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</si>
  <si>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</si>
  <si>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</si>
  <si>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</si>
  <si>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</si>
  <si>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</si>
  <si>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</si>
  <si>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</si>
  <si>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</si>
  <si>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</si>
  <si>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</si>
  <si>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</si>
  <si>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</si>
  <si>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</si>
  <si>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</si>
  <si>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</si>
  <si>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</si>
  <si>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</si>
  <si>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</si>
  <si>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</si>
  <si>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</si>
  <si>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</si>
  <si>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</si>
  <si>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</si>
  <si>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</si>
  <si>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</si>
  <si>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</si>
  <si>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</si>
  <si>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</si>
  <si>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</si>
  <si>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</si>
  <si>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</si>
  <si>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</si>
  <si>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</si>
  <si>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</si>
  <si>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</si>
  <si>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</si>
  <si>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</si>
  <si>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</si>
  <si>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</si>
  <si>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</si>
  <si>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</si>
  <si>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</si>
  <si>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</si>
  <si>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</si>
  <si>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</si>
  <si>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</si>
  <si>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</si>
  <si>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</si>
  <si>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</si>
  <si>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</si>
  <si>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</si>
  <si>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</si>
  <si>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</si>
  <si>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</si>
  <si>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</si>
  <si>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</si>
  <si>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</si>
  <si>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</si>
  <si>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</si>
  <si>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</si>
  <si>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</si>
  <si>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</si>
  <si>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</si>
  <si>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</si>
  <si>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</si>
  <si>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</si>
  <si>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</si>
  <si>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</si>
  <si>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</si>
  <si>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</si>
  <si>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</si>
  <si>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</si>
  <si>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</si>
  <si>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</si>
  <si>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</si>
  <si>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</si>
  <si>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</si>
  <si>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</si>
  <si>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</si>
  <si>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</si>
  <si>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</si>
  <si>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</si>
  <si>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</si>
  <si>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</si>
  <si>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</si>
  <si>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</si>
  <si>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</si>
  <si>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</si>
  <si>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</si>
  <si>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</si>
  <si>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</si>
  <si>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</si>
  <si>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</si>
  <si>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</si>
  <si>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</si>
  <si>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</si>
  <si>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</si>
  <si>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</si>
  <si>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</si>
  <si>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</si>
  <si>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</si>
  <si>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</si>
  <si>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</si>
  <si>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</si>
  <si>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</si>
  <si>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</si>
  <si>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</si>
  <si>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</si>
  <si>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</si>
  <si>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</si>
  <si>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</si>
  <si>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</si>
  <si>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</si>
  <si>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</si>
  <si>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</si>
  <si>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</si>
  <si>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</si>
  <si>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</si>
  <si>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</si>
  <si>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</si>
  <si>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</si>
  <si>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</si>
  <si>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</si>
  <si>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</si>
  <si>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</si>
  <si>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</si>
  <si>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</si>
  <si>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</si>
  <si>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</si>
  <si>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</si>
  <si>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</si>
  <si>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</si>
  <si>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</si>
  <si>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</si>
  <si>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</si>
  <si>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</si>
  <si>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</si>
  <si>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</si>
  <si>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</si>
  <si>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</si>
  <si>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</si>
  <si>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</si>
  <si>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</si>
  <si>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</si>
  <si>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</si>
  <si>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</si>
  <si>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</si>
  <si>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</si>
  <si>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</si>
  <si>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</si>
  <si>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</si>
  <si>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</si>
  <si>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</si>
  <si>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</si>
  <si>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</si>
  <si>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</si>
  <si>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</si>
  <si>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</si>
  <si>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</si>
  <si>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</si>
  <si>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</si>
  <si>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</si>
  <si>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</si>
  <si>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</si>
  <si>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</si>
  <si>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</si>
  <si>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</si>
  <si>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</si>
  <si>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</si>
  <si>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</si>
  <si>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</si>
  <si>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</si>
  <si>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</si>
  <si>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</si>
  <si>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</si>
  <si>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</si>
  <si>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</si>
  <si>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</si>
  <si>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</si>
  <si>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</si>
  <si>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</si>
  <si>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</si>
  <si>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</si>
  <si>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</si>
  <si>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</si>
  <si>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</si>
  <si>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</si>
  <si>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</si>
  <si>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</si>
  <si>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</si>
  <si>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</si>
  <si>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</si>
  <si>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</si>
  <si>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</si>
  <si>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</si>
  <si>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</si>
  <si>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</si>
  <si>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</si>
  <si>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</si>
  <si>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</si>
  <si>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</si>
  <si>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</si>
  <si>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</si>
  <si>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</si>
  <si>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</si>
  <si>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</si>
  <si>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</si>
  <si>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</si>
  <si>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</si>
  <si>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</si>
  <si>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</si>
  <si>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</si>
  <si>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</si>
  <si>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</si>
  <si>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</si>
  <si>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</si>
  <si>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</si>
  <si>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</si>
  <si>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</si>
  <si>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</si>
  <si>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</si>
  <si>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</si>
  <si>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</si>
  <si>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</si>
  <si>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</si>
  <si>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</si>
  <si>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</si>
  <si>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</si>
  <si>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</si>
  <si>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</si>
  <si>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</si>
  <si>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</si>
  <si>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</si>
  <si>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</si>
  <si>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</si>
  <si>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</si>
  <si>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</si>
  <si>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</si>
  <si>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</si>
  <si>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</si>
  <si>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</si>
  <si>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</si>
  <si>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</si>
  <si>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</si>
  <si>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</si>
  <si>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</si>
  <si>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</si>
  <si>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</si>
  <si>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</si>
  <si>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</si>
  <si>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</si>
  <si>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</si>
  <si>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</si>
  <si>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</si>
  <si>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</si>
  <si>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</si>
  <si>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</si>
  <si>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</si>
  <si>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</si>
  <si>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</si>
  <si>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</si>
  <si>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</si>
  <si>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</si>
  <si>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</si>
  <si>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</si>
  <si>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</si>
  <si>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</si>
  <si>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</si>
  <si>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</si>
  <si>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</si>
  <si>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</si>
  <si>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</si>
  <si>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</si>
  <si>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</si>
  <si>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</si>
  <si>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</si>
  <si>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</si>
  <si>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</si>
  <si>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</si>
  <si>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</si>
  <si>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</si>
  <si>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</si>
  <si>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</si>
  <si>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</si>
  <si>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</si>
  <si>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</si>
  <si>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</si>
  <si>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</si>
  <si>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</si>
  <si>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</si>
  <si>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</si>
  <si>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</si>
  <si>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</si>
  <si>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</si>
  <si>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</si>
  <si>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</si>
  <si>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</si>
  <si>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</si>
  <si>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</si>
  <si>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</si>
  <si>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</si>
  <si>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</si>
  <si>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</si>
  <si>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</si>
  <si>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</si>
  <si>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</si>
  <si>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</si>
  <si>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</si>
  <si>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</si>
  <si>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</si>
  <si>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</si>
  <si>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</si>
  <si>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</si>
  <si>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</si>
  <si>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</si>
  <si>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</si>
  <si>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</si>
  <si>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</si>
  <si>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</si>
  <si>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</si>
  <si>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</si>
  <si>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</si>
  <si>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</si>
  <si>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</si>
  <si>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</si>
  <si>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</si>
  <si>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</si>
  <si>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</si>
  <si>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</si>
  <si>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</si>
  <si>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</si>
  <si>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</si>
  <si>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</si>
  <si>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</si>
  <si>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</si>
  <si>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</si>
  <si>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</si>
  <si>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</si>
  <si>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</si>
  <si>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</si>
  <si>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</si>
  <si>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</si>
  <si>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</si>
  <si>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</si>
  <si>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</si>
  <si>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</si>
  <si>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</si>
  <si>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</si>
  <si>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</si>
  <si>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</si>
  <si>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</si>
  <si>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</si>
  <si>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</si>
  <si>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</si>
  <si>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</si>
  <si>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</si>
  <si>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</si>
  <si>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</si>
  <si>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</si>
  <si>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</si>
  <si>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</si>
  <si>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</si>
  <si>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</si>
  <si>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</si>
  <si>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</si>
  <si>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</si>
  <si>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</si>
  <si>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</si>
  <si>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</si>
  <si>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</si>
  <si>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</si>
  <si>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</si>
  <si>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</si>
  <si>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</si>
  <si>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</si>
  <si>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</si>
  <si>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</si>
  <si>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</si>
  <si>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</si>
  <si>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</si>
  <si>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</si>
  <si>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</si>
  <si>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</si>
  <si>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</si>
  <si>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</si>
  <si>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</si>
  <si>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</si>
  <si>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</si>
  <si>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</si>
  <si>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</si>
  <si>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</si>
  <si>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</si>
  <si>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</si>
  <si>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</si>
  <si>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</si>
  <si>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</si>
  <si>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</si>
  <si>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</si>
  <si>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</si>
  <si>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</si>
  <si>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</si>
  <si>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</si>
  <si>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</si>
  <si>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</si>
  <si>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</si>
  <si>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</si>
  <si>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</si>
  <si>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</si>
  <si>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</si>
  <si>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</si>
  <si>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</si>
  <si>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</si>
  <si>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</si>
  <si>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</si>
  <si>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</si>
  <si>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</si>
  <si>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</si>
  <si>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</si>
  <si>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</si>
  <si>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</si>
  <si>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</si>
  <si>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</si>
  <si>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</si>
  <si>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</si>
  <si>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</si>
  <si>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</si>
  <si>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</si>
  <si>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</si>
  <si>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</si>
  <si>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</si>
  <si>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</si>
  <si>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</si>
  <si>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</si>
  <si>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</si>
  <si>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</si>
  <si>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</si>
  <si>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</si>
  <si>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</si>
  <si>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</si>
  <si>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</si>
  <si>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</si>
  <si>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</si>
  <si>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</si>
  <si>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</si>
  <si>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</si>
  <si>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</si>
  <si>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</si>
  <si>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</si>
  <si>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</si>
  <si>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</si>
  <si>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</si>
  <si>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</si>
  <si>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</si>
  <si>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</si>
  <si>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</si>
  <si>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</si>
  <si>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</si>
  <si>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</si>
  <si>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</si>
  <si>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</si>
  <si>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</si>
  <si>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</si>
  <si>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</si>
  <si>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</si>
  <si>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</si>
  <si>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</si>
  <si>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</si>
  <si>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</si>
  <si>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</si>
  <si>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</si>
  <si>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</si>
  <si>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</si>
  <si>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</si>
  <si>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</si>
  <si>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</si>
  <si>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</si>
  <si>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</si>
  <si>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</si>
  <si>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</si>
  <si>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</si>
  <si>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</si>
  <si>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</si>
  <si>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</si>
  <si>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</si>
  <si>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</si>
  <si>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</si>
  <si>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</si>
  <si>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</si>
  <si>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</si>
  <si>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</si>
  <si>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</si>
  <si>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</si>
  <si>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</si>
  <si>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</si>
  <si>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</si>
  <si>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</si>
  <si>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</si>
  <si>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</si>
  <si>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</si>
  <si>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</si>
  <si>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</si>
  <si>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</si>
  <si>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</si>
  <si>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</si>
  <si>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</si>
  <si>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</si>
  <si>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</si>
  <si>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</si>
  <si>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</si>
  <si>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</si>
  <si>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</si>
  <si>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</si>
  <si>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</si>
  <si>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</si>
  <si>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</si>
  <si>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</si>
  <si>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</si>
  <si>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</si>
  <si>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</si>
  <si>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</si>
  <si>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</si>
  <si>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</si>
  <si>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</si>
  <si>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</si>
  <si>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</si>
  <si>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</si>
  <si>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</si>
  <si>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</si>
  <si>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</si>
  <si>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</si>
  <si>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</si>
  <si>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</si>
  <si>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</si>
  <si>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</si>
  <si>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</si>
  <si>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</si>
  <si>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</si>
  <si>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</si>
  <si>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</si>
  <si>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</si>
  <si>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</si>
  <si>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</si>
  <si>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</si>
  <si>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</si>
  <si>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</si>
  <si>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</si>
  <si>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</si>
  <si>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</si>
  <si>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</si>
  <si>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</si>
  <si>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</si>
  <si>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</si>
  <si>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</si>
  <si>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</si>
  <si>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</si>
  <si>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</si>
  <si>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</si>
  <si>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</si>
  <si>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</si>
  <si>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</si>
  <si>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</si>
  <si>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</si>
  <si>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</si>
  <si>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</si>
  <si>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</si>
  <si>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</si>
  <si>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</si>
  <si>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</si>
  <si>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</si>
  <si>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</si>
  <si>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</si>
  <si>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</si>
  <si>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</si>
  <si>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</si>
  <si>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</si>
  <si>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</si>
  <si>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</si>
  <si>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</si>
  <si>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</si>
  <si>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</si>
  <si>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</si>
  <si>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</si>
  <si>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</si>
  <si>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</si>
  <si>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</si>
  <si>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</si>
  <si>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</si>
  <si>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</si>
  <si>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</si>
  <si>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</si>
  <si>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</si>
  <si>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</si>
  <si>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</si>
  <si>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</si>
  <si>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</si>
  <si>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</si>
  <si>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</si>
  <si>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</si>
  <si>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</si>
  <si>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</si>
  <si>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</si>
  <si>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</si>
  <si>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</si>
  <si>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</si>
  <si>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</si>
  <si>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</si>
  <si>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</si>
  <si>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</si>
  <si>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</si>
  <si>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</si>
  <si>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</si>
  <si>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</si>
  <si>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</si>
  <si>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</si>
  <si>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</si>
  <si>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</si>
  <si>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</si>
  <si>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</si>
  <si>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</si>
  <si>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</si>
  <si>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</si>
  <si>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</si>
  <si>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</si>
  <si>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</si>
  <si>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</si>
  <si>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</si>
  <si>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</si>
  <si>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</si>
  <si>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</si>
  <si>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</si>
  <si>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</si>
  <si>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</si>
  <si>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</si>
  <si>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</si>
  <si>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</si>
  <si>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</si>
  <si>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</si>
  <si>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</si>
  <si>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</si>
  <si>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</si>
  <si>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</si>
  <si>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</si>
  <si>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</si>
  <si>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</si>
  <si>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</si>
  <si>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</si>
  <si>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</si>
  <si>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</si>
  <si>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</si>
  <si>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</si>
  <si>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</si>
  <si>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</si>
  <si>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</si>
  <si>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</si>
  <si>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</si>
  <si>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</si>
  <si>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</si>
  <si>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</si>
  <si>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</si>
  <si>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Are Federal Expenditures greater than $750,000? (1 YES, 2 NO)</t>
  </si>
  <si>
    <t>Is all Single Audit Information completed and attached? (1 YES, 2 NO)</t>
  </si>
  <si>
    <t>*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</si>
  <si>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</si>
  <si>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</si>
  <si>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</si>
  <si>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</si>
  <si>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</si>
  <si>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</si>
  <si>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</si>
  <si>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</si>
  <si>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</si>
  <si>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</si>
  <si>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</si>
  <si>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</si>
  <si>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</si>
  <si>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</si>
  <si>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</si>
  <si>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</si>
  <si>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</si>
  <si>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</si>
  <si>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</si>
  <si>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</si>
  <si>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</si>
  <si>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</si>
  <si>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</si>
  <si>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</si>
  <si>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</si>
  <si>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</si>
  <si>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</si>
  <si>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</si>
  <si>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</si>
  <si>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</si>
  <si>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</si>
  <si>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</si>
  <si>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</si>
  <si>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</si>
  <si>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</si>
  <si>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</si>
  <si>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</si>
  <si>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</si>
  <si>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</si>
  <si>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</si>
  <si>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</si>
  <si>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</si>
  <si>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</si>
  <si>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</si>
  <si>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</si>
  <si>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</si>
  <si>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</si>
  <si>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</si>
  <si>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</si>
  <si>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</si>
  <si>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</si>
  <si>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</si>
  <si>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</si>
  <si>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</si>
  <si>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</si>
  <si>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</si>
  <si>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</si>
  <si>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</si>
  <si>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</si>
  <si>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</si>
  <si>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</si>
  <si>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</si>
  <si>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</si>
  <si>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</si>
  <si>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</si>
  <si>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</si>
  <si>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</si>
  <si>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</si>
  <si>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</si>
  <si>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</si>
  <si>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</si>
  <si>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</si>
  <si>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</si>
  <si>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</si>
  <si>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</si>
  <si>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</si>
  <si>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</si>
  <si>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</si>
  <si>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</si>
  <si>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</si>
  <si>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</si>
  <si>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</si>
  <si>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</si>
  <si>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</si>
  <si>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</si>
  <si>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</si>
  <si>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</si>
  <si>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</si>
  <si>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</si>
  <si>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</si>
  <si>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</si>
  <si>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</si>
  <si>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</si>
  <si>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</si>
  <si>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</si>
  <si>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</si>
  <si>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</si>
  <si>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</si>
  <si>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</si>
  <si>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</si>
  <si>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</si>
  <si>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</si>
  <si>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</si>
  <si>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</si>
  <si>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</si>
  <si>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</si>
  <si>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</si>
  <si>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</si>
  <si>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</si>
  <si>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</si>
  <si>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</si>
  <si>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</si>
  <si>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</si>
  <si>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</si>
  <si>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</si>
  <si>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</si>
  <si>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</si>
  <si>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</si>
  <si>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</si>
  <si>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</si>
  <si>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</si>
  <si>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</si>
  <si>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</si>
  <si>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</si>
  <si>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</si>
  <si>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</si>
  <si>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</si>
  <si>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</si>
  <si>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</si>
  <si>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</si>
  <si>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</si>
  <si>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</si>
  <si>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</si>
  <si>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</si>
  <si>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</si>
  <si>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</si>
  <si>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</si>
  <si>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</si>
  <si>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</si>
  <si>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</si>
  <si>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</si>
  <si>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</si>
  <si>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</si>
  <si>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</si>
  <si>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</si>
  <si>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</si>
  <si>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</si>
  <si>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</si>
  <si>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</si>
  <si>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</si>
  <si>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</si>
  <si>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</si>
  <si>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</si>
  <si>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</si>
  <si>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</si>
  <si>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</si>
  <si>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</si>
  <si>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</si>
  <si>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</si>
  <si>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</si>
  <si>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</si>
  <si>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</si>
  <si>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</si>
  <si>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</si>
  <si>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</si>
  <si>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</si>
  <si>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</si>
  <si>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</si>
  <si>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</si>
  <si>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</si>
  <si>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</si>
  <si>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</si>
  <si>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</si>
  <si>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</si>
  <si>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</si>
  <si>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</si>
  <si>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</si>
  <si>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</si>
  <si>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</si>
  <si>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</si>
  <si>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</si>
  <si>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</si>
  <si>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</si>
  <si>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</si>
  <si>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</si>
  <si>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</si>
  <si>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</si>
  <si>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</si>
  <si>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</si>
  <si>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</si>
  <si>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</si>
  <si>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</si>
  <si>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</si>
  <si>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</si>
  <si>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</si>
  <si>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</si>
  <si>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</si>
  <si>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</si>
  <si>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</si>
  <si>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</si>
  <si>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</si>
  <si>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</si>
  <si>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</si>
  <si>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</si>
  <si>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</si>
  <si>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</si>
  <si>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</si>
  <si>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</si>
  <si>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</si>
  <si>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</si>
  <si>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</si>
  <si>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</si>
  <si>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</si>
  <si>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</si>
  <si>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</si>
  <si>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</si>
  <si>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</si>
  <si>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</si>
  <si>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</si>
  <si>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</si>
  <si>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</si>
  <si>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</si>
  <si>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</si>
  <si>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</si>
  <si>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</si>
  <si>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</si>
  <si>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</si>
  <si>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</si>
  <si>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</si>
  <si>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</si>
  <si>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</si>
  <si>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</si>
  <si>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</si>
  <si>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</si>
  <si>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</si>
  <si>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</si>
  <si>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</si>
  <si>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</si>
  <si>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</si>
  <si>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</si>
  <si>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</si>
  <si>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</si>
  <si>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</si>
  <si>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</si>
  <si>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</si>
  <si>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</si>
  <si>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</si>
  <si>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</si>
  <si>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</si>
  <si>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</si>
  <si>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</si>
  <si>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</si>
  <si>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</si>
  <si>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</si>
  <si>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</si>
  <si>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</si>
  <si>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</si>
  <si>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</si>
  <si>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</si>
  <si>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</si>
  <si>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</si>
  <si>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</si>
  <si>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</si>
  <si>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</si>
  <si>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</si>
  <si>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</si>
  <si>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</si>
  <si>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</si>
  <si>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</si>
  <si>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</si>
  <si>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</si>
  <si>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</si>
  <si>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</si>
  <si>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</si>
  <si>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</si>
  <si>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</si>
  <si>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</si>
  <si>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</si>
  <si>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</si>
  <si>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</si>
  <si>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</si>
  <si>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</si>
  <si>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</si>
  <si>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</si>
  <si>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</si>
  <si>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</si>
  <si>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</si>
  <si>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</si>
  <si>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</si>
  <si>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</si>
  <si>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</si>
  <si>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</si>
  <si>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</si>
  <si>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</si>
  <si>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</si>
  <si>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</si>
  <si>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</si>
  <si>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</si>
  <si>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</si>
  <si>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</si>
  <si>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</si>
  <si>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</si>
  <si>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</si>
  <si>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</si>
  <si>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</si>
  <si>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</si>
  <si>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</si>
  <si>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</si>
  <si>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</si>
  <si>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</si>
  <si>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</si>
  <si>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</si>
  <si>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</si>
  <si>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</si>
  <si>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</si>
  <si>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</si>
  <si>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</si>
  <si>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</si>
  <si>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</si>
  <si>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</si>
  <si>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</si>
  <si>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</si>
  <si>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</si>
  <si>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</si>
  <si>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</si>
  <si>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</si>
  <si>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</si>
  <si>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</si>
  <si>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</si>
  <si>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</si>
  <si>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</si>
  <si>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</si>
  <si>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</si>
  <si>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</si>
  <si>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</si>
  <si>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</si>
  <si>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</si>
  <si>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</si>
  <si>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</si>
  <si>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</si>
  <si>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</si>
  <si>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</si>
  <si>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</si>
  <si>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</si>
  <si>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</si>
  <si>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</si>
  <si>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</si>
  <si>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</si>
  <si>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</si>
  <si>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</si>
  <si>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</si>
  <si>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</si>
  <si>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</si>
  <si>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</si>
  <si>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</si>
  <si>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</si>
  <si>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</si>
  <si>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</si>
  <si>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</si>
  <si>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</si>
  <si>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</si>
  <si>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</si>
  <si>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</si>
  <si>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</si>
  <si>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</si>
  <si>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</si>
  <si>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</si>
  <si>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</si>
  <si>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</si>
  <si>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</si>
  <si>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</si>
  <si>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</si>
  <si>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</si>
  <si>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</si>
  <si>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</si>
  <si>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</si>
  <si>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</si>
  <si>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</si>
  <si>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</si>
  <si>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</si>
  <si>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</si>
  <si>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</si>
  <si>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</si>
  <si>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</si>
  <si>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</si>
  <si>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</si>
  <si>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</si>
  <si>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</si>
  <si>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</si>
  <si>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</si>
  <si>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</si>
  <si>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</si>
  <si>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</si>
  <si>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</si>
  <si>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</si>
  <si>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</si>
  <si>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</si>
  <si>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</si>
  <si>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</si>
  <si>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</si>
  <si>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</si>
  <si>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</si>
  <si>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</si>
  <si>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</si>
  <si>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</si>
  <si>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</si>
  <si>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</si>
  <si>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</si>
  <si>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</si>
  <si>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</si>
  <si>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</si>
  <si>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</si>
  <si>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</si>
  <si>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</si>
  <si>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</si>
  <si>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</si>
  <si>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</si>
  <si>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</si>
  <si>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</si>
  <si>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</si>
  <si>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</si>
  <si>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</si>
  <si>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</si>
  <si>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</si>
  <si>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</si>
  <si>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</si>
  <si>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</si>
  <si>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</si>
  <si>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</si>
  <si>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</si>
  <si>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</si>
  <si>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</si>
  <si>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</si>
  <si>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</si>
  <si>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</si>
  <si>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</si>
  <si>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</si>
  <si>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</si>
  <si>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</si>
  <si>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</si>
  <si>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</si>
  <si>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</si>
  <si>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</si>
  <si>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</si>
  <si>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</si>
  <si>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</si>
  <si>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</si>
  <si>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</si>
  <si>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</si>
  <si>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</si>
  <si>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</si>
  <si>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</si>
  <si>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</si>
  <si>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</si>
  <si>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</si>
  <si>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</si>
  <si>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</si>
  <si>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</si>
  <si>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</si>
  <si>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</si>
  <si>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</si>
  <si>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</si>
  <si>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</si>
  <si>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</si>
  <si>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</si>
  <si>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</si>
  <si>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</si>
  <si>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</si>
  <si>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</si>
  <si>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</si>
  <si>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</si>
  <si>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</si>
  <si>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</si>
  <si>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</si>
  <si>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</si>
  <si>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</si>
  <si>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</si>
  <si>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</si>
  <si>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</si>
  <si>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</si>
  <si>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</si>
  <si>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</si>
  <si>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</si>
  <si>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</si>
  <si>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</si>
  <si>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</si>
  <si>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</si>
  <si>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</si>
  <si>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</si>
  <si>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</si>
  <si>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</si>
  <si>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</si>
  <si>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</si>
  <si>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</si>
  <si>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</si>
  <si>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</si>
  <si>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</si>
  <si>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</si>
  <si>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</si>
  <si>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</si>
  <si>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</si>
  <si>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</si>
  <si>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</si>
  <si>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</si>
  <si>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</si>
  <si>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</si>
  <si>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</si>
  <si>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</si>
  <si>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</si>
  <si>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</si>
  <si>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Wipfli LLP</t>
  </si>
  <si>
    <t>403 East 3rd Street</t>
  </si>
  <si>
    <t>Sterling</t>
  </si>
  <si>
    <t>IL</t>
  </si>
  <si>
    <t>815-626-1277</t>
  </si>
  <si>
    <t>815-626-9118</t>
  </si>
  <si>
    <t>066-004023</t>
  </si>
  <si>
    <t>mschueler@wipfli.com</t>
  </si>
  <si>
    <t>Livingston</t>
  </si>
  <si>
    <t>X</t>
  </si>
  <si>
    <t>801 S Franklin St</t>
  </si>
  <si>
    <t>Dwight</t>
  </si>
  <si>
    <t>jancekr@dwight.K1.il.us</t>
  </si>
  <si>
    <t>Matthew Schueler</t>
  </si>
  <si>
    <t>Dr. Richard Jancek</t>
  </si>
  <si>
    <t>jancekr@dwight.k12.il.us</t>
  </si>
  <si>
    <t>815-584-6216</t>
  </si>
  <si>
    <t>23. Qualified for the District not maintaining historical cost on capital assets. Adverse for not implementing GASB34.</t>
  </si>
  <si>
    <t>Working Cash Bonds, Series 2016</t>
  </si>
  <si>
    <t>None</t>
  </si>
  <si>
    <t>Education Fund - 1290 Other payments in Lieu of Taxes - $101,383</t>
  </si>
  <si>
    <t>Education Fund - 1829 Sale of PE Uniforms - $915 and Padlock Sales - $430</t>
  </si>
  <si>
    <t>Education Fund - 1999 Other Revenue Local Source - $6,611 and Flow-thru Roof/Water Damage - $59,687</t>
  </si>
  <si>
    <t>Education Fund - 3999 State Library Grant - $750</t>
  </si>
  <si>
    <t>Operations &amp; Maintenance Fund - 1999 Other Revenue Local Source - $50 and Roof/Water Damage OT Reimbursement - $1,786</t>
  </si>
  <si>
    <t>Operations &amp; Maintenance Fund - 5150 Bond Agent Paying Fees - $350</t>
  </si>
  <si>
    <t>Dwight Common SD 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</si>
</sst>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sz val="9"/>
      <color theme="1"/>
      <name val="Calibri"/>
      <family val="2"/>
      <scheme val="minor"/>
    </font>
    <font>
      <u/>
      <sz val="8"/>
      <color rgb="FFFF0000"/>
      <name val="Times New Roman"/>
      <family val="1"/>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0"/>
      <color rgb="FFFF000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5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s>
  <cellStyleXfs count="27">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0" fillId="0" borderId="0" applyNumberFormat="0" applyFill="0" applyBorder="0" applyAlignment="0" applyProtection="0"/>
    <xf numFmtId="0" fontId="8" fillId="0" borderId="0"/>
    <xf numFmtId="0" fontId="7"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42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49"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2" xfId="12" applyNumberFormat="1" applyFont="1" applyBorder="1" applyAlignment="1" applyProtection="1">
      <alignment horizontal="right" vertical="center"/>
    </xf>
    <xf numFmtId="0" fontId="11" fillId="0" borderId="122" xfId="12" applyFont="1" applyBorder="1" applyAlignment="1" applyProtection="1">
      <alignment vertical="center"/>
    </xf>
    <xf numFmtId="0" fontId="14" fillId="0" borderId="125" xfId="12" applyFont="1" applyBorder="1" applyAlignment="1" applyProtection="1">
      <alignment vertical="center"/>
    </xf>
    <xf numFmtId="0" fontId="14" fillId="0" borderId="123" xfId="12" applyFont="1" applyBorder="1" applyAlignment="1" applyProtection="1">
      <alignment vertical="center"/>
    </xf>
    <xf numFmtId="1" fontId="10" fillId="0" borderId="0" xfId="0" applyNumberFormat="1" applyFont="1" applyAlignment="1">
      <alignment horizontal="center" vertical="center"/>
    </xf>
    <xf numFmtId="0" fontId="11" fillId="0" borderId="132" xfId="12" applyFont="1" applyBorder="1" applyAlignment="1" applyProtection="1">
      <alignment vertical="center"/>
    </xf>
    <xf numFmtId="0" fontId="11"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18" xfId="0" applyFont="1" applyFill="1" applyBorder="1" applyAlignment="1" applyProtection="1">
      <alignment horizontal="left" vertical="center"/>
    </xf>
    <xf numFmtId="164" fontId="52" fillId="17" borderId="118" xfId="0" applyNumberFormat="1" applyFont="1" applyFill="1" applyBorder="1" applyAlignment="1" applyProtection="1">
      <alignment horizontal="center" vertical="center"/>
    </xf>
    <xf numFmtId="164" fontId="62" fillId="17" borderId="118" xfId="0" applyNumberFormat="1" applyFont="1" applyFill="1" applyBorder="1" applyAlignment="1" applyProtection="1">
      <alignment vertical="center"/>
    </xf>
    <xf numFmtId="0" fontId="75" fillId="10" borderId="119"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07" xfId="0" applyNumberFormat="1" applyFont="1" applyFill="1" applyBorder="1" applyAlignment="1">
      <alignment horizontal="right"/>
    </xf>
    <xf numFmtId="0" fontId="76" fillId="11" borderId="103" xfId="0" applyFont="1" applyFill="1" applyBorder="1" applyAlignment="1">
      <alignment vertical="center"/>
    </xf>
    <xf numFmtId="164" fontId="52" fillId="13" borderId="114" xfId="0" applyNumberFormat="1" applyFont="1" applyFill="1" applyBorder="1" applyAlignment="1" applyProtection="1">
      <alignment horizontal="center" vertical="center"/>
    </xf>
    <xf numFmtId="164" fontId="62" fillId="13" borderId="107"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8" fillId="11" borderId="117"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07" xfId="0" applyNumberFormat="1" applyFont="1" applyFill="1" applyBorder="1" applyAlignment="1" applyProtection="1">
      <alignment horizontal="right"/>
      <protection locked="0"/>
    </xf>
    <xf numFmtId="0" fontId="52" fillId="17" borderId="107" xfId="0" applyFont="1" applyFill="1" applyBorder="1" applyAlignment="1" applyProtection="1">
      <alignment horizontal="center" vertical="center"/>
    </xf>
    <xf numFmtId="164" fontId="52" fillId="17" borderId="107" xfId="0" applyNumberFormat="1" applyFont="1" applyFill="1" applyBorder="1" applyAlignment="1" applyProtection="1">
      <alignment horizontal="center" vertical="center"/>
    </xf>
    <xf numFmtId="164" fontId="62" fillId="17" borderId="107"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4" xfId="0" applyFont="1" applyFill="1" applyBorder="1" applyAlignment="1" applyProtection="1">
      <alignment horizontal="left" vertical="center"/>
    </xf>
    <xf numFmtId="164" fontId="52" fillId="13" borderId="107" xfId="0" applyNumberFormat="1" applyFont="1" applyFill="1" applyBorder="1" applyAlignment="1" applyProtection="1">
      <alignment horizontal="center" vertical="center"/>
    </xf>
    <xf numFmtId="164" fontId="60" fillId="13" borderId="107"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5" xfId="0" applyFont="1" applyFill="1" applyBorder="1" applyAlignment="1" applyProtection="1">
      <alignment horizontal="center" vertical="center"/>
    </xf>
    <xf numFmtId="164" fontId="52" fillId="13" borderId="116" xfId="0" applyNumberFormat="1" applyFont="1" applyFill="1" applyBorder="1" applyAlignment="1" applyProtection="1">
      <alignment horizontal="center" vertical="center"/>
    </xf>
    <xf numFmtId="164" fontId="62" fillId="13" borderId="116" xfId="0" applyNumberFormat="1" applyFont="1" applyFill="1" applyBorder="1" applyAlignment="1" applyProtection="1">
      <alignment vertical="center"/>
    </xf>
    <xf numFmtId="38" fontId="48" fillId="11" borderId="107" xfId="0" applyNumberFormat="1" applyFont="1" applyFill="1" applyBorder="1" applyAlignment="1">
      <alignment horizontal="right"/>
    </xf>
    <xf numFmtId="0" fontId="75"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0" borderId="124" xfId="0" applyNumberFormat="1" applyFont="1" applyBorder="1" applyAlignment="1" applyProtection="1">
      <alignment horizontal="right"/>
      <protection locked="0"/>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38" fontId="53" fillId="0" borderId="121"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0" xfId="0" applyNumberFormat="1" applyFont="1" applyFill="1" applyBorder="1" applyAlignment="1" applyProtection="1">
      <alignment horizontal="right"/>
      <protection locked="0"/>
    </xf>
    <xf numFmtId="38" fontId="53" fillId="0" borderId="108"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0" borderId="124"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98"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1"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03"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03" fillId="0" borderId="0" xfId="0" applyNumberFormat="1" applyFont="1" applyBorder="1" applyAlignment="1">
      <alignment horizontal="right" vertical="top"/>
    </xf>
    <xf numFmtId="0" fontId="105"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05"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03" fillId="0" borderId="21" xfId="0" applyNumberFormat="1" applyFont="1" applyBorder="1" applyAlignment="1">
      <alignment horizontal="left" vertical="center"/>
    </xf>
    <xf numFmtId="0" fontId="60" fillId="0" borderId="14" xfId="0" applyFont="1" applyBorder="1" applyAlignment="1">
      <alignment vertical="top" wrapText="1"/>
    </xf>
    <xf numFmtId="0" fontId="105"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03"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03" fillId="0" borderId="21" xfId="0" applyNumberFormat="1" applyFont="1" applyBorder="1" applyAlignment="1">
      <alignment horizontal="right" vertical="top"/>
    </xf>
    <xf numFmtId="164" fontId="105"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05"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06" fillId="0" borderId="21" xfId="0" applyNumberFormat="1" applyFont="1" applyBorder="1" applyAlignment="1">
      <alignment horizontal="left" vertical="center"/>
    </xf>
    <xf numFmtId="0" fontId="103"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03" fillId="0" borderId="21" xfId="0" applyNumberFormat="1" applyFont="1" applyBorder="1" applyAlignment="1">
      <alignment vertical="center"/>
    </xf>
    <xf numFmtId="0" fontId="53" fillId="0" borderId="21" xfId="0" applyFont="1" applyBorder="1" applyAlignment="1">
      <alignment vertical="center"/>
    </xf>
    <xf numFmtId="0" fontId="60" fillId="0" borderId="146" xfId="0" applyFont="1" applyBorder="1"/>
    <xf numFmtId="0" fontId="53" fillId="0" borderId="13" xfId="0" applyFont="1" applyBorder="1"/>
    <xf numFmtId="0" fontId="53" fillId="0" borderId="122" xfId="0" applyFont="1" applyBorder="1" applyAlignment="1">
      <alignment horizontal="left" vertical="top"/>
    </xf>
    <xf numFmtId="164" fontId="103"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05" fillId="0" borderId="125" xfId="0" applyNumberFormat="1" applyFont="1" applyBorder="1" applyAlignment="1">
      <alignment horizontal="left" vertical="center"/>
    </xf>
    <xf numFmtId="0" fontId="103" fillId="0" borderId="125" xfId="0" applyFont="1" applyBorder="1" applyAlignment="1">
      <alignment vertical="top"/>
    </xf>
    <xf numFmtId="0" fontId="103" fillId="0" borderId="125" xfId="0" applyFont="1" applyBorder="1" applyAlignment="1">
      <alignment horizontal="left" vertical="top"/>
    </xf>
    <xf numFmtId="0" fontId="53" fillId="0" borderId="122" xfId="0" applyFont="1" applyBorder="1" applyAlignment="1"/>
    <xf numFmtId="164" fontId="103"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48"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06"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37" xfId="3" quotePrefix="1" applyNumberFormat="1" applyFont="1" applyBorder="1" applyAlignment="1" applyProtection="1">
      <alignment horizontal="left"/>
    </xf>
    <xf numFmtId="0" fontId="60" fillId="0" borderId="138" xfId="3" applyNumberFormat="1" applyFont="1" applyBorder="1" applyAlignment="1" applyProtection="1">
      <alignment horizontal="center"/>
    </xf>
    <xf numFmtId="0" fontId="60" fillId="0" borderId="138" xfId="3" applyNumberFormat="1" applyFont="1" applyBorder="1" applyProtection="1"/>
    <xf numFmtId="0" fontId="53" fillId="0" borderId="137" xfId="3" applyNumberFormat="1" applyFont="1" applyBorder="1" applyAlignment="1" applyProtection="1"/>
    <xf numFmtId="0" fontId="60" fillId="0" borderId="139" xfId="3" applyNumberFormat="1" applyFont="1" applyBorder="1" applyAlignment="1" applyProtection="1">
      <alignment horizontal="centerContinuous"/>
    </xf>
    <xf numFmtId="0" fontId="53" fillId="0" borderId="137" xfId="3" applyNumberFormat="1" applyFont="1" applyBorder="1" applyAlignment="1" applyProtection="1">
      <alignment horizontal="left"/>
    </xf>
    <xf numFmtId="0" fontId="60" fillId="0" borderId="139" xfId="3" applyNumberFormat="1" applyFont="1" applyBorder="1" applyProtection="1"/>
    <xf numFmtId="0" fontId="60" fillId="0" borderId="138"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37"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1"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07"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08" fillId="0" borderId="0" xfId="3" applyNumberFormat="1" applyFont="1" applyFill="1" applyBorder="1"/>
    <xf numFmtId="49" fontId="66" fillId="0" borderId="0" xfId="3" applyNumberFormat="1" applyFont="1" applyAlignment="1">
      <alignment vertical="top"/>
    </xf>
    <xf numFmtId="0" fontId="60" fillId="0" borderId="138"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0" xfId="3" applyFont="1" applyBorder="1" applyProtection="1"/>
    <xf numFmtId="0" fontId="53" fillId="0" borderId="141" xfId="3" applyFont="1" applyBorder="1" applyProtection="1">
      <protection locked="0"/>
    </xf>
    <xf numFmtId="0" fontId="53" fillId="0" borderId="140"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09" fillId="0" borderId="0" xfId="3" applyFont="1" applyAlignment="1" applyProtection="1">
      <alignment vertical="top"/>
    </xf>
    <xf numFmtId="0" fontId="60" fillId="0" borderId="0" xfId="3" applyFont="1" applyProtection="1"/>
    <xf numFmtId="0" fontId="109"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39" xfId="3" applyNumberFormat="1" applyFont="1" applyBorder="1" applyAlignment="1" applyProtection="1">
      <alignment horizontal="center"/>
    </xf>
    <xf numFmtId="0" fontId="62" fillId="0" borderId="138" xfId="3" applyFont="1" applyBorder="1" applyAlignment="1" applyProtection="1">
      <alignment horizontal="centerContinuous"/>
    </xf>
    <xf numFmtId="0" fontId="62" fillId="0" borderId="139"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39"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09" fillId="0" borderId="0" xfId="3" applyFont="1" applyAlignment="1" applyProtection="1">
      <alignment horizontal="left" wrapText="1"/>
    </xf>
    <xf numFmtId="0" fontId="109" fillId="0" borderId="0" xfId="3" applyFont="1" applyAlignment="1" applyProtection="1"/>
    <xf numFmtId="0" fontId="109"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09" fillId="0" borderId="0" xfId="3" applyFont="1" applyAlignment="1" applyProtection="1">
      <alignment vertical="center"/>
    </xf>
    <xf numFmtId="0" fontId="110"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38" xfId="3" applyFont="1" applyBorder="1" applyProtection="1"/>
    <xf numFmtId="0" fontId="55" fillId="0" borderId="138" xfId="3" applyFont="1" applyBorder="1" applyProtection="1"/>
    <xf numFmtId="0" fontId="55" fillId="0" borderId="138"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38" xfId="3" quotePrefix="1" applyFont="1" applyBorder="1" applyAlignment="1" applyProtection="1">
      <alignment horizontal="left"/>
    </xf>
    <xf numFmtId="0" fontId="53" fillId="0" borderId="138" xfId="3" applyFont="1" applyBorder="1" applyProtection="1"/>
    <xf numFmtId="0" fontId="53" fillId="0" borderId="138"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38" xfId="3" applyFont="1" applyBorder="1" applyProtection="1"/>
    <xf numFmtId="0" fontId="55" fillId="0" borderId="0" xfId="3" applyFont="1" applyBorder="1" applyAlignment="1" applyProtection="1">
      <alignment horizontal="left"/>
    </xf>
    <xf numFmtId="0" fontId="62" fillId="0" borderId="138"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09" fillId="0" borderId="0" xfId="3" applyFont="1" applyBorder="1" applyProtection="1"/>
    <xf numFmtId="0" fontId="109"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38"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0"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3"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12" fillId="0" borderId="0" xfId="3" applyNumberFormat="1" applyFont="1" applyProtection="1"/>
    <xf numFmtId="6" fontId="108" fillId="0" borderId="76" xfId="3" applyNumberFormat="1" applyFont="1" applyBorder="1" applyProtection="1"/>
    <xf numFmtId="6" fontId="108"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08" fillId="0" borderId="0" xfId="3" applyFont="1" applyProtection="1"/>
    <xf numFmtId="10" fontId="112"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09" fillId="0" borderId="0" xfId="3" applyNumberFormat="1" applyFont="1" applyBorder="1" applyAlignment="1" applyProtection="1">
      <alignment horizontal="left" vertical="center"/>
    </xf>
    <xf numFmtId="0" fontId="109"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09" fillId="0" borderId="0" xfId="3" applyNumberFormat="1" applyFont="1" applyAlignment="1" applyProtection="1">
      <alignment horizontal="left" vertical="center"/>
    </xf>
    <xf numFmtId="0" fontId="109"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45" xfId="3"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09"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49" xfId="0" applyNumberFormat="1" applyFont="1" applyFill="1" applyBorder="1" applyAlignment="1">
      <alignment horizontal="center" vertical="center" wrapText="1"/>
    </xf>
    <xf numFmtId="38" fontId="52" fillId="6" borderId="149" xfId="0" applyNumberFormat="1" applyFont="1" applyFill="1" applyBorder="1" applyAlignment="1">
      <alignment horizontal="center" vertical="top" wrapText="1"/>
    </xf>
    <xf numFmtId="38" fontId="62" fillId="6" borderId="149"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7" fillId="0" borderId="0" xfId="17"/>
    <xf numFmtId="0" fontId="97" fillId="0" borderId="134" xfId="17" applyFont="1" applyBorder="1" applyAlignment="1">
      <alignment horizontal="left" vertical="top"/>
    </xf>
    <xf numFmtId="0" fontId="116" fillId="0" borderId="135" xfId="17" applyFont="1" applyBorder="1" applyAlignment="1">
      <alignment horizontal="center" vertical="top"/>
    </xf>
    <xf numFmtId="0" fontId="116" fillId="0" borderId="136" xfId="17" applyFont="1" applyBorder="1" applyAlignment="1">
      <alignment horizontal="center" vertical="top"/>
    </xf>
    <xf numFmtId="0" fontId="117" fillId="0" borderId="96" xfId="17" applyFont="1" applyBorder="1" applyAlignment="1">
      <alignment vertical="top"/>
    </xf>
    <xf numFmtId="0" fontId="117" fillId="0" borderId="0" xfId="17" applyFont="1" applyBorder="1" applyAlignment="1">
      <alignment vertical="top"/>
    </xf>
    <xf numFmtId="0" fontId="117" fillId="0" borderId="97" xfId="17" applyFont="1" applyBorder="1" applyAlignment="1">
      <alignment vertical="top"/>
    </xf>
    <xf numFmtId="38" fontId="7" fillId="22" borderId="151" xfId="17" applyNumberFormat="1" applyFill="1" applyBorder="1" applyAlignment="1">
      <alignment horizontal="right" vertical="top"/>
    </xf>
    <xf numFmtId="38" fontId="7" fillId="22" borderId="152"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15" fillId="23" borderId="150" xfId="17" applyFont="1" applyFill="1" applyBorder="1" applyAlignment="1">
      <alignment horizontal="center" vertical="center" wrapText="1"/>
    </xf>
    <xf numFmtId="38" fontId="115" fillId="23" borderId="150" xfId="17" applyNumberFormat="1" applyFont="1" applyFill="1" applyBorder="1" applyAlignment="1">
      <alignment horizontal="center" vertical="center" wrapText="1"/>
    </xf>
    <xf numFmtId="3" fontId="53" fillId="23" borderId="128" xfId="0" applyNumberFormat="1" applyFont="1" applyFill="1" applyBorder="1" applyAlignment="1">
      <alignment horizontal="center"/>
    </xf>
    <xf numFmtId="3" fontId="53" fillId="23" borderId="128" xfId="0" applyNumberFormat="1" applyFont="1" applyFill="1" applyBorder="1" applyAlignment="1">
      <alignment horizontal="right"/>
    </xf>
    <xf numFmtId="3" fontId="53" fillId="23" borderId="129"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2"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4"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2" xfId="0" applyNumberFormat="1" applyFont="1" applyFill="1" applyBorder="1" applyAlignment="1">
      <alignment horizontal="left" vertical="center" wrapText="1"/>
    </xf>
    <xf numFmtId="49" fontId="62" fillId="17" borderId="124"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2"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4" xfId="0" applyFont="1" applyFill="1" applyBorder="1" applyAlignment="1">
      <alignment horizontal="left" vertical="center" wrapText="1"/>
    </xf>
    <xf numFmtId="3" fontId="62" fillId="17" borderId="124"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3" xfId="0" applyFont="1" applyBorder="1" applyAlignment="1">
      <alignment horizontal="centerContinuous" vertical="center"/>
    </xf>
    <xf numFmtId="0" fontId="53" fillId="0" borderId="154" xfId="0" applyFont="1" applyBorder="1" applyAlignment="1">
      <alignment horizontal="centerContinuous" vertical="center"/>
    </xf>
    <xf numFmtId="0" fontId="55" fillId="0" borderId="154"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6" fillId="0" borderId="0" xfId="17" quotePrefix="1" applyNumberFormat="1" applyFont="1"/>
    <xf numFmtId="0" fontId="117" fillId="20" borderId="151" xfId="17" applyFont="1" applyFill="1" applyBorder="1" applyAlignment="1" applyProtection="1">
      <alignment horizontal="left" vertical="top" wrapText="1"/>
    </xf>
    <xf numFmtId="49" fontId="117" fillId="20" borderId="151" xfId="17" applyNumberFormat="1" applyFont="1" applyFill="1" applyBorder="1" applyAlignment="1" applyProtection="1">
      <alignment horizontal="center" vertical="top"/>
    </xf>
    <xf numFmtId="0" fontId="117" fillId="20" borderId="151" xfId="17" applyFont="1" applyFill="1" applyBorder="1" applyAlignment="1" applyProtection="1">
      <alignment vertical="top"/>
    </xf>
    <xf numFmtId="38" fontId="117" fillId="20" borderId="151" xfId="17" applyNumberFormat="1" applyFont="1" applyFill="1" applyBorder="1" applyAlignment="1" applyProtection="1">
      <alignment horizontal="right" vertical="top"/>
    </xf>
    <xf numFmtId="38" fontId="117" fillId="20" borderId="151" xfId="17" applyNumberFormat="1" applyFont="1" applyFill="1" applyBorder="1" applyAlignment="1" applyProtection="1">
      <alignment vertical="top"/>
    </xf>
    <xf numFmtId="0" fontId="7" fillId="0" borderId="151" xfId="17" applyBorder="1" applyAlignment="1" applyProtection="1">
      <alignment horizontal="left" vertical="top" wrapText="1"/>
      <protection locked="0"/>
    </xf>
    <xf numFmtId="0" fontId="7" fillId="0" borderId="151" xfId="17" applyBorder="1" applyAlignment="1" applyProtection="1">
      <alignment vertical="top"/>
      <protection locked="0"/>
    </xf>
    <xf numFmtId="0" fontId="6" fillId="0" borderId="151" xfId="17" applyFont="1" applyBorder="1" applyAlignment="1" applyProtection="1">
      <alignment horizontal="left" vertical="top" wrapText="1"/>
      <protection locked="0"/>
    </xf>
    <xf numFmtId="0" fontId="6" fillId="0" borderId="151"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17" fillId="0" borderId="98" xfId="17" applyFont="1" applyBorder="1" applyAlignment="1">
      <alignment horizontal="left" vertical="top"/>
    </xf>
    <xf numFmtId="0" fontId="117" fillId="0" borderId="78" xfId="17" applyFont="1" applyBorder="1" applyAlignment="1">
      <alignment horizontal="left" vertical="top"/>
    </xf>
    <xf numFmtId="0" fontId="117" fillId="0" borderId="99" xfId="17" applyFont="1" applyBorder="1" applyAlignment="1">
      <alignment horizontal="left" vertical="top"/>
    </xf>
    <xf numFmtId="0" fontId="33" fillId="0" borderId="0" xfId="2" applyNumberFormat="1" applyAlignment="1" applyProtection="1">
      <alignment vertical="center"/>
    </xf>
    <xf numFmtId="0" fontId="62" fillId="0" borderId="5" xfId="3" applyFont="1" applyFill="1" applyBorder="1" applyAlignment="1" applyProtection="1"/>
    <xf numFmtId="49" fontId="7" fillId="0" borderId="151" xfId="17" applyNumberFormat="1" applyBorder="1" applyAlignment="1" applyProtection="1">
      <alignment horizontal="center" vertical="center"/>
      <protection locked="0"/>
    </xf>
    <xf numFmtId="49" fontId="5" fillId="0" borderId="151"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4"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4"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7" fillId="16" borderId="151" xfId="17" applyNumberFormat="1" applyFill="1" applyBorder="1" applyAlignment="1" applyProtection="1">
      <alignment vertical="top"/>
    </xf>
    <xf numFmtId="38" fontId="7" fillId="16" borderId="152" xfId="17" applyNumberFormat="1" applyFill="1" applyBorder="1" applyAlignment="1" applyProtection="1">
      <alignment horizontal="right" vertical="top"/>
    </xf>
    <xf numFmtId="38" fontId="7" fillId="16" borderId="152" xfId="17" applyNumberFormat="1" applyFill="1" applyBorder="1" applyAlignment="1" applyProtection="1">
      <alignment vertical="top"/>
    </xf>
    <xf numFmtId="0" fontId="7" fillId="16" borderId="152" xfId="17" applyFill="1" applyBorder="1" applyAlignment="1" applyProtection="1">
      <alignment horizontal="left" vertical="top" wrapText="1"/>
    </xf>
    <xf numFmtId="49" fontId="7" fillId="16" borderId="152" xfId="17" applyNumberFormat="1" applyFill="1" applyBorder="1" applyAlignment="1" applyProtection="1">
      <alignment vertical="top"/>
    </xf>
    <xf numFmtId="0" fontId="7" fillId="16" borderId="152" xfId="17" applyFill="1" applyBorder="1" applyAlignment="1" applyProtection="1">
      <alignment vertical="top"/>
    </xf>
    <xf numFmtId="0" fontId="53" fillId="16" borderId="123" xfId="0" applyFont="1" applyFill="1" applyBorder="1"/>
    <xf numFmtId="37" fontId="53" fillId="16" borderId="123" xfId="0" applyNumberFormat="1" applyFont="1" applyFill="1" applyBorder="1"/>
    <xf numFmtId="37" fontId="53" fillId="16" borderId="125"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4"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1"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5"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7" fillId="0" borderId="151"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1"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1"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3"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14" fillId="0" borderId="21" xfId="0" applyFont="1" applyBorder="1" applyAlignment="1" applyProtection="1">
      <alignment horizontal="left" vertical="center" indent="1"/>
    </xf>
    <xf numFmtId="38" fontId="3" fillId="16" borderId="151" xfId="17" applyNumberFormat="1" applyFont="1" applyFill="1" applyBorder="1" applyAlignment="1" applyProtection="1">
      <alignment horizontal="right" vertical="top"/>
    </xf>
    <xf numFmtId="38" fontId="3" fillId="16" borderId="152" xfId="17" applyNumberFormat="1" applyFont="1" applyFill="1" applyBorder="1" applyAlignment="1" applyProtection="1">
      <alignment horizontal="right" vertical="top"/>
    </xf>
    <xf numFmtId="49" fontId="3" fillId="0" borderId="151" xfId="17" applyNumberFormat="1" applyFont="1" applyBorder="1" applyAlignment="1" applyProtection="1">
      <alignment horizontal="center" vertical="top"/>
      <protection locked="0"/>
    </xf>
    <xf numFmtId="49" fontId="3" fillId="0" borderId="151"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20" fillId="0" borderId="2" xfId="12" applyNumberFormat="1" applyFont="1" applyBorder="1" applyAlignment="1" applyProtection="1">
      <alignment horizontal="center" vertical="center"/>
      <protection locked="0"/>
    </xf>
    <xf numFmtId="0" fontId="1" fillId="0" borderId="151" xfId="17" applyFont="1" applyBorder="1" applyAlignment="1" applyProtection="1">
      <alignment horizontal="left" vertical="top" wrapText="1"/>
      <protection locked="0"/>
    </xf>
    <xf numFmtId="49" fontId="1" fillId="0" borderId="151" xfId="17" applyNumberFormat="1" applyFont="1" applyBorder="1" applyAlignment="1" applyProtection="1">
      <alignment horizontal="center" vertical="top"/>
      <protection locked="0"/>
    </xf>
    <xf numFmtId="0" fontId="1" fillId="0" borderId="151" xfId="17"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22" fillId="0" borderId="0" xfId="12" applyFont="1" applyBorder="1" applyAlignment="1" applyProtection="1">
      <alignment horizontal="center" vertical="center" wrapText="1"/>
    </xf>
    <xf numFmtId="0" fontId="122" fillId="0" borderId="18" xfId="12" applyFont="1" applyBorder="1" applyAlignment="1" applyProtection="1">
      <alignment horizontal="center" vertical="center" wrapText="1"/>
    </xf>
    <xf numFmtId="0" fontId="122" fillId="0" borderId="125" xfId="12" applyFont="1" applyBorder="1" applyAlignment="1" applyProtection="1">
      <alignment horizontal="center" vertical="center" wrapText="1"/>
    </xf>
    <xf numFmtId="0" fontId="122" fillId="0" borderId="123"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3" xfId="12"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2" xfId="12"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6" xfId="0" applyFont="1" applyFill="1" applyBorder="1" applyAlignment="1">
      <alignment horizontal="center" vertical="center"/>
    </xf>
    <xf numFmtId="0" fontId="55" fillId="23" borderId="128"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3"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1" xfId="0" applyFont="1" applyBorder="1" applyAlignment="1" applyProtection="1">
      <alignment horizontal="left" vertical="center" wrapText="1" indent="1"/>
    </xf>
    <xf numFmtId="0" fontId="60" fillId="0" borderId="142"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1" xfId="0" applyFont="1" applyFill="1" applyBorder="1" applyAlignment="1" applyProtection="1">
      <alignment horizontal="left" vertical="center" indent="1"/>
    </xf>
    <xf numFmtId="0" fontId="62" fillId="16" borderId="140" xfId="0" applyFont="1" applyFill="1" applyBorder="1" applyAlignment="1" applyProtection="1">
      <alignment horizontal="left" vertical="center" indent="1"/>
    </xf>
    <xf numFmtId="0" fontId="62" fillId="3" borderId="141" xfId="0" applyFont="1" applyFill="1" applyBorder="1" applyAlignment="1" applyProtection="1">
      <alignment horizontal="left" vertical="center"/>
    </xf>
    <xf numFmtId="0" fontId="62" fillId="3" borderId="142"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0" xfId="0" applyFont="1" applyFill="1" applyBorder="1" applyAlignment="1" applyProtection="1">
      <alignment horizontal="left" vertical="center" indent="1"/>
    </xf>
    <xf numFmtId="0" fontId="63" fillId="23" borderId="141" xfId="0" applyFont="1" applyFill="1" applyBorder="1" applyAlignment="1" applyProtection="1">
      <alignment horizontal="left" vertical="center" indent="1"/>
    </xf>
    <xf numFmtId="0" fontId="63" fillId="23" borderId="142" xfId="0" applyFont="1" applyFill="1" applyBorder="1" applyAlignment="1" applyProtection="1">
      <alignment horizontal="left" vertical="center" indent="1"/>
    </xf>
    <xf numFmtId="0" fontId="117" fillId="0" borderId="96" xfId="17" applyFont="1" applyBorder="1" applyAlignment="1">
      <alignment horizontal="left" vertical="top" wrapText="1"/>
    </xf>
    <xf numFmtId="0" fontId="117" fillId="0" borderId="0" xfId="17" applyFont="1" applyBorder="1" applyAlignment="1">
      <alignment horizontal="left" vertical="top" wrapText="1"/>
    </xf>
    <xf numFmtId="0" fontId="117" fillId="0" borderId="97" xfId="17" applyFont="1" applyBorder="1" applyAlignment="1">
      <alignment horizontal="left" vertical="top" wrapText="1"/>
    </xf>
    <xf numFmtId="0" fontId="116" fillId="23" borderId="134" xfId="17" applyFont="1" applyFill="1" applyBorder="1" applyAlignment="1">
      <alignment horizontal="center" vertical="center"/>
    </xf>
    <xf numFmtId="0" fontId="116" fillId="23" borderId="135" xfId="17" applyFont="1" applyFill="1" applyBorder="1" applyAlignment="1">
      <alignment horizontal="center" vertical="center"/>
    </xf>
    <xf numFmtId="0" fontId="116" fillId="23" borderId="136" xfId="17" applyFont="1" applyFill="1" applyBorder="1" applyAlignment="1">
      <alignment horizontal="center" vertical="center"/>
    </xf>
    <xf numFmtId="0" fontId="116" fillId="23" borderId="98" xfId="17" applyFont="1" applyFill="1" applyBorder="1" applyAlignment="1">
      <alignment horizontal="center" vertical="center"/>
    </xf>
    <xf numFmtId="0" fontId="116" fillId="23" borderId="78" xfId="17" applyFont="1" applyFill="1" applyBorder="1" applyAlignment="1">
      <alignment horizontal="center" vertical="center"/>
    </xf>
    <xf numFmtId="0" fontId="116" fillId="23" borderId="99" xfId="17" applyFont="1" applyFill="1" applyBorder="1" applyAlignment="1">
      <alignment horizontal="center" vertical="center"/>
    </xf>
    <xf numFmtId="0" fontId="117" fillId="0" borderId="96" xfId="17" applyFont="1" applyBorder="1" applyAlignment="1">
      <alignment vertical="top" wrapText="1"/>
    </xf>
    <xf numFmtId="0" fontId="117" fillId="0" borderId="0" xfId="17" applyFont="1" applyBorder="1" applyAlignment="1">
      <alignment vertical="top" wrapText="1"/>
    </xf>
    <xf numFmtId="0" fontId="117" fillId="0" borderId="97" xfId="17" applyFont="1" applyBorder="1" applyAlignment="1">
      <alignment vertical="top" wrapText="1"/>
    </xf>
    <xf numFmtId="0" fontId="117" fillId="0" borderId="96" xfId="17" applyFont="1" applyBorder="1" applyAlignment="1">
      <alignment vertical="top"/>
    </xf>
    <xf numFmtId="0" fontId="117" fillId="0" borderId="0" xfId="17" applyFont="1" applyBorder="1" applyAlignment="1">
      <alignment vertical="top"/>
    </xf>
    <xf numFmtId="0" fontId="117" fillId="0" borderId="97" xfId="17" applyFont="1" applyBorder="1" applyAlignment="1">
      <alignment vertical="top"/>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0"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99" fillId="0" borderId="109" xfId="3" applyFont="1" applyBorder="1" applyAlignment="1">
      <alignment horizontal="center" vertical="center" wrapText="1"/>
    </xf>
    <xf numFmtId="0" fontId="99" fillId="0" borderId="0" xfId="3" applyFont="1" applyBorder="1" applyAlignment="1">
      <alignment horizontal="center" vertical="center" wrapText="1"/>
    </xf>
    <xf numFmtId="0" fontId="99" fillId="0" borderId="110" xfId="3" applyFont="1" applyBorder="1" applyAlignment="1">
      <alignment horizontal="center" vertical="center" wrapText="1"/>
    </xf>
    <xf numFmtId="0" fontId="99" fillId="0" borderId="111" xfId="3" applyFont="1" applyBorder="1" applyAlignment="1">
      <alignment horizontal="center" vertical="center" wrapText="1"/>
    </xf>
    <xf numFmtId="0" fontId="99" fillId="0" borderId="112" xfId="3" applyFont="1" applyBorder="1" applyAlignment="1">
      <alignment horizontal="center" vertical="center" wrapText="1"/>
    </xf>
    <xf numFmtId="0" fontId="99" fillId="0" borderId="113" xfId="3" applyFont="1" applyBorder="1" applyAlignment="1">
      <alignment horizontal="center" vertical="center" wrapText="1"/>
    </xf>
    <xf numFmtId="0" fontId="100" fillId="0" borderId="13" xfId="3" applyNumberFormat="1" applyFont="1" applyBorder="1" applyAlignment="1">
      <alignment vertical="top" wrapText="1"/>
    </xf>
    <xf numFmtId="0" fontId="100" fillId="0" borderId="21" xfId="3" applyNumberFormat="1" applyFont="1" applyBorder="1" applyAlignment="1">
      <alignment vertical="top" wrapText="1"/>
    </xf>
    <xf numFmtId="0" fontId="100"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02" fillId="12" borderId="122" xfId="0" applyFont="1" applyFill="1" applyBorder="1" applyAlignment="1">
      <alignment horizontal="center" vertical="center"/>
    </xf>
    <xf numFmtId="0" fontId="102" fillId="12" borderId="125" xfId="0" applyFont="1" applyFill="1" applyBorder="1" applyAlignment="1">
      <alignment horizontal="center" vertical="center"/>
    </xf>
    <xf numFmtId="0" fontId="102" fillId="12" borderId="147" xfId="0" applyFont="1" applyFill="1" applyBorder="1" applyAlignment="1">
      <alignment horizontal="center" vertical="center"/>
    </xf>
    <xf numFmtId="164" fontId="102" fillId="12" borderId="17" xfId="0" applyNumberFormat="1" applyFont="1" applyFill="1" applyBorder="1" applyAlignment="1">
      <alignment horizontal="center" vertical="center"/>
    </xf>
    <xf numFmtId="164" fontId="102" fillId="12" borderId="0" xfId="0" applyNumberFormat="1" applyFont="1" applyFill="1" applyBorder="1" applyAlignment="1">
      <alignment horizontal="center" vertical="center"/>
    </xf>
    <xf numFmtId="164" fontId="102" fillId="12" borderId="63" xfId="0" applyNumberFormat="1" applyFont="1" applyFill="1" applyBorder="1" applyAlignment="1">
      <alignment horizontal="center" vertical="center"/>
    </xf>
    <xf numFmtId="164" fontId="59" fillId="12" borderId="122" xfId="0" applyNumberFormat="1" applyFont="1" applyFill="1" applyBorder="1" applyAlignment="1">
      <alignment horizontal="center" vertical="top"/>
    </xf>
    <xf numFmtId="164" fontId="103" fillId="12" borderId="125" xfId="0" applyNumberFormat="1" applyFont="1" applyFill="1" applyBorder="1" applyAlignment="1">
      <alignment horizontal="center" vertical="top"/>
    </xf>
    <xf numFmtId="164" fontId="103" fillId="12" borderId="147" xfId="0" applyNumberFormat="1" applyFont="1" applyFill="1" applyBorder="1" applyAlignment="1">
      <alignment horizontal="center" vertical="top"/>
    </xf>
    <xf numFmtId="0" fontId="103"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03"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03"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03"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0" xfId="3" applyNumberFormat="1" applyFont="1" applyBorder="1" applyProtection="1"/>
    <xf numFmtId="0" fontId="53" fillId="0" borderId="141"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1" xfId="3" applyNumberFormat="1" applyFont="1" applyBorder="1" applyAlignment="1" applyProtection="1">
      <alignment horizontal="left" indent="1"/>
      <protection locked="0"/>
    </xf>
    <xf numFmtId="0" fontId="63" fillId="0" borderId="141" xfId="3" applyFont="1" applyBorder="1" applyAlignment="1" applyProtection="1">
      <alignment horizontal="left" indent="1"/>
      <protection locked="0"/>
    </xf>
    <xf numFmtId="0" fontId="63" fillId="0" borderId="142"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3" xfId="3" applyNumberFormat="1" applyFont="1" applyBorder="1" applyAlignment="1" applyProtection="1">
      <protection locked="0"/>
    </xf>
    <xf numFmtId="0" fontId="63" fillId="0" borderId="144" xfId="3" applyFont="1" applyBorder="1" applyAlignment="1" applyProtection="1">
      <protection locked="0"/>
    </xf>
    <xf numFmtId="0" fontId="60" fillId="0" borderId="0" xfId="3" applyFont="1" applyBorder="1" applyAlignment="1" applyProtection="1">
      <alignment horizontal="left" vertical="top" wrapText="1"/>
    </xf>
    <xf numFmtId="0" fontId="60" fillId="0" borderId="143"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4"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3" xfId="3" applyFont="1" applyBorder="1" applyAlignment="1" applyProtection="1">
      <alignment horizontal="center"/>
    </xf>
    <xf numFmtId="0" fontId="60" fillId="0" borderId="76" xfId="3" applyFont="1" applyBorder="1" applyAlignment="1" applyProtection="1">
      <alignment horizontal="center"/>
    </xf>
    <xf numFmtId="0" fontId="60" fillId="0" borderId="144" xfId="3" applyFont="1" applyBorder="1" applyAlignment="1" applyProtection="1">
      <alignment horizontal="center"/>
    </xf>
    <xf numFmtId="38" fontId="60" fillId="0" borderId="143"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44" xfId="3" applyNumberFormat="1" applyFont="1" applyBorder="1" applyAlignment="1" applyProtection="1">
      <alignment horizontal="right" vertical="center"/>
      <protection locked="0"/>
    </xf>
    <xf numFmtId="0" fontId="62" fillId="0" borderId="143"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4"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3" xfId="3" applyNumberFormat="1" applyFont="1" applyBorder="1" applyProtection="1">
      <protection locked="0"/>
    </xf>
    <xf numFmtId="6" fontId="60" fillId="0" borderId="144"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38"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7">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3" xr:uid="{6439B563-457E-475D-8F7B-3544FE30C4FC}"/>
    <cellStyle name="Normal 3 2 3" xfId="25" xr:uid="{52D0FE8B-FF91-427D-AFA5-FF0F1BCACE82}"/>
    <cellStyle name="Normal 3 2 4" xfId="20" xr:uid="{72D08776-CD9A-4772-8FC2-9B4B69AAD46D}"/>
    <cellStyle name="Normal 3 3" xfId="24" xr:uid="{E77F3CC7-3E19-4897-A4BE-D65B95410AB9}"/>
    <cellStyle name="Normal 3 4" xfId="19" xr:uid="{100E27EB-9A5F-4656-B16A-BD98A1301981}"/>
    <cellStyle name="Normal 4" xfId="16" xr:uid="{00000000-0005-0000-0000-000008000000}"/>
    <cellStyle name="Normal 4 2" xfId="26" xr:uid="{FD63CF0C-986F-435E-8920-512BDEA80CF4}"/>
    <cellStyle name="Normal 4 3" xfId="21" xr:uid="{C27C58AD-DC95-4FCF-9432-AD9AE17B0D53}"/>
    <cellStyle name="Normal 5" xfId="17" xr:uid="{00000000-0005-0000-0000-000009000000}"/>
    <cellStyle name="Normal 5 2" xfId="22" xr:uid="{570240C3-2A6F-4B8A-9EF1-F7464EB9D24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555685</xdr:colOff>
      <xdr:row>48</xdr:row>
      <xdr:rowOff>47625</xdr:rowOff>
    </xdr:to>
    <xdr:pic>
      <xdr:nvPicPr>
        <xdr:cNvPr id="3" name="Picture 2">
          <a:extLst>
            <a:ext uri="{FF2B5EF4-FFF2-40B4-BE49-F238E27FC236}">
              <a16:creationId xmlns:a16="http://schemas.microsoft.com/office/drawing/2014/main" id="{5C158208-71AE-4DD8-A6F6-8D42E50A8F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6042084" cy="7820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FR2019DTA/AFR19_Shared%20Services/17-053-2320-02_SS19%20Dwight%20Common%20SD%202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d Outsourced Services 31"/>
    </sheetNames>
    <sheetDataSet>
      <sheetData sheetId="0">
        <row r="34">
          <cell r="K34">
            <v>10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sbe.net/Pages/ebfdistribution.aspx"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0.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5.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1954</v>
      </c>
      <c r="B1" s="45"/>
      <c r="C1" s="45"/>
      <c r="D1" s="46"/>
      <c r="I1" s="1943" t="s">
        <v>405</v>
      </c>
      <c r="J1" s="1944"/>
      <c r="K1" s="1944"/>
      <c r="L1" s="1944"/>
      <c r="M1" s="1944"/>
      <c r="N1" s="1944"/>
      <c r="O1" s="1944"/>
      <c r="P1" s="1944"/>
      <c r="Q1" s="1944"/>
      <c r="R1" s="1944"/>
      <c r="S1" s="1944"/>
    </row>
    <row r="2" spans="1:28" ht="12" customHeight="1" x14ac:dyDescent="0.2">
      <c r="A2" s="47" t="s">
        <v>1955</v>
      </c>
      <c r="D2" s="48"/>
      <c r="I2" s="1945" t="s">
        <v>979</v>
      </c>
      <c r="J2" s="1944"/>
      <c r="K2" s="1944"/>
      <c r="L2" s="1944"/>
      <c r="M2" s="1944"/>
      <c r="N2" s="1944"/>
      <c r="O2" s="1944"/>
      <c r="P2" s="1944"/>
      <c r="Q2" s="1944"/>
      <c r="R2" s="1944"/>
      <c r="S2" s="1944"/>
    </row>
    <row r="3" spans="1:28" ht="12" customHeight="1" x14ac:dyDescent="0.2">
      <c r="A3" s="155" t="s">
        <v>1908</v>
      </c>
      <c r="B3" s="156"/>
      <c r="C3" s="156"/>
      <c r="D3" s="157"/>
      <c r="I3" s="1945" t="s">
        <v>52</v>
      </c>
      <c r="J3" s="1944"/>
      <c r="K3" s="1944"/>
      <c r="L3" s="1944"/>
      <c r="M3" s="1944"/>
      <c r="N3" s="1944"/>
      <c r="O3" s="1944"/>
      <c r="P3" s="1944"/>
      <c r="Q3" s="1944"/>
      <c r="R3" s="1944"/>
      <c r="S3" s="1944"/>
    </row>
    <row r="4" spans="1:28" ht="12" customHeight="1" x14ac:dyDescent="0.2">
      <c r="A4" s="37"/>
      <c r="I4" s="1945" t="s">
        <v>524</v>
      </c>
      <c r="J4" s="1944"/>
      <c r="K4" s="1944"/>
      <c r="L4" s="1944"/>
      <c r="M4" s="1944"/>
      <c r="N4" s="1944"/>
      <c r="O4" s="1944"/>
      <c r="P4" s="1944"/>
      <c r="Q4" s="1944"/>
      <c r="R4" s="1944"/>
      <c r="S4" s="1944"/>
    </row>
    <row r="5" spans="1:28" ht="14.1" customHeight="1" x14ac:dyDescent="0.2">
      <c r="B5" s="104" t="s">
        <v>2035</v>
      </c>
      <c r="C5" s="26" t="s">
        <v>910</v>
      </c>
      <c r="D5" s="84"/>
      <c r="E5" s="84"/>
      <c r="H5" s="38"/>
      <c r="I5" s="1953" t="s">
        <v>680</v>
      </c>
      <c r="J5" s="1952"/>
      <c r="K5" s="1952"/>
      <c r="L5" s="1952"/>
      <c r="M5" s="1952"/>
      <c r="N5" s="1952"/>
      <c r="O5" s="1952"/>
      <c r="P5" s="1952"/>
      <c r="Q5" s="1952"/>
      <c r="R5" s="1952"/>
      <c r="S5" s="1952"/>
    </row>
    <row r="6" spans="1:28" ht="14.1" customHeight="1" x14ac:dyDescent="0.2">
      <c r="B6" s="104"/>
      <c r="C6" s="26" t="s">
        <v>911</v>
      </c>
      <c r="D6" s="84"/>
      <c r="E6" s="84"/>
      <c r="I6" s="1951" t="s">
        <v>883</v>
      </c>
      <c r="J6" s="1952"/>
      <c r="K6" s="1952"/>
      <c r="L6" s="1952"/>
      <c r="M6" s="1952"/>
      <c r="N6" s="1952"/>
      <c r="O6" s="1952"/>
      <c r="P6" s="1952"/>
      <c r="Q6" s="1952"/>
      <c r="R6" s="1952"/>
      <c r="S6" s="1952"/>
    </row>
    <row r="7" spans="1:28" ht="12.2" customHeight="1" x14ac:dyDescent="0.2">
      <c r="I7" s="1946">
        <v>43646</v>
      </c>
      <c r="J7" s="1947"/>
      <c r="K7" s="1947"/>
      <c r="L7" s="1947"/>
      <c r="M7" s="1947"/>
      <c r="N7" s="1947"/>
      <c r="O7" s="1947"/>
      <c r="P7" s="1947"/>
      <c r="Q7" s="1947"/>
      <c r="R7" s="1947"/>
      <c r="S7" s="194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48" t="s">
        <v>674</v>
      </c>
      <c r="J9" s="1949"/>
      <c r="K9" s="1949"/>
      <c r="L9" s="1949"/>
      <c r="M9" s="1949"/>
      <c r="N9" s="1949"/>
      <c r="O9" s="1949"/>
      <c r="P9" s="1949"/>
      <c r="Q9" s="1949"/>
      <c r="R9" s="1949"/>
      <c r="S9" s="1950"/>
      <c r="T9" s="1964" t="s">
        <v>533</v>
      </c>
      <c r="U9" s="1965"/>
      <c r="V9" s="1965"/>
      <c r="W9" s="1965"/>
      <c r="X9" s="1965"/>
      <c r="Y9" s="1965"/>
      <c r="Z9" s="1965"/>
      <c r="AA9" s="1966"/>
    </row>
    <row r="10" spans="1:28" ht="13.5" customHeight="1" x14ac:dyDescent="0.2">
      <c r="A10" s="1971" t="s">
        <v>675</v>
      </c>
      <c r="B10" s="1972"/>
      <c r="C10" s="1972"/>
      <c r="D10" s="1972"/>
      <c r="E10" s="1972"/>
      <c r="F10" s="1972"/>
      <c r="G10" s="1972"/>
      <c r="H10" s="1973"/>
      <c r="I10" s="29"/>
      <c r="J10" s="30"/>
      <c r="K10" s="28"/>
      <c r="R10" s="30"/>
      <c r="S10" s="30"/>
      <c r="T10" s="1967"/>
      <c r="U10" s="1952"/>
      <c r="V10" s="1952"/>
      <c r="W10" s="1952"/>
      <c r="X10" s="1952"/>
      <c r="Y10" s="1952"/>
      <c r="Z10" s="1952"/>
      <c r="AA10" s="1958"/>
    </row>
    <row r="11" spans="1:28" ht="14.25" customHeight="1" x14ac:dyDescent="0.2">
      <c r="A11" s="1974" t="s">
        <v>955</v>
      </c>
      <c r="B11" s="1975"/>
      <c r="C11" s="1975"/>
      <c r="D11" s="1975"/>
      <c r="E11" s="1975"/>
      <c r="F11" s="1975"/>
      <c r="G11" s="1975"/>
      <c r="H11" s="1976"/>
      <c r="I11" s="27"/>
      <c r="J11" s="74"/>
      <c r="K11" s="27"/>
      <c r="O11" s="148" t="s">
        <v>2035</v>
      </c>
      <c r="P11" s="100" t="s">
        <v>201</v>
      </c>
      <c r="Q11" s="30"/>
      <c r="R11" s="28"/>
      <c r="S11" s="27"/>
      <c r="T11" s="1968"/>
      <c r="U11" s="1969"/>
      <c r="V11" s="1969"/>
      <c r="W11" s="1969"/>
      <c r="X11" s="1969"/>
      <c r="Y11" s="1969"/>
      <c r="Z11" s="1969"/>
      <c r="AA11" s="197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94">
        <v>17053232002</v>
      </c>
      <c r="B13" s="1995"/>
      <c r="C13" s="1995"/>
      <c r="D13" s="1995"/>
      <c r="E13" s="1995"/>
      <c r="F13" s="1995"/>
      <c r="G13" s="1995"/>
      <c r="H13" s="1996"/>
      <c r="I13" s="31"/>
      <c r="J13" s="30"/>
      <c r="K13" s="28"/>
      <c r="L13" s="30"/>
      <c r="M13" s="30"/>
      <c r="N13" s="30"/>
      <c r="O13" s="30"/>
      <c r="P13" s="30"/>
      <c r="Q13" s="30"/>
      <c r="R13" s="30"/>
      <c r="S13" s="30"/>
      <c r="T13" s="1980" t="s">
        <v>2026</v>
      </c>
      <c r="U13" s="1981"/>
      <c r="V13" s="1981"/>
      <c r="W13" s="1981"/>
      <c r="X13" s="1981"/>
      <c r="Y13" s="1982"/>
      <c r="Z13" s="1982"/>
      <c r="AA13" s="198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77" t="s">
        <v>2034</v>
      </c>
      <c r="B15" s="1978"/>
      <c r="C15" s="1978"/>
      <c r="D15" s="1978"/>
      <c r="E15" s="1978"/>
      <c r="F15" s="1978"/>
      <c r="G15" s="1978"/>
      <c r="H15" s="1979"/>
      <c r="T15" s="1984" t="s">
        <v>2039</v>
      </c>
      <c r="U15" s="1931"/>
      <c r="V15" s="1931"/>
      <c r="W15" s="1931"/>
      <c r="X15" s="1931"/>
      <c r="Y15" s="1985"/>
      <c r="Z15" s="1985"/>
      <c r="AA15" s="198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37" t="s">
        <v>2052</v>
      </c>
      <c r="B17" s="1938"/>
      <c r="C17" s="1938"/>
      <c r="D17" s="1938"/>
      <c r="E17" s="1938"/>
      <c r="F17" s="1938"/>
      <c r="G17" s="1938"/>
      <c r="H17" s="1963"/>
      <c r="T17" s="1991" t="s">
        <v>2027</v>
      </c>
      <c r="U17" s="1992"/>
      <c r="V17" s="1992"/>
      <c r="W17" s="1992"/>
      <c r="X17" s="1992"/>
      <c r="Y17" s="1992"/>
      <c r="Z17" s="1992"/>
      <c r="AA17" s="1993"/>
    </row>
    <row r="18" spans="1:27" ht="13.5" customHeight="1" x14ac:dyDescent="0.2">
      <c r="A18" s="85" t="s">
        <v>530</v>
      </c>
      <c r="B18" s="76"/>
      <c r="C18" s="72"/>
      <c r="D18" s="76"/>
      <c r="E18" s="76"/>
      <c r="F18" s="76"/>
      <c r="G18" s="76"/>
      <c r="H18" s="56"/>
      <c r="I18" s="1962" t="s">
        <v>676</v>
      </c>
      <c r="J18" s="1913"/>
      <c r="K18" s="1913"/>
      <c r="L18" s="1913"/>
      <c r="M18" s="1913"/>
      <c r="N18" s="1913"/>
      <c r="O18" s="1913"/>
      <c r="P18" s="1913"/>
      <c r="Q18" s="1913"/>
      <c r="R18" s="1913"/>
      <c r="S18" s="1914"/>
      <c r="T18" s="85" t="s">
        <v>711</v>
      </c>
      <c r="U18" s="51"/>
      <c r="V18" s="72"/>
      <c r="W18" s="50"/>
      <c r="X18" s="85" t="s">
        <v>266</v>
      </c>
      <c r="Y18" s="81"/>
      <c r="Z18" s="159" t="s">
        <v>677</v>
      </c>
      <c r="AA18" s="46"/>
    </row>
    <row r="19" spans="1:27" ht="13.5" customHeight="1" x14ac:dyDescent="0.2">
      <c r="A19" s="1977" t="s">
        <v>2036</v>
      </c>
      <c r="B19" s="1923"/>
      <c r="C19" s="1923"/>
      <c r="D19" s="1923"/>
      <c r="E19" s="1923"/>
      <c r="F19" s="1923"/>
      <c r="G19" s="1923"/>
      <c r="H19" s="1903"/>
      <c r="I19" s="30"/>
      <c r="J19" s="99"/>
      <c r="K19" s="40"/>
      <c r="L19" s="38"/>
      <c r="M19" s="112" t="s">
        <v>315</v>
      </c>
      <c r="P19" s="27"/>
      <c r="Q19" s="27"/>
      <c r="R19" s="27"/>
      <c r="S19" s="31"/>
      <c r="T19" s="1977" t="s">
        <v>2028</v>
      </c>
      <c r="U19" s="1902"/>
      <c r="V19" s="1902"/>
      <c r="W19" s="1903"/>
      <c r="X19" s="1989" t="s">
        <v>2029</v>
      </c>
      <c r="Y19" s="1990"/>
      <c r="Z19" s="1987">
        <v>61081</v>
      </c>
      <c r="AA19" s="198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01" t="s">
        <v>2037</v>
      </c>
      <c r="B21" s="1902"/>
      <c r="C21" s="1902"/>
      <c r="D21" s="1902"/>
      <c r="E21" s="1902"/>
      <c r="F21" s="1902"/>
      <c r="G21" s="1902"/>
      <c r="H21" s="1903"/>
      <c r="I21" s="1957" t="s">
        <v>678</v>
      </c>
      <c r="J21" s="1952"/>
      <c r="K21" s="1952"/>
      <c r="L21" s="1952"/>
      <c r="M21" s="1952"/>
      <c r="N21" s="1952"/>
      <c r="O21" s="1952"/>
      <c r="P21" s="1952"/>
      <c r="Q21" s="1952"/>
      <c r="R21" s="1952"/>
      <c r="S21" s="1958"/>
      <c r="T21" s="2001" t="s">
        <v>2030</v>
      </c>
      <c r="U21" s="2002"/>
      <c r="V21" s="2002"/>
      <c r="W21" s="2002"/>
      <c r="X21" s="2007" t="s">
        <v>2031</v>
      </c>
      <c r="Y21" s="2008"/>
      <c r="Z21" s="2008"/>
      <c r="AA21" s="2009"/>
    </row>
    <row r="22" spans="1:27" ht="13.5" customHeight="1" x14ac:dyDescent="0.2">
      <c r="A22" s="87" t="s">
        <v>531</v>
      </c>
      <c r="B22" s="59"/>
      <c r="C22" s="59"/>
      <c r="D22" s="59"/>
      <c r="E22" s="59"/>
      <c r="F22" s="59"/>
      <c r="G22" s="59"/>
      <c r="H22" s="60"/>
      <c r="I22" s="1959" t="s">
        <v>1415</v>
      </c>
      <c r="J22" s="1960"/>
      <c r="K22" s="1960"/>
      <c r="L22" s="1960"/>
      <c r="M22" s="1960"/>
      <c r="N22" s="1960"/>
      <c r="O22" s="1960"/>
      <c r="P22" s="1960"/>
      <c r="Q22" s="1960"/>
      <c r="R22" s="1960"/>
      <c r="S22" s="1961"/>
      <c r="T22" s="85" t="s">
        <v>1502</v>
      </c>
      <c r="U22" s="51"/>
      <c r="V22" s="72"/>
      <c r="W22" s="51"/>
      <c r="X22" s="160" t="s">
        <v>1318</v>
      </c>
      <c r="Z22" s="45"/>
      <c r="AA22" s="46"/>
    </row>
    <row r="23" spans="1:27" ht="13.5" customHeight="1" x14ac:dyDescent="0.2">
      <c r="A23" s="1954" t="s">
        <v>2038</v>
      </c>
      <c r="B23" s="1955"/>
      <c r="C23" s="1955"/>
      <c r="D23" s="1955"/>
      <c r="E23" s="1955"/>
      <c r="F23" s="1955"/>
      <c r="G23" s="1955"/>
      <c r="H23" s="1956"/>
      <c r="T23" s="1937" t="s">
        <v>2032</v>
      </c>
      <c r="U23" s="2000"/>
      <c r="V23" s="2000"/>
      <c r="W23" s="2000"/>
      <c r="X23" s="2004">
        <v>44530</v>
      </c>
      <c r="Y23" s="2005"/>
      <c r="Z23" s="2005"/>
      <c r="AA23" s="2006"/>
    </row>
    <row r="24" spans="1:27" ht="14.1" customHeight="1" x14ac:dyDescent="0.2">
      <c r="A24" s="88" t="s">
        <v>677</v>
      </c>
      <c r="B24" s="49"/>
      <c r="C24" s="49"/>
      <c r="D24" s="49"/>
      <c r="E24" s="49"/>
      <c r="F24" s="49"/>
      <c r="G24" s="49"/>
      <c r="H24" s="61"/>
      <c r="J24" s="1924">
        <f>IF(B5="x",IF(AUDITCHECK!D29="AFR form Incomplete.","",IF(AUDITCHECK!D29="Deficit reduction plan is required.","School District must complete a deficit reduction plan in the 2019-2020 Budget",)),"")</f>
        <v>0</v>
      </c>
      <c r="K24" s="1924"/>
      <c r="L24" s="1924"/>
      <c r="M24" s="1924"/>
      <c r="N24" s="1924"/>
      <c r="O24" s="1924"/>
      <c r="P24" s="1924"/>
      <c r="Q24" s="1924"/>
      <c r="R24" s="1924"/>
      <c r="S24" s="1925"/>
      <c r="T24" s="105" t="s">
        <v>531</v>
      </c>
      <c r="U24" s="106"/>
      <c r="V24" s="106"/>
      <c r="W24" s="106"/>
      <c r="X24" s="107"/>
      <c r="Y24" s="107"/>
      <c r="Z24" s="107"/>
      <c r="AA24" s="108"/>
    </row>
    <row r="25" spans="1:27" ht="14.1" customHeight="1" x14ac:dyDescent="0.2">
      <c r="A25" s="1901">
        <v>60420</v>
      </c>
      <c r="B25" s="1902"/>
      <c r="C25" s="1902"/>
      <c r="D25" s="1902"/>
      <c r="E25" s="1902"/>
      <c r="F25" s="1902"/>
      <c r="G25" s="1902"/>
      <c r="H25" s="1903"/>
      <c r="I25" s="113"/>
      <c r="J25" s="1926"/>
      <c r="K25" s="1926"/>
      <c r="L25" s="1926"/>
      <c r="M25" s="1926"/>
      <c r="N25" s="1926"/>
      <c r="O25" s="1926"/>
      <c r="P25" s="1926"/>
      <c r="Q25" s="1926"/>
      <c r="R25" s="1926"/>
      <c r="S25" s="1927"/>
      <c r="T25" s="1997" t="s">
        <v>2033</v>
      </c>
      <c r="U25" s="1998"/>
      <c r="V25" s="1998"/>
      <c r="W25" s="1998"/>
      <c r="X25" s="1998"/>
      <c r="Y25" s="1998"/>
      <c r="Z25" s="1998"/>
      <c r="AA25" s="199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12" t="s">
        <v>1497</v>
      </c>
      <c r="J27" s="1913"/>
      <c r="K27" s="1913"/>
      <c r="L27" s="1913"/>
      <c r="M27" s="1913"/>
      <c r="N27" s="1913"/>
      <c r="O27" s="1913"/>
      <c r="P27" s="1913"/>
      <c r="Q27" s="1913"/>
      <c r="R27" s="1913"/>
      <c r="S27" s="191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t="s">
        <v>2035</v>
      </c>
      <c r="C29" s="124" t="s">
        <v>820</v>
      </c>
      <c r="D29" s="114"/>
      <c r="E29" s="136"/>
      <c r="F29" s="141" t="s">
        <v>1316</v>
      </c>
      <c r="G29" s="114"/>
      <c r="I29" s="54"/>
      <c r="J29" s="102"/>
      <c r="K29" s="28" t="s">
        <v>576</v>
      </c>
      <c r="L29" s="1897" t="s">
        <v>2035</v>
      </c>
      <c r="M29" s="40" t="s">
        <v>99</v>
      </c>
      <c r="N29" s="32" t="s">
        <v>1509</v>
      </c>
      <c r="O29" s="32"/>
      <c r="P29" s="32"/>
      <c r="Q29" s="32"/>
      <c r="R29" s="32"/>
      <c r="S29" s="123"/>
      <c r="T29" s="6"/>
      <c r="U29" s="6"/>
      <c r="V29" s="6"/>
      <c r="W29" s="6"/>
      <c r="X29" s="6"/>
      <c r="Y29" s="6"/>
      <c r="Z29" s="6"/>
      <c r="AA29" s="132"/>
    </row>
    <row r="30" spans="1:27" ht="13.5" customHeight="1" x14ac:dyDescent="0.2">
      <c r="A30" s="153"/>
      <c r="B30" s="136" t="s">
        <v>2035</v>
      </c>
      <c r="C30" s="124" t="s">
        <v>1164</v>
      </c>
      <c r="D30" s="28"/>
      <c r="E30" s="28"/>
      <c r="F30" s="140"/>
      <c r="G30" s="114"/>
      <c r="H30" s="114"/>
      <c r="I30" s="54"/>
      <c r="J30" s="102"/>
      <c r="K30" s="28" t="s">
        <v>576</v>
      </c>
      <c r="L30" s="1897" t="s">
        <v>2035</v>
      </c>
      <c r="M30" s="40" t="s">
        <v>99</v>
      </c>
      <c r="N30" s="32" t="s">
        <v>1498</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897" t="s">
        <v>2035</v>
      </c>
      <c r="M31" s="40" t="s">
        <v>99</v>
      </c>
      <c r="N31" s="32" t="s">
        <v>1569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23"/>
      <c r="Q35" s="1902"/>
      <c r="R35" s="190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37" t="s">
        <v>2040</v>
      </c>
      <c r="B38" s="1938"/>
      <c r="C38" s="1938"/>
      <c r="D38" s="1938"/>
      <c r="E38" s="1938"/>
      <c r="F38" s="1902"/>
      <c r="G38" s="1902"/>
      <c r="H38" s="1903"/>
      <c r="I38" s="1930"/>
      <c r="J38" s="1931"/>
      <c r="K38" s="1931"/>
      <c r="L38" s="1931"/>
      <c r="M38" s="1931"/>
      <c r="N38" s="1931"/>
      <c r="O38" s="1931"/>
      <c r="P38" s="1932"/>
      <c r="Q38" s="1932"/>
      <c r="R38" s="1932"/>
      <c r="S38" s="1933"/>
      <c r="T38" s="1984"/>
      <c r="U38" s="1931"/>
      <c r="V38" s="1931"/>
      <c r="W38" s="1931"/>
      <c r="X38" s="1932"/>
      <c r="Y38" s="1932"/>
      <c r="Z38" s="1932"/>
      <c r="AA38" s="1933"/>
    </row>
    <row r="39" spans="1:27" ht="12" customHeight="1" x14ac:dyDescent="0.2">
      <c r="A39" s="1907" t="s">
        <v>531</v>
      </c>
      <c r="B39" s="1908"/>
      <c r="C39" s="72"/>
      <c r="D39" s="69"/>
      <c r="E39" s="69"/>
      <c r="F39" s="79"/>
      <c r="G39" s="69"/>
      <c r="H39" s="56"/>
      <c r="I39" s="1907" t="s">
        <v>531</v>
      </c>
      <c r="J39" s="1908"/>
      <c r="K39" s="1908"/>
      <c r="L39" s="1908"/>
      <c r="M39" s="1908"/>
      <c r="N39" s="67"/>
      <c r="O39" s="72"/>
      <c r="P39" s="72"/>
      <c r="Q39" s="78"/>
      <c r="R39" s="72"/>
      <c r="S39" s="56"/>
      <c r="T39" s="72" t="s">
        <v>531</v>
      </c>
      <c r="U39" s="51"/>
      <c r="V39" s="72"/>
      <c r="W39" s="50"/>
      <c r="X39" s="78"/>
      <c r="Y39" s="45"/>
      <c r="Z39" s="45"/>
      <c r="AA39" s="46"/>
    </row>
    <row r="40" spans="1:27" ht="13.5" customHeight="1" x14ac:dyDescent="0.2">
      <c r="A40" s="1915" t="s">
        <v>2041</v>
      </c>
      <c r="B40" s="1916"/>
      <c r="C40" s="1917"/>
      <c r="D40" s="1917"/>
      <c r="E40" s="1917"/>
      <c r="F40" s="1918"/>
      <c r="G40" s="1918"/>
      <c r="H40" s="1919"/>
      <c r="I40" s="1940"/>
      <c r="J40" s="1941"/>
      <c r="K40" s="1941"/>
      <c r="L40" s="1941"/>
      <c r="M40" s="1941"/>
      <c r="N40" s="1941"/>
      <c r="O40" s="1941"/>
      <c r="P40" s="1941"/>
      <c r="Q40" s="1941"/>
      <c r="R40" s="1941"/>
      <c r="S40" s="1942"/>
      <c r="T40" s="1940"/>
      <c r="U40" s="2003"/>
      <c r="V40" s="1941"/>
      <c r="W40" s="1941"/>
      <c r="X40" s="1941"/>
      <c r="Y40" s="1941"/>
      <c r="Z40" s="1941"/>
      <c r="AA40" s="194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29" t="s">
        <v>2042</v>
      </c>
      <c r="B42" s="1921"/>
      <c r="C42" s="1922"/>
      <c r="D42" s="1920"/>
      <c r="E42" s="1921"/>
      <c r="F42" s="1921"/>
      <c r="G42" s="1921"/>
      <c r="H42" s="1922"/>
      <c r="I42" s="1904"/>
      <c r="J42" s="1905"/>
      <c r="K42" s="1905"/>
      <c r="L42" s="1905"/>
      <c r="M42" s="1905"/>
      <c r="N42" s="1905"/>
      <c r="O42" s="1906"/>
      <c r="P42" s="1939"/>
      <c r="Q42" s="1905"/>
      <c r="R42" s="1905"/>
      <c r="S42" s="1906"/>
      <c r="T42" s="1904"/>
      <c r="U42" s="1905"/>
      <c r="V42" s="1905"/>
      <c r="W42" s="1906"/>
      <c r="X42" s="1939"/>
      <c r="Y42" s="1905"/>
      <c r="Z42" s="1905"/>
      <c r="AA42" s="190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34"/>
      <c r="B44" s="1935"/>
      <c r="C44" s="1935"/>
      <c r="D44" s="1935"/>
      <c r="E44" s="1935"/>
      <c r="F44" s="1935"/>
      <c r="G44" s="1935"/>
      <c r="H44" s="1936"/>
      <c r="I44" s="1909"/>
      <c r="J44" s="1910"/>
      <c r="K44" s="1910"/>
      <c r="L44" s="1910"/>
      <c r="M44" s="1910"/>
      <c r="N44" s="1910"/>
      <c r="O44" s="1910"/>
      <c r="P44" s="1910"/>
      <c r="Q44" s="1910"/>
      <c r="R44" s="1910"/>
      <c r="S44" s="1911"/>
      <c r="T44" s="1909"/>
      <c r="U44" s="1928"/>
      <c r="V44" s="1928"/>
      <c r="W44" s="1928"/>
      <c r="X44" s="1928"/>
      <c r="Y44" s="1928"/>
      <c r="Z44" s="1910"/>
      <c r="AA44" s="1911"/>
    </row>
    <row r="45" spans="1:27" ht="13.5" customHeight="1" x14ac:dyDescent="0.2">
      <c r="A45" s="41" t="s">
        <v>186</v>
      </c>
      <c r="Q45" s="41" t="s">
        <v>1405</v>
      </c>
      <c r="R45" s="41"/>
      <c r="S45" s="41"/>
      <c r="T45" s="147"/>
      <c r="U45" s="41"/>
      <c r="V45" s="41"/>
      <c r="W45" s="41"/>
      <c r="X45" s="41"/>
      <c r="Y45" s="41"/>
      <c r="Z45" s="41"/>
      <c r="AA45" s="41"/>
    </row>
    <row r="46" spans="1:27" ht="10.5" customHeight="1" x14ac:dyDescent="0.2">
      <c r="A46" s="42" t="s">
        <v>1907</v>
      </c>
      <c r="D46" s="41"/>
      <c r="E46" s="41"/>
      <c r="F46" s="41"/>
      <c r="G46" s="41"/>
      <c r="Q46" s="29" t="s">
        <v>1406</v>
      </c>
      <c r="R46" s="41"/>
      <c r="S46" s="41"/>
      <c r="T46" s="41"/>
      <c r="U46" s="41"/>
      <c r="V46" s="41"/>
      <c r="W46" s="41"/>
      <c r="X46" s="41"/>
      <c r="Y46" s="41"/>
      <c r="Z46" s="41"/>
      <c r="AA46" s="41"/>
    </row>
    <row r="47" spans="1:27" x14ac:dyDescent="0.2">
      <c r="A47" s="137"/>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5:H15"/>
    <mergeCell ref="T19:W19"/>
    <mergeCell ref="T13:AA13"/>
    <mergeCell ref="T15:AA15"/>
    <mergeCell ref="Z19:AA19"/>
    <mergeCell ref="X19:Y19"/>
    <mergeCell ref="T17:AA17"/>
    <mergeCell ref="A13:H13"/>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zoomScale="110" zoomScaleNormal="110" workbookViewId="0">
      <selection activeCell="X29" sqref="X2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1824</v>
      </c>
      <c r="C4" s="162" t="s">
        <v>1169</v>
      </c>
      <c r="D4" s="169" t="s">
        <v>10</v>
      </c>
      <c r="E4" s="170" t="s">
        <v>22</v>
      </c>
    </row>
    <row r="5" spans="1:5" x14ac:dyDescent="0.2">
      <c r="A5" s="168" t="s">
        <v>1826</v>
      </c>
      <c r="C5" s="162" t="s">
        <v>1169</v>
      </c>
      <c r="D5" s="169" t="s">
        <v>10</v>
      </c>
      <c r="E5" s="170" t="s">
        <v>22</v>
      </c>
    </row>
    <row r="6" spans="1:5" x14ac:dyDescent="0.2">
      <c r="A6" s="168" t="s">
        <v>1825</v>
      </c>
      <c r="C6" s="162" t="s">
        <v>1169</v>
      </c>
      <c r="D6" s="167" t="s">
        <v>11</v>
      </c>
      <c r="E6" s="170" t="s">
        <v>941</v>
      </c>
    </row>
    <row r="7" spans="1:5" x14ac:dyDescent="0.2">
      <c r="A7" s="168" t="s">
        <v>1827</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1828</v>
      </c>
      <c r="C11" s="162" t="s">
        <v>1169</v>
      </c>
      <c r="D11" s="169" t="s">
        <v>14</v>
      </c>
      <c r="E11" s="170" t="s">
        <v>1156</v>
      </c>
    </row>
    <row r="12" spans="1:5" x14ac:dyDescent="0.2">
      <c r="B12" s="169" t="s">
        <v>1829</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1830</v>
      </c>
      <c r="C15" s="162" t="s">
        <v>1169</v>
      </c>
      <c r="D15" s="169" t="s">
        <v>17</v>
      </c>
      <c r="E15" s="170" t="s">
        <v>636</v>
      </c>
    </row>
    <row r="16" spans="1:5" x14ac:dyDescent="0.2">
      <c r="A16" s="172"/>
      <c r="B16" s="162" t="s">
        <v>1831</v>
      </c>
      <c r="C16" s="162" t="s">
        <v>1169</v>
      </c>
      <c r="D16" s="169" t="s">
        <v>681</v>
      </c>
      <c r="E16" s="170" t="s">
        <v>1040</v>
      </c>
    </row>
    <row r="17" spans="1:5" x14ac:dyDescent="0.2">
      <c r="B17" s="167" t="s">
        <v>988</v>
      </c>
      <c r="C17" s="162" t="s">
        <v>1169</v>
      </c>
    </row>
    <row r="18" spans="1:5" x14ac:dyDescent="0.2">
      <c r="B18" s="167" t="s">
        <v>1837</v>
      </c>
      <c r="D18" s="169" t="s">
        <v>18</v>
      </c>
      <c r="E18" s="170" t="s">
        <v>1041</v>
      </c>
    </row>
    <row r="19" spans="1:5" x14ac:dyDescent="0.2">
      <c r="A19" s="168" t="s">
        <v>1099</v>
      </c>
      <c r="C19" s="162" t="s">
        <v>1169</v>
      </c>
      <c r="D19" s="169"/>
      <c r="E19" s="171"/>
    </row>
    <row r="20" spans="1:5" x14ac:dyDescent="0.2">
      <c r="B20" s="167" t="s">
        <v>1832</v>
      </c>
      <c r="C20" s="162" t="s">
        <v>1169</v>
      </c>
      <c r="D20" s="169" t="s">
        <v>19</v>
      </c>
      <c r="E20" s="170" t="s">
        <v>51</v>
      </c>
    </row>
    <row r="21" spans="1:5" x14ac:dyDescent="0.2">
      <c r="B21" s="167" t="s">
        <v>1833</v>
      </c>
      <c r="C21" s="162" t="s">
        <v>1169</v>
      </c>
      <c r="D21" s="169" t="s">
        <v>20</v>
      </c>
      <c r="E21" s="170" t="s">
        <v>1579</v>
      </c>
    </row>
    <row r="22" spans="1:5" x14ac:dyDescent="0.2">
      <c r="A22" s="168"/>
      <c r="B22" s="162" t="s">
        <v>1821</v>
      </c>
      <c r="C22" s="162" t="s">
        <v>1169</v>
      </c>
      <c r="D22" s="167" t="s">
        <v>1823</v>
      </c>
      <c r="E22" s="1836" t="s">
        <v>1580</v>
      </c>
    </row>
    <row r="23" spans="1:5" x14ac:dyDescent="0.2">
      <c r="A23" s="168"/>
      <c r="B23" s="162" t="s">
        <v>1822</v>
      </c>
      <c r="D23" s="167" t="s">
        <v>637</v>
      </c>
      <c r="E23" s="1836" t="s">
        <v>959</v>
      </c>
    </row>
    <row r="24" spans="1:5" x14ac:dyDescent="0.2">
      <c r="A24" s="168" t="s">
        <v>1578</v>
      </c>
      <c r="C24" s="162" t="s">
        <v>1169</v>
      </c>
      <c r="D24" s="167" t="s">
        <v>1379</v>
      </c>
      <c r="E24" s="170" t="s">
        <v>960</v>
      </c>
    </row>
    <row r="25" spans="1:5" x14ac:dyDescent="0.2">
      <c r="A25" s="168" t="s">
        <v>1834</v>
      </c>
      <c r="C25" s="162" t="s">
        <v>1169</v>
      </c>
      <c r="D25" s="169" t="s">
        <v>21</v>
      </c>
      <c r="E25" s="170" t="s">
        <v>1042</v>
      </c>
    </row>
    <row r="26" spans="1:5" x14ac:dyDescent="0.2">
      <c r="A26" s="168" t="s">
        <v>1835</v>
      </c>
      <c r="C26" s="162" t="s">
        <v>1169</v>
      </c>
      <c r="D26" s="169" t="s">
        <v>563</v>
      </c>
      <c r="E26" s="170" t="s">
        <v>1043</v>
      </c>
    </row>
    <row r="27" spans="1:5" x14ac:dyDescent="0.2">
      <c r="A27" s="168" t="s">
        <v>1836</v>
      </c>
      <c r="C27" s="162" t="s">
        <v>1169</v>
      </c>
      <c r="D27" s="169" t="s">
        <v>557</v>
      </c>
      <c r="E27" s="170" t="s">
        <v>683</v>
      </c>
    </row>
    <row r="28" spans="1:5" x14ac:dyDescent="0.2">
      <c r="A28" s="168" t="s">
        <v>1838</v>
      </c>
      <c r="D28" s="169" t="s">
        <v>684</v>
      </c>
      <c r="E28" s="170" t="s">
        <v>1366</v>
      </c>
    </row>
    <row r="29" spans="1:5" x14ac:dyDescent="0.2">
      <c r="A29" s="168" t="s">
        <v>1839</v>
      </c>
      <c r="D29" s="169" t="s">
        <v>1380</v>
      </c>
      <c r="E29" s="170" t="s">
        <v>1375</v>
      </c>
    </row>
    <row r="30" spans="1:5" x14ac:dyDescent="0.2">
      <c r="A30" s="173" t="s">
        <v>1840</v>
      </c>
      <c r="C30" s="162" t="s">
        <v>1169</v>
      </c>
      <c r="D30" s="169" t="s">
        <v>40</v>
      </c>
      <c r="E30" s="170" t="s">
        <v>982</v>
      </c>
    </row>
    <row r="31" spans="1:5" x14ac:dyDescent="0.2">
      <c r="A31" s="168" t="s">
        <v>1507</v>
      </c>
      <c r="C31" s="162" t="s">
        <v>1169</v>
      </c>
      <c r="D31" s="167"/>
      <c r="E31" s="171"/>
    </row>
    <row r="32" spans="1:5" x14ac:dyDescent="0.2">
      <c r="B32" s="167" t="s">
        <v>1841</v>
      </c>
      <c r="C32" s="162" t="s">
        <v>1169</v>
      </c>
      <c r="D32" s="169" t="s">
        <v>1508</v>
      </c>
      <c r="E32" s="170" t="s">
        <v>1381</v>
      </c>
    </row>
    <row r="33" spans="1:5" x14ac:dyDescent="0.2">
      <c r="A33" s="172"/>
      <c r="D33" s="169"/>
      <c r="E33" s="171"/>
    </row>
    <row r="34" spans="1:5" x14ac:dyDescent="0.2">
      <c r="A34" s="172"/>
      <c r="D34" s="169"/>
      <c r="E34" s="171"/>
    </row>
    <row r="35" spans="1:5" ht="15.75" customHeight="1" thickBot="1" x14ac:dyDescent="0.25">
      <c r="A35" s="2013" t="s">
        <v>1065</v>
      </c>
      <c r="B35" s="2013"/>
      <c r="C35" s="2013"/>
      <c r="D35" s="2013"/>
      <c r="E35" s="201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10" t="s">
        <v>691</v>
      </c>
      <c r="B40" s="2010"/>
      <c r="C40" s="2010"/>
      <c r="D40" s="2010"/>
      <c r="E40" s="2010"/>
    </row>
    <row r="41" spans="1:5" x14ac:dyDescent="0.2">
      <c r="A41" s="2011" t="s">
        <v>1577</v>
      </c>
      <c r="B41" s="2011"/>
      <c r="C41" s="2011"/>
      <c r="D41" s="2011"/>
      <c r="E41" s="2011"/>
    </row>
    <row r="42" spans="1:5" ht="13.15" customHeight="1" x14ac:dyDescent="0.2">
      <c r="A42" s="2012" t="s">
        <v>1022</v>
      </c>
      <c r="B42" s="2012"/>
      <c r="C42" s="2012"/>
      <c r="D42" s="2012"/>
      <c r="E42" s="2012"/>
    </row>
    <row r="43" spans="1:5" ht="6.75" customHeight="1" x14ac:dyDescent="0.2">
      <c r="A43" s="167"/>
      <c r="B43" s="176"/>
    </row>
    <row r="44" spans="1:5" x14ac:dyDescent="0.2">
      <c r="A44" s="185" t="s">
        <v>983</v>
      </c>
      <c r="B44" s="186" t="s">
        <v>1867</v>
      </c>
    </row>
    <row r="45" spans="1:5" ht="6.75" customHeight="1" x14ac:dyDescent="0.2">
      <c r="A45" s="187"/>
      <c r="B45" s="186"/>
    </row>
    <row r="46" spans="1:5" x14ac:dyDescent="0.2">
      <c r="A46" s="185" t="s">
        <v>984</v>
      </c>
      <c r="B46" s="169" t="s">
        <v>1582</v>
      </c>
    </row>
    <row r="47" spans="1:5" ht="9.75" customHeight="1" x14ac:dyDescent="0.2">
      <c r="A47" s="189"/>
      <c r="B47" s="188"/>
    </row>
    <row r="48" spans="1:5" x14ac:dyDescent="0.2">
      <c r="A48" s="169" t="s">
        <v>1581</v>
      </c>
      <c r="B48" s="169" t="s">
        <v>1586</v>
      </c>
      <c r="C48" s="177"/>
    </row>
    <row r="49" spans="1:3" ht="9.75" customHeight="1" x14ac:dyDescent="0.2">
      <c r="A49" s="188"/>
      <c r="B49" s="188"/>
      <c r="C49" s="177"/>
    </row>
    <row r="50" spans="1:3" x14ac:dyDescent="0.2">
      <c r="A50" s="200" t="s">
        <v>1583</v>
      </c>
      <c r="B50" s="198" t="s">
        <v>1587</v>
      </c>
    </row>
    <row r="51" spans="1:3" x14ac:dyDescent="0.2">
      <c r="B51" s="169" t="s">
        <v>1736</v>
      </c>
    </row>
    <row r="52" spans="1:3" x14ac:dyDescent="0.2">
      <c r="A52" s="190"/>
      <c r="B52" s="188" t="s">
        <v>1756</v>
      </c>
    </row>
    <row r="53" spans="1:3" ht="4.5" customHeight="1" x14ac:dyDescent="0.2">
      <c r="A53" s="190"/>
      <c r="B53" s="190"/>
    </row>
    <row r="54" spans="1:3" x14ac:dyDescent="0.2">
      <c r="A54" s="190"/>
      <c r="B54" s="201" t="s">
        <v>1584</v>
      </c>
    </row>
    <row r="55" spans="1:3" ht="8.25" customHeight="1" x14ac:dyDescent="0.2">
      <c r="A55" s="190"/>
      <c r="B55" s="191"/>
    </row>
    <row r="56" spans="1:3" x14ac:dyDescent="0.2">
      <c r="A56" s="192"/>
      <c r="B56" s="169" t="s">
        <v>1737</v>
      </c>
    </row>
    <row r="57" spans="1:3" x14ac:dyDescent="0.2">
      <c r="A57" s="193"/>
      <c r="B57" s="190" t="s">
        <v>1739</v>
      </c>
    </row>
    <row r="58" spans="1:3" x14ac:dyDescent="0.2">
      <c r="A58" s="194"/>
      <c r="B58" s="190" t="s">
        <v>1740</v>
      </c>
    </row>
    <row r="59" spans="1:3" x14ac:dyDescent="0.2">
      <c r="A59" s="195"/>
      <c r="B59" s="1485" t="s">
        <v>1741</v>
      </c>
    </row>
    <row r="60" spans="1:3" x14ac:dyDescent="0.2">
      <c r="A60" s="196"/>
      <c r="B60" s="1485" t="s">
        <v>1742</v>
      </c>
    </row>
    <row r="61" spans="1:3" ht="6" customHeight="1" x14ac:dyDescent="0.2">
      <c r="A61" s="197"/>
      <c r="B61" s="189"/>
    </row>
    <row r="62" spans="1:3" x14ac:dyDescent="0.2">
      <c r="A62" s="169" t="s">
        <v>1585</v>
      </c>
      <c r="B62" s="198" t="s">
        <v>1738</v>
      </c>
    </row>
    <row r="63" spans="1:3" x14ac:dyDescent="0.2">
      <c r="A63" s="188"/>
      <c r="B63" s="169" t="s">
        <v>1753</v>
      </c>
    </row>
    <row r="64" spans="1:3" x14ac:dyDescent="0.2">
      <c r="A64" s="195"/>
      <c r="B64" s="1487" t="s">
        <v>1743</v>
      </c>
    </row>
    <row r="65" spans="1:9" x14ac:dyDescent="0.2">
      <c r="A65" s="188"/>
      <c r="B65" s="169" t="s">
        <v>1754</v>
      </c>
    </row>
    <row r="66" spans="1:9" x14ac:dyDescent="0.2">
      <c r="A66" s="190"/>
      <c r="B66" s="190" t="s">
        <v>1744</v>
      </c>
    </row>
    <row r="67" spans="1:9" ht="12" customHeight="1" x14ac:dyDescent="0.2">
      <c r="A67" s="188"/>
      <c r="B67" s="169" t="s">
        <v>1755</v>
      </c>
    </row>
    <row r="68" spans="1:9" x14ac:dyDescent="0.2">
      <c r="A68" s="189"/>
      <c r="B68" s="190" t="s">
        <v>1745</v>
      </c>
    </row>
    <row r="69" spans="1:9" x14ac:dyDescent="0.2">
      <c r="A69" s="190"/>
      <c r="B69" s="188" t="s">
        <v>1746</v>
      </c>
    </row>
    <row r="70" spans="1:9" ht="13.5" customHeight="1" x14ac:dyDescent="0.2">
      <c r="A70" s="190"/>
      <c r="B70" s="188" t="s">
        <v>1747</v>
      </c>
    </row>
    <row r="71" spans="1:9" ht="12" customHeight="1" x14ac:dyDescent="0.2">
      <c r="A71" s="192"/>
      <c r="B71" s="1486" t="s">
        <v>1588</v>
      </c>
    </row>
    <row r="72" spans="1:9" ht="9.4" customHeight="1" x14ac:dyDescent="0.2">
      <c r="A72" s="192"/>
      <c r="B72" s="199"/>
    </row>
    <row r="73" spans="1:9" x14ac:dyDescent="0.2">
      <c r="A73" s="189" t="s">
        <v>1589</v>
      </c>
      <c r="B73" s="169" t="s">
        <v>1749</v>
      </c>
    </row>
    <row r="74" spans="1:9" x14ac:dyDescent="0.2">
      <c r="A74" s="189"/>
      <c r="B74" s="169" t="s">
        <v>1748</v>
      </c>
    </row>
    <row r="75" spans="1:9" ht="8.25" customHeight="1" x14ac:dyDescent="0.2">
      <c r="A75" s="189"/>
      <c r="B75" s="189"/>
    </row>
    <row r="76" spans="1:9" ht="12.2" customHeight="1" x14ac:dyDescent="0.2">
      <c r="A76" s="189" t="s">
        <v>1590</v>
      </c>
      <c r="B76" s="198" t="s">
        <v>1750</v>
      </c>
    </row>
    <row r="77" spans="1:9" ht="12.2" customHeight="1" x14ac:dyDescent="0.2">
      <c r="A77" s="190"/>
      <c r="B77" s="169" t="s">
        <v>1591</v>
      </c>
      <c r="C77" s="179"/>
      <c r="D77" s="180"/>
      <c r="E77" s="181"/>
      <c r="F77" s="181"/>
      <c r="G77" s="181"/>
      <c r="H77" s="181"/>
      <c r="I77" s="181"/>
    </row>
    <row r="78" spans="1:9" ht="11.25" customHeight="1" x14ac:dyDescent="0.2">
      <c r="A78" s="190"/>
      <c r="B78" s="190" t="s">
        <v>1752</v>
      </c>
      <c r="C78" s="179"/>
      <c r="D78" s="182"/>
      <c r="E78" s="182"/>
      <c r="F78" s="182"/>
      <c r="G78" s="182"/>
      <c r="H78" s="182"/>
      <c r="I78" s="181"/>
    </row>
    <row r="79" spans="1:9" ht="12.2" customHeight="1" x14ac:dyDescent="0.2">
      <c r="A79" s="190"/>
      <c r="B79" s="169" t="s">
        <v>1592</v>
      </c>
      <c r="C79" s="179"/>
      <c r="D79" s="182"/>
      <c r="E79" s="182"/>
      <c r="F79" s="182"/>
      <c r="G79" s="182"/>
      <c r="H79" s="182"/>
      <c r="I79" s="181"/>
    </row>
    <row r="80" spans="1:9" ht="11.25" customHeight="1" x14ac:dyDescent="0.2">
      <c r="A80" s="189"/>
      <c r="B80" s="190" t="s">
        <v>1751</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91" colorId="8" zoomScale="110" zoomScaleNormal="110" workbookViewId="0">
      <selection activeCell="B57" sqref="B57:J6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14" t="s">
        <v>1168</v>
      </c>
      <c r="B2" s="2014"/>
      <c r="C2" s="2014"/>
      <c r="D2" s="2014"/>
      <c r="E2" s="2014"/>
      <c r="F2" s="2014"/>
      <c r="G2" s="2014"/>
      <c r="H2" s="2014"/>
      <c r="I2" s="2014"/>
      <c r="J2" s="2014"/>
    </row>
    <row r="3" spans="1:11" s="181" customFormat="1" ht="17.25" customHeight="1" x14ac:dyDescent="0.2">
      <c r="A3" s="207"/>
      <c r="B3" s="207"/>
      <c r="C3" s="208"/>
      <c r="D3" s="209"/>
      <c r="E3" s="210"/>
    </row>
    <row r="4" spans="1:11" x14ac:dyDescent="0.2">
      <c r="A4" s="344" t="s">
        <v>1606</v>
      </c>
      <c r="B4" s="344"/>
      <c r="C4" s="344"/>
      <c r="D4" s="344"/>
      <c r="E4" s="344"/>
      <c r="F4" s="344"/>
      <c r="G4" s="344"/>
      <c r="H4" s="344"/>
      <c r="I4" s="344"/>
      <c r="J4" s="344"/>
      <c r="K4" s="344"/>
    </row>
    <row r="5" spans="1:11" x14ac:dyDescent="0.2">
      <c r="A5" s="237" t="s">
        <v>1607</v>
      </c>
      <c r="B5" s="344"/>
      <c r="C5" s="344"/>
      <c r="D5" s="344"/>
      <c r="E5" s="344"/>
      <c r="F5" s="344"/>
      <c r="G5" s="344"/>
      <c r="H5" s="344"/>
      <c r="I5" s="344"/>
      <c r="J5" s="344"/>
      <c r="K5" s="344"/>
    </row>
    <row r="6" spans="1:11" ht="16.7"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1527</v>
      </c>
    </row>
    <row r="10" spans="1:11" s="181" customFormat="1" x14ac:dyDescent="0.2">
      <c r="A10" s="222"/>
      <c r="B10" s="223"/>
      <c r="C10" s="224"/>
      <c r="D10" s="225" t="s">
        <v>1593</v>
      </c>
    </row>
    <row r="11" spans="1:11" s="181" customFormat="1" x14ac:dyDescent="0.2">
      <c r="A11" s="219"/>
      <c r="B11" s="226"/>
      <c r="C11" s="227">
        <v>2</v>
      </c>
      <c r="D11" s="228" t="s">
        <v>1594</v>
      </c>
    </row>
    <row r="12" spans="1:11" s="181" customFormat="1" hidden="1" x14ac:dyDescent="0.2">
      <c r="A12" s="219"/>
      <c r="B12" s="229"/>
      <c r="C12" s="227"/>
      <c r="D12" s="230"/>
    </row>
    <row r="13" spans="1:11" s="181" customFormat="1" x14ac:dyDescent="0.2">
      <c r="A13" s="219"/>
      <c r="B13" s="226"/>
      <c r="C13" s="227">
        <v>3</v>
      </c>
      <c r="D13" s="228" t="s">
        <v>1595</v>
      </c>
    </row>
    <row r="14" spans="1:11" s="181" customFormat="1" x14ac:dyDescent="0.2">
      <c r="A14" s="219"/>
      <c r="B14" s="226"/>
      <c r="C14" s="227">
        <v>4</v>
      </c>
      <c r="D14" s="228" t="s">
        <v>1596</v>
      </c>
    </row>
    <row r="15" spans="1:11" s="181" customFormat="1" x14ac:dyDescent="0.2">
      <c r="A15" s="219"/>
      <c r="B15" s="226"/>
      <c r="C15" s="227">
        <v>5</v>
      </c>
      <c r="D15" s="231" t="s">
        <v>969</v>
      </c>
    </row>
    <row r="16" spans="1:11" s="181" customFormat="1" x14ac:dyDescent="0.2">
      <c r="A16" s="219"/>
      <c r="B16" s="226"/>
      <c r="C16" s="227">
        <v>6</v>
      </c>
      <c r="D16" s="231" t="s">
        <v>1445</v>
      </c>
    </row>
    <row r="17" spans="1:4" s="181" customFormat="1" ht="6" hidden="1" customHeight="1" x14ac:dyDescent="0.2">
      <c r="A17" s="219"/>
      <c r="B17" s="229"/>
      <c r="C17" s="227"/>
      <c r="D17" s="232"/>
    </row>
    <row r="18" spans="1:4" s="181" customFormat="1" ht="12" customHeight="1" x14ac:dyDescent="0.2">
      <c r="A18" s="219"/>
      <c r="B18" s="226"/>
      <c r="C18" s="227">
        <v>7</v>
      </c>
      <c r="D18" s="231" t="s">
        <v>1444</v>
      </c>
    </row>
    <row r="19" spans="1:4" s="181" customFormat="1" hidden="1" x14ac:dyDescent="0.2">
      <c r="A19" s="219"/>
      <c r="B19" s="229"/>
      <c r="C19" s="227"/>
      <c r="D19" s="232"/>
    </row>
    <row r="20" spans="1:4" s="181" customFormat="1" x14ac:dyDescent="0.2">
      <c r="A20" s="219"/>
      <c r="B20" s="226"/>
      <c r="C20" s="227">
        <v>8</v>
      </c>
      <c r="D20" s="231" t="s">
        <v>1597</v>
      </c>
    </row>
    <row r="21" spans="1:4" s="181" customFormat="1" x14ac:dyDescent="0.2">
      <c r="A21" s="219"/>
      <c r="B21" s="229"/>
      <c r="C21" s="227"/>
      <c r="D21" s="233" t="s">
        <v>1524</v>
      </c>
    </row>
    <row r="22" spans="1:4" s="181" customFormat="1" x14ac:dyDescent="0.2">
      <c r="A22" s="219"/>
      <c r="B22" s="226"/>
      <c r="C22" s="227">
        <v>9</v>
      </c>
      <c r="D22" s="231" t="s">
        <v>1598</v>
      </c>
    </row>
    <row r="23" spans="1:4" s="181" customFormat="1" x14ac:dyDescent="0.2">
      <c r="A23" s="219"/>
      <c r="B23" s="234"/>
      <c r="C23" s="227"/>
      <c r="D23" s="235" t="s">
        <v>1525</v>
      </c>
    </row>
    <row r="24" spans="1:4" s="181" customFormat="1" x14ac:dyDescent="0.2">
      <c r="A24" s="219"/>
      <c r="B24" s="226"/>
      <c r="C24" s="227">
        <v>10</v>
      </c>
      <c r="D24" s="231" t="s">
        <v>1599</v>
      </c>
    </row>
    <row r="25" spans="1:4" s="181" customFormat="1" x14ac:dyDescent="0.2">
      <c r="A25" s="219"/>
      <c r="B25" s="226"/>
      <c r="C25" s="227">
        <v>11</v>
      </c>
      <c r="D25" s="231" t="s">
        <v>1600</v>
      </c>
    </row>
    <row r="26" spans="1:4" s="181" customFormat="1" x14ac:dyDescent="0.2">
      <c r="A26" s="219"/>
      <c r="B26" s="234"/>
      <c r="C26" s="227"/>
      <c r="D26" s="235" t="s">
        <v>1526</v>
      </c>
    </row>
    <row r="27" spans="1:4" s="181" customFormat="1" x14ac:dyDescent="0.2">
      <c r="A27" s="219"/>
      <c r="B27" s="226"/>
      <c r="C27" s="227">
        <v>12</v>
      </c>
      <c r="D27" s="231" t="s">
        <v>1528</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1601</v>
      </c>
    </row>
    <row r="31" spans="1:4" s="181" customFormat="1" x14ac:dyDescent="0.2">
      <c r="A31" s="219"/>
      <c r="B31" s="226"/>
      <c r="C31" s="227">
        <v>14</v>
      </c>
      <c r="D31" s="231" t="s">
        <v>1909</v>
      </c>
    </row>
    <row r="32" spans="1:4" s="181" customFormat="1" x14ac:dyDescent="0.2">
      <c r="A32" s="219"/>
      <c r="B32" s="236"/>
      <c r="C32" s="227"/>
      <c r="D32" s="237" t="s">
        <v>1758</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28" t="s">
        <v>1602</v>
      </c>
      <c r="B35" s="2029"/>
      <c r="C35" s="2029"/>
      <c r="D35" s="2029"/>
      <c r="E35" s="2030"/>
      <c r="F35" s="2030"/>
      <c r="G35" s="2030"/>
      <c r="H35" s="2030"/>
      <c r="I35" s="203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1603</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1604</v>
      </c>
    </row>
    <row r="43" spans="1:9" s="181" customFormat="1" x14ac:dyDescent="0.2">
      <c r="A43" s="219"/>
      <c r="B43" s="229"/>
      <c r="C43" s="227"/>
      <c r="D43" s="240" t="s">
        <v>1605</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7" customHeight="1" x14ac:dyDescent="0.2">
      <c r="A46" s="219"/>
      <c r="B46" s="229"/>
      <c r="C46" s="227"/>
      <c r="D46" s="239"/>
    </row>
    <row r="47" spans="1:9" s="181" customFormat="1" x14ac:dyDescent="0.2">
      <c r="A47" s="2028" t="s">
        <v>313</v>
      </c>
      <c r="B47" s="2031"/>
      <c r="C47" s="2031"/>
      <c r="D47" s="2031"/>
      <c r="E47" s="2032"/>
      <c r="F47" s="2032"/>
      <c r="G47" s="2032"/>
      <c r="H47" s="2032"/>
      <c r="I47" s="203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1608</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1448</v>
      </c>
      <c r="E53" s="248"/>
      <c r="F53" s="249"/>
      <c r="G53" s="249" t="s">
        <v>1447</v>
      </c>
      <c r="H53" s="250"/>
      <c r="I53" s="237" t="s">
        <v>1469</v>
      </c>
    </row>
    <row r="54" spans="1:10" s="181" customFormat="1" x14ac:dyDescent="0.2">
      <c r="A54" s="219"/>
      <c r="B54" s="220" t="s">
        <v>2035</v>
      </c>
      <c r="C54" s="179">
        <v>23</v>
      </c>
      <c r="D54" s="243" t="s">
        <v>1362</v>
      </c>
      <c r="E54" s="248"/>
      <c r="F54" s="249"/>
    </row>
    <row r="55" spans="1:10" s="181" customFormat="1" x14ac:dyDescent="0.2">
      <c r="A55" s="214"/>
      <c r="B55" s="251"/>
      <c r="C55" s="251"/>
      <c r="D55" s="231" t="s">
        <v>1757</v>
      </c>
      <c r="E55" s="252"/>
      <c r="F55" s="252"/>
      <c r="G55" s="252"/>
      <c r="H55" s="252"/>
      <c r="I55" s="252"/>
    </row>
    <row r="56" spans="1:10" s="181" customFormat="1" x14ac:dyDescent="0.2">
      <c r="A56" s="214"/>
      <c r="B56" s="251"/>
      <c r="E56" s="252"/>
      <c r="F56" s="252"/>
      <c r="G56" s="252"/>
      <c r="H56" s="252"/>
      <c r="I56" s="252"/>
    </row>
    <row r="57" spans="1:10" s="181" customFormat="1" ht="13.15" customHeight="1" x14ac:dyDescent="0.2">
      <c r="A57" s="253"/>
      <c r="B57" s="2035" t="s">
        <v>2043</v>
      </c>
      <c r="C57" s="2036"/>
      <c r="D57" s="2036"/>
      <c r="E57" s="2036"/>
      <c r="F57" s="2036"/>
      <c r="G57" s="2036"/>
      <c r="H57" s="2036"/>
      <c r="I57" s="2036"/>
      <c r="J57" s="2037"/>
    </row>
    <row r="58" spans="1:10" s="181" customFormat="1" x14ac:dyDescent="0.2">
      <c r="A58" s="253"/>
      <c r="B58" s="2038"/>
      <c r="C58" s="2039"/>
      <c r="D58" s="2039"/>
      <c r="E58" s="2039"/>
      <c r="F58" s="2039"/>
      <c r="G58" s="2039"/>
      <c r="H58" s="2039"/>
      <c r="I58" s="2039"/>
      <c r="J58" s="2040"/>
    </row>
    <row r="59" spans="1:10" s="181" customFormat="1" x14ac:dyDescent="0.2">
      <c r="A59" s="253"/>
      <c r="B59" s="2038"/>
      <c r="C59" s="2039"/>
      <c r="D59" s="2039"/>
      <c r="E59" s="2039"/>
      <c r="F59" s="2039"/>
      <c r="G59" s="2039"/>
      <c r="H59" s="2039"/>
      <c r="I59" s="2039"/>
      <c r="J59" s="2040"/>
    </row>
    <row r="60" spans="1:10" s="181" customFormat="1" x14ac:dyDescent="0.2">
      <c r="A60" s="253"/>
      <c r="B60" s="2038"/>
      <c r="C60" s="2039"/>
      <c r="D60" s="2039"/>
      <c r="E60" s="2039"/>
      <c r="F60" s="2039"/>
      <c r="G60" s="2039"/>
      <c r="H60" s="2039"/>
      <c r="I60" s="2039"/>
      <c r="J60" s="2040"/>
    </row>
    <row r="61" spans="1:10" s="181" customFormat="1" x14ac:dyDescent="0.2">
      <c r="A61" s="253"/>
      <c r="B61" s="2038"/>
      <c r="C61" s="2039"/>
      <c r="D61" s="2039"/>
      <c r="E61" s="2039"/>
      <c r="F61" s="2039"/>
      <c r="G61" s="2039"/>
      <c r="H61" s="2039"/>
      <c r="I61" s="2039"/>
      <c r="J61" s="2040"/>
    </row>
    <row r="62" spans="1:10" s="181" customFormat="1" x14ac:dyDescent="0.2">
      <c r="A62" s="253"/>
      <c r="B62" s="2038"/>
      <c r="C62" s="2039"/>
      <c r="D62" s="2039"/>
      <c r="E62" s="2039"/>
      <c r="F62" s="2039"/>
      <c r="G62" s="2039"/>
      <c r="H62" s="2039"/>
      <c r="I62" s="2039"/>
      <c r="J62" s="2040"/>
    </row>
    <row r="63" spans="1:10" s="181" customFormat="1" x14ac:dyDescent="0.2">
      <c r="A63" s="253"/>
      <c r="B63" s="2038"/>
      <c r="C63" s="2039"/>
      <c r="D63" s="2039"/>
      <c r="E63" s="2039"/>
      <c r="F63" s="2039"/>
      <c r="G63" s="2039"/>
      <c r="H63" s="2039"/>
      <c r="I63" s="2039"/>
      <c r="J63" s="2040"/>
    </row>
    <row r="64" spans="1:10" s="181" customFormat="1" x14ac:dyDescent="0.2">
      <c r="A64" s="253"/>
      <c r="B64" s="2038"/>
      <c r="C64" s="2039"/>
      <c r="D64" s="2039"/>
      <c r="E64" s="2039"/>
      <c r="F64" s="2039"/>
      <c r="G64" s="2039"/>
      <c r="H64" s="2039"/>
      <c r="I64" s="2039"/>
      <c r="J64" s="2040"/>
    </row>
    <row r="65" spans="1:10" s="181" customFormat="1" x14ac:dyDescent="0.2">
      <c r="A65" s="253"/>
      <c r="B65" s="2038"/>
      <c r="C65" s="2039"/>
      <c r="D65" s="2039"/>
      <c r="E65" s="2039"/>
      <c r="F65" s="2039"/>
      <c r="G65" s="2039"/>
      <c r="H65" s="2039"/>
      <c r="I65" s="2039"/>
      <c r="J65" s="2040"/>
    </row>
    <row r="66" spans="1:10" s="181" customFormat="1" x14ac:dyDescent="0.2">
      <c r="A66" s="253"/>
      <c r="B66" s="2038"/>
      <c r="C66" s="2039"/>
      <c r="D66" s="2039"/>
      <c r="E66" s="2039"/>
      <c r="F66" s="2039"/>
      <c r="G66" s="2039"/>
      <c r="H66" s="2039"/>
      <c r="I66" s="2039"/>
      <c r="J66" s="2040"/>
    </row>
    <row r="67" spans="1:10" s="181" customFormat="1" ht="9.4" customHeight="1" x14ac:dyDescent="0.2">
      <c r="A67" s="254"/>
      <c r="B67" s="2041"/>
      <c r="C67" s="2042"/>
      <c r="D67" s="2042"/>
      <c r="E67" s="2042"/>
      <c r="F67" s="2042"/>
      <c r="G67" s="2042"/>
      <c r="H67" s="2042"/>
      <c r="I67" s="2042"/>
      <c r="J67" s="2043"/>
    </row>
    <row r="68" spans="1:10" s="181" customFormat="1" ht="9.4" customHeight="1" x14ac:dyDescent="0.2">
      <c r="A68" s="219"/>
      <c r="B68" s="255"/>
      <c r="C68" s="256"/>
      <c r="D68" s="256"/>
      <c r="E68" s="256"/>
      <c r="F68" s="256"/>
      <c r="G68" s="256"/>
      <c r="H68" s="256"/>
    </row>
    <row r="69" spans="1:10" s="181" customFormat="1" ht="16.7" customHeight="1" x14ac:dyDescent="0.2">
      <c r="A69" s="219"/>
      <c r="B69" s="255"/>
      <c r="C69" s="256"/>
      <c r="D69" s="256"/>
      <c r="E69" s="256"/>
      <c r="F69" s="256"/>
      <c r="G69" s="256"/>
      <c r="H69" s="256"/>
    </row>
    <row r="70" spans="1:10" s="181" customFormat="1" x14ac:dyDescent="0.2">
      <c r="A70" s="2028" t="s">
        <v>1323</v>
      </c>
      <c r="B70" s="2031"/>
      <c r="C70" s="2031"/>
      <c r="D70" s="2031"/>
      <c r="E70" s="2032"/>
      <c r="F70" s="2032"/>
      <c r="G70" s="2032"/>
      <c r="H70" s="2032"/>
      <c r="I70" s="203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1893</v>
      </c>
      <c r="B73" s="255"/>
      <c r="C73" s="256"/>
      <c r="D73" s="256"/>
      <c r="E73" s="256"/>
      <c r="F73" s="256"/>
      <c r="G73" s="256"/>
      <c r="H73" s="256"/>
    </row>
    <row r="74" spans="1:10" s="181" customFormat="1" x14ac:dyDescent="0.2">
      <c r="A74" s="259" t="s">
        <v>1411</v>
      </c>
      <c r="B74" s="255"/>
      <c r="C74" s="256"/>
      <c r="D74" s="256"/>
      <c r="E74" s="256"/>
      <c r="F74" s="256"/>
      <c r="G74" s="256"/>
      <c r="H74" s="256"/>
    </row>
    <row r="75" spans="1:10" s="181" customFormat="1" x14ac:dyDescent="0.2">
      <c r="A75" s="259" t="s">
        <v>1910</v>
      </c>
      <c r="B75" s="255"/>
      <c r="C75" s="256"/>
      <c r="D75" s="256"/>
      <c r="E75" s="256"/>
      <c r="F75" s="256"/>
      <c r="G75" s="256"/>
      <c r="H75" s="256"/>
    </row>
    <row r="76" spans="1:10" s="181" customFormat="1" ht="18.75" customHeight="1" x14ac:dyDescent="0.2">
      <c r="A76" s="239" t="s">
        <v>1412</v>
      </c>
      <c r="B76" s="255"/>
      <c r="C76" s="256"/>
      <c r="D76" s="256"/>
      <c r="E76" s="256"/>
      <c r="F76" s="256"/>
      <c r="G76" s="256"/>
      <c r="H76" s="256"/>
    </row>
    <row r="77" spans="1:10" s="181" customFormat="1" x14ac:dyDescent="0.2">
      <c r="C77" s="179">
        <v>24</v>
      </c>
      <c r="D77" s="247" t="s">
        <v>1616</v>
      </c>
      <c r="G77" s="297" t="s">
        <v>1870</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1614</v>
      </c>
      <c r="E79" s="248"/>
      <c r="F79" s="249"/>
    </row>
    <row r="80" spans="1:10" s="181" customFormat="1" x14ac:dyDescent="0.2">
      <c r="A80" s="219"/>
      <c r="B80" s="262"/>
      <c r="C80" s="179"/>
      <c r="D80" s="247" t="s">
        <v>1615</v>
      </c>
      <c r="E80" s="248"/>
      <c r="F80" s="249"/>
    </row>
    <row r="81" spans="1:10" s="181" customFormat="1" x14ac:dyDescent="0.2">
      <c r="A81" s="219"/>
      <c r="B81" s="262"/>
    </row>
    <row r="82" spans="1:10" s="181" customFormat="1" ht="13.15" customHeight="1" x14ac:dyDescent="0.2">
      <c r="A82" s="219"/>
      <c r="B82" s="262"/>
      <c r="C82" s="247"/>
    </row>
    <row r="83" spans="1:10" s="181" customFormat="1" ht="13.15" customHeight="1" thickBot="1" x14ac:dyDescent="0.25">
      <c r="A83" s="2033" t="s">
        <v>1320</v>
      </c>
      <c r="B83" s="2033"/>
      <c r="C83" s="2033"/>
      <c r="D83" s="2034"/>
      <c r="E83" s="263" t="s">
        <v>1357</v>
      </c>
      <c r="F83" s="263" t="s">
        <v>1358</v>
      </c>
      <c r="G83" s="263" t="s">
        <v>1359</v>
      </c>
      <c r="H83" s="263" t="s">
        <v>1360</v>
      </c>
      <c r="I83" s="263" t="s">
        <v>1361</v>
      </c>
      <c r="J83" s="264" t="s">
        <v>156</v>
      </c>
    </row>
    <row r="84" spans="1:10" s="181" customFormat="1" ht="13.5" customHeight="1" thickTop="1" x14ac:dyDescent="0.2">
      <c r="A84" s="265" t="s">
        <v>1430</v>
      </c>
      <c r="B84" s="266"/>
      <c r="C84" s="267"/>
      <c r="D84" s="268"/>
      <c r="E84" s="269"/>
      <c r="F84" s="269"/>
      <c r="G84" s="269"/>
      <c r="H84" s="269"/>
      <c r="I84" s="269"/>
      <c r="J84" s="270"/>
    </row>
    <row r="85" spans="1:10" s="181" customFormat="1" ht="13.5" customHeight="1" x14ac:dyDescent="0.2">
      <c r="A85" s="271" t="s">
        <v>1891</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1891</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1609</v>
      </c>
      <c r="C92" s="179"/>
      <c r="E92" s="260"/>
      <c r="F92" s="296"/>
      <c r="H92" s="297"/>
    </row>
    <row r="93" spans="1:10" s="181" customFormat="1" ht="16.7" customHeight="1" x14ac:dyDescent="0.2">
      <c r="A93" s="219"/>
      <c r="B93" s="298" t="s">
        <v>1892</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1610</v>
      </c>
      <c r="C95" s="309"/>
      <c r="D95" s="310"/>
      <c r="E95" s="304"/>
      <c r="F95" s="304"/>
      <c r="G95" s="304"/>
      <c r="H95" s="304"/>
      <c r="I95" s="304"/>
    </row>
    <row r="96" spans="1:10" s="181" customFormat="1" x14ac:dyDescent="0.2">
      <c r="A96" s="307" t="s">
        <v>1169</v>
      </c>
      <c r="B96" s="345" t="s">
        <v>1612</v>
      </c>
      <c r="C96" s="309"/>
      <c r="D96" s="311"/>
      <c r="E96" s="311"/>
      <c r="F96" s="311"/>
      <c r="G96" s="311"/>
      <c r="H96" s="311"/>
      <c r="I96" s="304"/>
    </row>
    <row r="97" spans="1:9" s="181" customFormat="1" x14ac:dyDescent="0.2">
      <c r="A97" s="307"/>
      <c r="B97" s="308" t="s">
        <v>1611</v>
      </c>
      <c r="C97" s="309"/>
      <c r="D97" s="311"/>
      <c r="E97" s="311"/>
      <c r="F97" s="311"/>
      <c r="G97" s="311"/>
      <c r="H97" s="311"/>
      <c r="I97" s="304"/>
    </row>
    <row r="98" spans="1:9" s="181" customFormat="1" x14ac:dyDescent="0.2">
      <c r="A98" s="308"/>
      <c r="B98" s="312" t="s">
        <v>1613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15"/>
      <c r="C102" s="2016"/>
      <c r="D102" s="2016"/>
      <c r="E102" s="2016"/>
      <c r="F102" s="2016"/>
      <c r="G102" s="2016"/>
      <c r="H102" s="2016"/>
      <c r="I102" s="2017"/>
    </row>
    <row r="103" spans="1:9" s="181" customFormat="1" ht="11.25" customHeight="1" x14ac:dyDescent="0.2">
      <c r="A103" s="316"/>
      <c r="B103" s="2018"/>
      <c r="C103" s="2019"/>
      <c r="D103" s="2019"/>
      <c r="E103" s="2019"/>
      <c r="F103" s="2019"/>
      <c r="G103" s="2019"/>
      <c r="H103" s="2019"/>
      <c r="I103" s="2020"/>
    </row>
    <row r="104" spans="1:9" s="181" customFormat="1" ht="11.25" customHeight="1" x14ac:dyDescent="0.2">
      <c r="A104" s="316"/>
      <c r="B104" s="2018"/>
      <c r="C104" s="2019"/>
      <c r="D104" s="2019"/>
      <c r="E104" s="2019"/>
      <c r="F104" s="2019"/>
      <c r="G104" s="2019"/>
      <c r="H104" s="2019"/>
      <c r="I104" s="2020"/>
    </row>
    <row r="105" spans="1:9" s="181" customFormat="1" x14ac:dyDescent="0.2">
      <c r="A105" s="316"/>
      <c r="B105" s="2018"/>
      <c r="C105" s="2019"/>
      <c r="D105" s="2019"/>
      <c r="E105" s="2019"/>
      <c r="F105" s="2019"/>
      <c r="G105" s="2019"/>
      <c r="H105" s="2019"/>
      <c r="I105" s="2020"/>
    </row>
    <row r="106" spans="1:9" s="181" customFormat="1" ht="11.25" customHeight="1" x14ac:dyDescent="0.2">
      <c r="A106" s="316"/>
      <c r="B106" s="2018"/>
      <c r="C106" s="2019"/>
      <c r="D106" s="2019"/>
      <c r="E106" s="2019"/>
      <c r="F106" s="2019"/>
      <c r="G106" s="2019"/>
      <c r="H106" s="2019"/>
      <c r="I106" s="2020"/>
    </row>
    <row r="107" spans="1:9" s="181" customFormat="1" ht="11.25" customHeight="1" x14ac:dyDescent="0.2">
      <c r="A107" s="316"/>
      <c r="B107" s="2018"/>
      <c r="C107" s="2019"/>
      <c r="D107" s="2019"/>
      <c r="E107" s="2019"/>
      <c r="F107" s="2019"/>
      <c r="G107" s="2019"/>
      <c r="H107" s="2019"/>
      <c r="I107" s="2020"/>
    </row>
    <row r="108" spans="1:9" s="181" customFormat="1" ht="11.25" customHeight="1" x14ac:dyDescent="0.2">
      <c r="A108" s="316"/>
      <c r="B108" s="2018"/>
      <c r="C108" s="2019"/>
      <c r="D108" s="2019"/>
      <c r="E108" s="2019"/>
      <c r="F108" s="2019"/>
      <c r="G108" s="2019"/>
      <c r="H108" s="2019"/>
      <c r="I108" s="2020"/>
    </row>
    <row r="109" spans="1:9" s="181" customFormat="1" ht="11.25" customHeight="1" x14ac:dyDescent="0.2">
      <c r="A109" s="316"/>
      <c r="B109" s="2018"/>
      <c r="C109" s="2019"/>
      <c r="D109" s="2019"/>
      <c r="E109" s="2019"/>
      <c r="F109" s="2019"/>
      <c r="G109" s="2019"/>
      <c r="H109" s="2019"/>
      <c r="I109" s="2020"/>
    </row>
    <row r="110" spans="1:9" s="181" customFormat="1" ht="11.25" customHeight="1" x14ac:dyDescent="0.2">
      <c r="A110" s="316"/>
      <c r="B110" s="2018"/>
      <c r="C110" s="2019"/>
      <c r="D110" s="2019"/>
      <c r="E110" s="2019"/>
      <c r="F110" s="2019"/>
      <c r="G110" s="2019"/>
      <c r="H110" s="2019"/>
      <c r="I110" s="2020"/>
    </row>
    <row r="111" spans="1:9" s="181" customFormat="1" ht="11.25" customHeight="1" x14ac:dyDescent="0.2">
      <c r="A111" s="316"/>
      <c r="B111" s="2018"/>
      <c r="C111" s="2019"/>
      <c r="D111" s="2019"/>
      <c r="E111" s="2019"/>
      <c r="F111" s="2019"/>
      <c r="G111" s="2019"/>
      <c r="H111" s="2019"/>
      <c r="I111" s="2020"/>
    </row>
    <row r="112" spans="1:9" s="181" customFormat="1" ht="11.25" customHeight="1" x14ac:dyDescent="0.2">
      <c r="A112" s="316"/>
      <c r="B112" s="2021"/>
      <c r="C112" s="2022"/>
      <c r="D112" s="2022"/>
      <c r="E112" s="2022"/>
      <c r="F112" s="2022"/>
      <c r="G112" s="2022"/>
      <c r="H112" s="2022"/>
      <c r="I112" s="202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24" t="s">
        <v>2026</v>
      </c>
      <c r="D114" s="202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25" t="s">
        <v>1330</v>
      </c>
      <c r="D117" s="2026"/>
      <c r="E117" s="2027"/>
      <c r="F117" s="2027"/>
      <c r="G117" s="2027"/>
      <c r="H117" s="2027"/>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1871</v>
      </c>
      <c r="G119" s="328"/>
      <c r="H119" s="328"/>
      <c r="I119" s="304"/>
    </row>
    <row r="120" spans="1:9" x14ac:dyDescent="0.2">
      <c r="A120" s="329"/>
      <c r="B120" s="180"/>
      <c r="C120" s="330"/>
      <c r="D120" s="256"/>
      <c r="E120" s="256"/>
      <c r="F120" s="256"/>
      <c r="G120" s="256"/>
      <c r="H120" s="256"/>
      <c r="I120" s="304"/>
    </row>
    <row r="121" spans="1:9" x14ac:dyDescent="0.2">
      <c r="A121" s="329"/>
      <c r="B121" s="1488" t="s">
        <v>1570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75D80-3CFE-4FB3-9A32-26A40C908345}">
  <sheetPr>
    <tabColor rgb="FF00B050"/>
  </sheetPr>
  <dimension ref="A1"/>
  <sheetViews>
    <sheetView topLeftCell="A34" workbookViewId="0">
      <selection activeCell="P46" sqref="P46"/>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topLeftCell="A4" colorId="8" zoomScale="110" zoomScaleNormal="110" workbookViewId="0">
      <selection activeCell="L30" sqref="L3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44" t="s">
        <v>386</v>
      </c>
      <c r="B1" s="2044"/>
      <c r="C1" s="2044"/>
      <c r="D1" s="2044"/>
      <c r="E1" s="2044"/>
      <c r="F1" s="2044"/>
      <c r="G1" s="2044"/>
      <c r="H1" s="2044"/>
      <c r="I1" s="2044"/>
      <c r="J1" s="2044"/>
      <c r="K1" s="2044"/>
      <c r="L1" s="2044"/>
      <c r="M1" s="204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1617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1911</v>
      </c>
      <c r="E7" s="222"/>
      <c r="F7" s="351" t="s">
        <v>272</v>
      </c>
      <c r="G7" s="222"/>
      <c r="H7" s="222"/>
      <c r="I7" s="222"/>
      <c r="J7" s="352">
        <v>118193515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2.3800000000000002E-2</v>
      </c>
      <c r="E10" s="356" t="s">
        <v>1005</v>
      </c>
      <c r="F10" s="355">
        <v>2.5000000000000001E-3</v>
      </c>
      <c r="G10" s="356" t="s">
        <v>1005</v>
      </c>
      <c r="H10" s="355">
        <v>1.1999999999999999E-3</v>
      </c>
      <c r="I10" s="356" t="s">
        <v>1006</v>
      </c>
      <c r="J10" s="1732">
        <f>ROUND(D10+F10+H10,5)</f>
        <v>2.75E-2</v>
      </c>
      <c r="K10" s="222"/>
      <c r="L10" s="355">
        <v>5.0000000000000001E-4</v>
      </c>
      <c r="M10" s="222"/>
    </row>
    <row r="11" spans="1:14" ht="7.5" customHeight="1" x14ac:dyDescent="0.2">
      <c r="B11" s="222"/>
      <c r="C11" s="222"/>
      <c r="D11" s="2054" t="str">
        <f>IF(SUM(J10)&lt;=0.0999999,"","Enter the Tax Rates by moving the decimal two places to the left.")</f>
        <v/>
      </c>
      <c r="E11" s="2055"/>
      <c r="F11" s="2055"/>
      <c r="G11" s="2055"/>
      <c r="H11" s="2055"/>
      <c r="I11" s="2055"/>
      <c r="J11" s="205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1618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4908225</v>
      </c>
      <c r="E16" s="356"/>
      <c r="F16" s="1733">
        <f>SUM('Acct Summary 7-8'!C17,'Acct Summary 7-8'!D17,'Acct Summary 7-8'!F17)</f>
        <v>4813297</v>
      </c>
      <c r="G16" s="356"/>
      <c r="H16" s="1733">
        <f>SUM(D16-F16)</f>
        <v>94928</v>
      </c>
      <c r="I16" s="222"/>
      <c r="J16" s="1733">
        <f>SUM('Acct Summary 7-8'!C81,'Acct Summary 7-8'!D81,'Acct Summary 7-8'!F81,'Acct Summary 7-8'!I81)</f>
        <v>3089646</v>
      </c>
      <c r="K16" s="222"/>
      <c r="L16" s="222"/>
      <c r="M16" s="222"/>
    </row>
    <row r="17" spans="1:13" ht="12.2" customHeight="1" x14ac:dyDescent="0.2">
      <c r="A17" s="349"/>
      <c r="B17" s="260" t="s">
        <v>8</v>
      </c>
      <c r="C17" s="237" t="s">
        <v>1382</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3.15" customHeight="1" x14ac:dyDescent="0.2">
      <c r="A20" s="349" t="s">
        <v>812</v>
      </c>
      <c r="B20" s="349" t="s">
        <v>1619</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2025</v>
      </c>
      <c r="D25" s="222"/>
      <c r="E25" s="222"/>
      <c r="F25" s="222"/>
      <c r="G25" s="222"/>
      <c r="H25" s="222"/>
      <c r="I25" s="222"/>
      <c r="J25" s="222"/>
      <c r="K25" s="222"/>
      <c r="L25" s="222"/>
      <c r="M25" s="222"/>
    </row>
    <row r="26" spans="1:13" ht="9.4"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3.1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2035</v>
      </c>
      <c r="C31" s="367" t="s">
        <v>586</v>
      </c>
      <c r="D31" s="237" t="s">
        <v>1072</v>
      </c>
      <c r="E31" s="222"/>
      <c r="F31" s="222"/>
      <c r="G31" s="363"/>
      <c r="H31" s="1735">
        <f>IF(B31="X",(J7*0.069),IF(B32="X",(J7*0.138),"Enter x in a.or b."))</f>
        <v>8155352.5350000011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415000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3.1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45"/>
      <c r="C54" s="2046"/>
      <c r="D54" s="2046"/>
      <c r="E54" s="2046"/>
      <c r="F54" s="2046"/>
      <c r="G54" s="2046"/>
      <c r="H54" s="2046"/>
      <c r="I54" s="2046"/>
      <c r="J54" s="2046"/>
      <c r="K54" s="2046"/>
      <c r="L54" s="2047"/>
      <c r="M54" s="380"/>
    </row>
    <row r="55" spans="1:13" ht="13.15" customHeight="1" x14ac:dyDescent="0.2">
      <c r="B55" s="2048"/>
      <c r="C55" s="2049"/>
      <c r="D55" s="2049"/>
      <c r="E55" s="2049"/>
      <c r="F55" s="2049"/>
      <c r="G55" s="2049"/>
      <c r="H55" s="2049"/>
      <c r="I55" s="2049"/>
      <c r="J55" s="2049"/>
      <c r="K55" s="2049"/>
      <c r="L55" s="2050"/>
      <c r="M55" s="380"/>
    </row>
    <row r="56" spans="1:13" ht="13.15" customHeight="1" x14ac:dyDescent="0.2">
      <c r="B56" s="2048"/>
      <c r="C56" s="2049"/>
      <c r="D56" s="2049"/>
      <c r="E56" s="2049"/>
      <c r="F56" s="2049"/>
      <c r="G56" s="2049"/>
      <c r="H56" s="2049"/>
      <c r="I56" s="2049"/>
      <c r="J56" s="2049"/>
      <c r="K56" s="2049"/>
      <c r="L56" s="2050"/>
      <c r="M56" s="222"/>
    </row>
    <row r="57" spans="1:13" ht="13.15" customHeight="1" x14ac:dyDescent="0.2">
      <c r="B57" s="2048"/>
      <c r="C57" s="2049"/>
      <c r="D57" s="2049"/>
      <c r="E57" s="2049"/>
      <c r="F57" s="2049"/>
      <c r="G57" s="2049"/>
      <c r="H57" s="2049"/>
      <c r="I57" s="2049"/>
      <c r="J57" s="2049"/>
      <c r="K57" s="2049"/>
      <c r="L57" s="2050"/>
      <c r="M57" s="222"/>
    </row>
    <row r="58" spans="1:13" x14ac:dyDescent="0.2">
      <c r="B58" s="2051"/>
      <c r="C58" s="2052"/>
      <c r="D58" s="2052"/>
      <c r="E58" s="2052"/>
      <c r="F58" s="2052"/>
      <c r="G58" s="2052"/>
      <c r="H58" s="2052"/>
      <c r="I58" s="2052"/>
      <c r="J58" s="2052"/>
      <c r="K58" s="2052"/>
      <c r="L58" s="205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3.15" customHeight="1" x14ac:dyDescent="0.15">
      <c r="A61" s="247"/>
      <c r="B61" s="381"/>
      <c r="C61" s="2056"/>
      <c r="D61" s="205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zoomScale="110" zoomScaleNormal="110" workbookViewId="0">
      <selection activeCell="X29" sqref="X2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59"/>
      <c r="B1" s="2060"/>
      <c r="C1" s="2060"/>
      <c r="D1" s="384"/>
      <c r="E1" s="384"/>
      <c r="F1" s="384"/>
      <c r="G1" s="384"/>
      <c r="H1" s="384"/>
      <c r="I1" s="384"/>
      <c r="J1" s="384"/>
      <c r="K1" s="384"/>
      <c r="L1" s="384"/>
      <c r="M1" s="384"/>
      <c r="N1" s="384"/>
      <c r="O1" s="2059"/>
      <c r="P1" s="2060"/>
      <c r="Q1" s="2060"/>
    </row>
    <row r="2" spans="1:18" ht="15" x14ac:dyDescent="0.2">
      <c r="A2" s="2063" t="s">
        <v>556</v>
      </c>
      <c r="B2" s="2063"/>
      <c r="C2" s="2063"/>
      <c r="D2" s="2063"/>
      <c r="E2" s="2063"/>
      <c r="F2" s="2063"/>
      <c r="G2" s="2063"/>
      <c r="H2" s="2063"/>
      <c r="I2" s="2063"/>
      <c r="J2" s="2063"/>
      <c r="K2" s="2063"/>
      <c r="L2" s="2063"/>
      <c r="M2" s="2063"/>
      <c r="N2" s="2063"/>
      <c r="O2" s="2063"/>
      <c r="P2" s="2063"/>
      <c r="Q2" s="2063"/>
      <c r="R2" s="2063"/>
    </row>
    <row r="3" spans="1:18" ht="12.75" x14ac:dyDescent="0.2">
      <c r="A3" s="2064" t="s">
        <v>1399</v>
      </c>
      <c r="B3" s="2064"/>
      <c r="C3" s="2064"/>
      <c r="D3" s="2064"/>
      <c r="E3" s="2064"/>
      <c r="F3" s="2064"/>
      <c r="G3" s="2064"/>
      <c r="H3" s="2064"/>
      <c r="I3" s="2064"/>
      <c r="J3" s="2064"/>
      <c r="K3" s="2064"/>
      <c r="L3" s="2064"/>
      <c r="M3" s="2064"/>
      <c r="N3" s="2064"/>
      <c r="O3" s="2064"/>
      <c r="P3" s="2064"/>
      <c r="Q3" s="2064"/>
      <c r="R3" s="2064"/>
    </row>
    <row r="4" spans="1:18" x14ac:dyDescent="0.2">
      <c r="A4" s="2065" t="s">
        <v>1523</v>
      </c>
      <c r="B4" s="2065"/>
      <c r="C4" s="2065"/>
      <c r="D4" s="2065"/>
      <c r="E4" s="2065"/>
      <c r="F4" s="2065"/>
      <c r="G4" s="2065"/>
      <c r="H4" s="2065"/>
      <c r="I4" s="2065"/>
      <c r="J4" s="2065"/>
      <c r="K4" s="2065"/>
      <c r="L4" s="2065"/>
      <c r="M4" s="2065"/>
      <c r="N4" s="2065"/>
      <c r="O4" s="2065"/>
      <c r="P4" s="2065"/>
      <c r="Q4" s="2065"/>
      <c r="R4" s="206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Dwight Common SD 232</v>
      </c>
      <c r="E7" s="391"/>
      <c r="G7" s="252"/>
      <c r="H7" s="387"/>
      <c r="I7" s="387"/>
      <c r="J7" s="387"/>
      <c r="K7" s="387"/>
      <c r="L7" s="329"/>
      <c r="M7" s="329"/>
      <c r="N7" s="329"/>
      <c r="O7" s="329"/>
      <c r="P7" s="329"/>
    </row>
    <row r="8" spans="1:18" ht="12.75" x14ac:dyDescent="0.2">
      <c r="A8" s="329"/>
      <c r="B8" s="329"/>
      <c r="C8" s="389" t="s">
        <v>1125</v>
      </c>
      <c r="D8" s="392">
        <f>COVER!A13</f>
        <v>17053232002</v>
      </c>
      <c r="E8" s="393"/>
      <c r="G8" s="329"/>
      <c r="H8" s="329"/>
      <c r="I8" s="329"/>
      <c r="J8" s="329"/>
      <c r="K8" s="329"/>
      <c r="L8" s="329"/>
      <c r="M8" s="329"/>
      <c r="N8" s="329"/>
      <c r="O8" s="329"/>
      <c r="P8" s="329"/>
    </row>
    <row r="9" spans="1:18" ht="12.75" x14ac:dyDescent="0.2">
      <c r="A9" s="329"/>
      <c r="B9" s="329"/>
      <c r="C9" s="389" t="s">
        <v>713</v>
      </c>
      <c r="D9" s="394" t="str">
        <f>COVER!A15</f>
        <v>Livingston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3089646</v>
      </c>
      <c r="I12" s="404"/>
      <c r="J12" s="404"/>
      <c r="K12" s="405">
        <f>TRUNC((H12/H13*100000),5)/100000</f>
        <v>0.62948336719999998</v>
      </c>
      <c r="L12" s="406"/>
      <c r="M12" s="360" t="s">
        <v>1144</v>
      </c>
      <c r="N12" s="360"/>
      <c r="O12" s="407">
        <v>0.35</v>
      </c>
      <c r="P12" s="218"/>
      <c r="Q12" s="218"/>
    </row>
    <row r="13" spans="1:18" s="408" customFormat="1" ht="12.75" x14ac:dyDescent="0.2">
      <c r="A13" s="218"/>
      <c r="B13" s="401"/>
      <c r="C13" s="2061" t="s">
        <v>1324</v>
      </c>
      <c r="D13" s="2062"/>
      <c r="E13" s="218"/>
      <c r="F13" s="409" t="s">
        <v>793</v>
      </c>
      <c r="G13" s="402"/>
      <c r="H13" s="403">
        <f>SUM('Acct Summary 7-8'!C8+'Acct Summary 7-8'!D8+'Acct Summary 7-8'!F8+'Acct Summary 7-8'!I8)+H14</f>
        <v>4908225</v>
      </c>
      <c r="I13" s="404"/>
      <c r="J13" s="404"/>
      <c r="K13" s="410"/>
      <c r="L13" s="218"/>
      <c r="M13" s="360" t="s">
        <v>1145</v>
      </c>
      <c r="N13" s="360"/>
      <c r="O13" s="411">
        <f>(O11*O12)</f>
        <v>1.4</v>
      </c>
      <c r="P13" s="218"/>
      <c r="Q13" s="218"/>
      <c r="R13" s="412"/>
    </row>
    <row r="14" spans="1:18" s="408" customFormat="1" ht="12.75" x14ac:dyDescent="0.2">
      <c r="A14" s="218"/>
      <c r="B14" s="401"/>
      <c r="C14" s="240" t="s">
        <v>1383</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1397</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4813297</v>
      </c>
      <c r="I17" s="404"/>
      <c r="J17" s="416"/>
      <c r="K17" s="405">
        <f>TRUNC((H17/H18*100000),5)/100000</f>
        <v>0.98065940330000001</v>
      </c>
      <c r="L17" s="406"/>
      <c r="M17" s="417" t="s">
        <v>1171</v>
      </c>
      <c r="O17" s="418" t="str">
        <f>IF(AND(O16="2", J20 &gt; 2),"1",IF(AND(O16 = "1", J20 &gt; 2),"2",IF(AND(O16="1", J20 &gt;1),"1","0")))</f>
        <v>0</v>
      </c>
      <c r="P17" s="218"/>
    </row>
    <row r="18" spans="1:18" s="408" customFormat="1" ht="11.25" x14ac:dyDescent="0.2">
      <c r="A18" s="218"/>
      <c r="B18" s="401"/>
      <c r="C18" s="2061" t="s">
        <v>1317</v>
      </c>
      <c r="D18" s="2062"/>
      <c r="E18" s="218"/>
      <c r="F18" s="419" t="s">
        <v>794</v>
      </c>
      <c r="G18" s="402"/>
      <c r="H18" s="403">
        <f>SUM('Acct Summary 7-8'!C8+'Acct Summary 7-8'!D8+'Acct Summary 7-8'!F8+'Acct Summary 7-8'!I8)+H19</f>
        <v>4908225</v>
      </c>
      <c r="I18" s="404"/>
      <c r="J18" s="404"/>
      <c r="K18" s="410"/>
      <c r="L18" s="218"/>
      <c r="M18" s="360" t="s">
        <v>1144</v>
      </c>
      <c r="N18" s="360"/>
      <c r="O18" s="410">
        <v>0.35</v>
      </c>
      <c r="P18" s="218"/>
    </row>
    <row r="19" spans="1:18" s="408" customFormat="1" ht="11.25" x14ac:dyDescent="0.2">
      <c r="A19" s="218"/>
      <c r="B19" s="401"/>
      <c r="C19" s="240" t="s">
        <v>1383</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1397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58" t="s">
        <v>1398</v>
      </c>
      <c r="D24" s="2058"/>
      <c r="E24" s="218"/>
      <c r="F24" s="218" t="s">
        <v>445</v>
      </c>
      <c r="G24" s="402"/>
      <c r="H24" s="403">
        <f>SUM('Assets-Liab 5-6'!C4+'Assets-Liab 5-6'!D4+'Assets-Liab 5-6'!F4+'Assets-Liab 5-6'!I4+'Assets-Liab 5-6'!C5+'Assets-Liab 5-6'!D5+'Assets-Liab 5-6'!F5+'Assets-Liab 5-6'!I5)</f>
        <v>3089646</v>
      </c>
      <c r="I24" s="422"/>
      <c r="J24" s="422"/>
      <c r="K24" s="423">
        <f>TRUNC(((H24/H25*100000)/100000),2)</f>
        <v>231.08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13370.26944</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1894</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2762773.4131299998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415000</v>
      </c>
      <c r="I32" s="420"/>
      <c r="J32" s="420"/>
      <c r="K32" s="423">
        <f>TRUNC(100-((((H32/H33*100))*100)/100),2)</f>
        <v>94.91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8155352.5350000011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1948</v>
      </c>
      <c r="N37" s="414"/>
      <c r="O37" s="442" t="str">
        <f>IF(O35&gt;3.53,"RECOGNITION",IF(O35&gt;3.07,"REVIEW ",IF(O35&gt;2.61,"WARNING","WATCH")))</f>
        <v>RECOGNITION</v>
      </c>
    </row>
    <row r="38" spans="1:17" ht="16.7"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1492</v>
      </c>
      <c r="I40" s="408"/>
      <c r="J40" s="408"/>
      <c r="K40" s="410"/>
      <c r="L40" s="408"/>
      <c r="M40" s="408"/>
      <c r="N40" s="408"/>
      <c r="O40" s="218"/>
      <c r="P40" s="216"/>
      <c r="Q40" s="216"/>
    </row>
    <row r="41" spans="1:17" x14ac:dyDescent="0.2">
      <c r="G41" s="448"/>
      <c r="H41" s="218" t="s">
        <v>1493</v>
      </c>
      <c r="M41" s="216"/>
      <c r="O41" s="216"/>
      <c r="P41" s="216"/>
      <c r="Q41" s="216"/>
    </row>
    <row r="42" spans="1:17" x14ac:dyDescent="0.2">
      <c r="A42" s="385" t="s">
        <v>1494</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110" zoomScaleNormal="110" workbookViewId="0">
      <pane ySplit="2" topLeftCell="A3" activePane="bottomLeft" state="frozen"/>
      <selection activeCell="X29" sqref="X29"/>
      <selection pane="bottomLeft" activeCell="C4" sqref="C4:L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66" t="s">
        <v>1480</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06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068" t="s">
        <v>973</v>
      </c>
      <c r="B3" s="2069"/>
      <c r="C3" s="1559"/>
      <c r="D3" s="1560"/>
      <c r="E3" s="1560"/>
      <c r="F3" s="1560"/>
      <c r="G3" s="1560"/>
      <c r="H3" s="1560"/>
      <c r="I3" s="1560"/>
      <c r="J3" s="1560"/>
      <c r="K3" s="1560"/>
      <c r="L3" s="1560"/>
      <c r="M3" s="1561"/>
      <c r="N3" s="1562"/>
    </row>
    <row r="4" spans="1:14" ht="13.5" customHeight="1" x14ac:dyDescent="0.2">
      <c r="A4" s="463" t="s">
        <v>1620</v>
      </c>
      <c r="B4" s="464"/>
      <c r="C4" s="465">
        <v>1165706</v>
      </c>
      <c r="D4" s="466">
        <v>465772</v>
      </c>
      <c r="E4" s="466">
        <v>2630</v>
      </c>
      <c r="F4" s="466">
        <v>374053</v>
      </c>
      <c r="G4" s="466">
        <v>188069</v>
      </c>
      <c r="H4" s="466">
        <v>131324</v>
      </c>
      <c r="I4" s="466">
        <v>1084115</v>
      </c>
      <c r="J4" s="467">
        <v>294086</v>
      </c>
      <c r="K4" s="466"/>
      <c r="L4" s="466">
        <v>49182</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1165706</v>
      </c>
      <c r="D13" s="1737">
        <f t="shared" ref="D13:L13" si="0">SUM(D4:D12)</f>
        <v>465772</v>
      </c>
      <c r="E13" s="1737">
        <f t="shared" si="0"/>
        <v>2630</v>
      </c>
      <c r="F13" s="1737">
        <f t="shared" si="0"/>
        <v>374053</v>
      </c>
      <c r="G13" s="1737">
        <f t="shared" si="0"/>
        <v>188069</v>
      </c>
      <c r="H13" s="1737">
        <f t="shared" si="0"/>
        <v>131324</v>
      </c>
      <c r="I13" s="1737">
        <f t="shared" si="0"/>
        <v>1084115</v>
      </c>
      <c r="J13" s="1737">
        <f t="shared" si="0"/>
        <v>294086</v>
      </c>
      <c r="K13" s="1737">
        <f t="shared" si="0"/>
        <v>0</v>
      </c>
      <c r="L13" s="1737">
        <f t="shared" si="0"/>
        <v>49182</v>
      </c>
      <c r="M13" s="468"/>
      <c r="N13" s="469"/>
    </row>
    <row r="14" spans="1:14" ht="18" customHeight="1" thickTop="1" x14ac:dyDescent="0.2">
      <c r="A14" s="2070" t="s">
        <v>147</v>
      </c>
      <c r="B14" s="2071"/>
      <c r="C14" s="1563"/>
      <c r="D14" s="1564"/>
      <c r="E14" s="1564"/>
      <c r="F14" s="1564"/>
      <c r="G14" s="1564"/>
      <c r="H14" s="1564"/>
      <c r="I14" s="1564"/>
      <c r="J14" s="1564"/>
      <c r="K14" s="1564"/>
      <c r="L14" s="1564"/>
      <c r="M14" s="1565"/>
      <c r="N14" s="1566"/>
    </row>
    <row r="15" spans="1:14" s="485" customFormat="1" ht="13.15" customHeight="1" x14ac:dyDescent="0.2">
      <c r="A15" s="482" t="s">
        <v>1387</v>
      </c>
      <c r="B15" s="483">
        <v>210</v>
      </c>
      <c r="C15" s="477"/>
      <c r="D15" s="477"/>
      <c r="E15" s="477"/>
      <c r="F15" s="477"/>
      <c r="G15" s="477"/>
      <c r="H15" s="477"/>
      <c r="I15" s="477"/>
      <c r="J15" s="477"/>
      <c r="K15" s="477"/>
      <c r="L15" s="477"/>
      <c r="M15" s="478"/>
      <c r="N15" s="484"/>
    </row>
    <row r="16" spans="1:14" s="485" customFormat="1" ht="13.15" customHeight="1" x14ac:dyDescent="0.2">
      <c r="A16" s="482" t="s">
        <v>1388</v>
      </c>
      <c r="B16" s="483">
        <v>220</v>
      </c>
      <c r="C16" s="477"/>
      <c r="D16" s="477"/>
      <c r="E16" s="477"/>
      <c r="F16" s="477"/>
      <c r="G16" s="477"/>
      <c r="H16" s="477"/>
      <c r="I16" s="477"/>
      <c r="J16" s="477"/>
      <c r="K16" s="477"/>
      <c r="L16" s="477"/>
      <c r="M16" s="467">
        <v>73250</v>
      </c>
      <c r="N16" s="484"/>
    </row>
    <row r="17" spans="1:14" s="485" customFormat="1" ht="13.15" customHeight="1" x14ac:dyDescent="0.2">
      <c r="A17" s="482" t="s">
        <v>1389</v>
      </c>
      <c r="B17" s="483">
        <v>230</v>
      </c>
      <c r="C17" s="477"/>
      <c r="D17" s="477"/>
      <c r="E17" s="477"/>
      <c r="F17" s="477"/>
      <c r="G17" s="477"/>
      <c r="H17" s="477"/>
      <c r="I17" s="477"/>
      <c r="J17" s="477"/>
      <c r="K17" s="477"/>
      <c r="L17" s="477"/>
      <c r="M17" s="467">
        <v>1499217</v>
      </c>
      <c r="N17" s="484"/>
    </row>
    <row r="18" spans="1:14" s="485" customFormat="1" ht="13.15" customHeight="1" x14ac:dyDescent="0.2">
      <c r="A18" s="482" t="s">
        <v>1390</v>
      </c>
      <c r="B18" s="483">
        <v>240</v>
      </c>
      <c r="C18" s="477"/>
      <c r="D18" s="477"/>
      <c r="E18" s="477"/>
      <c r="F18" s="477"/>
      <c r="G18" s="477"/>
      <c r="H18" s="477"/>
      <c r="I18" s="477"/>
      <c r="J18" s="477"/>
      <c r="K18" s="477"/>
      <c r="L18" s="477"/>
      <c r="M18" s="467"/>
      <c r="N18" s="484"/>
    </row>
    <row r="19" spans="1:14" s="485" customFormat="1" ht="13.15" customHeight="1" x14ac:dyDescent="0.2">
      <c r="A19" s="482" t="s">
        <v>1391</v>
      </c>
      <c r="B19" s="483">
        <v>250</v>
      </c>
      <c r="C19" s="477"/>
      <c r="D19" s="477"/>
      <c r="E19" s="477"/>
      <c r="F19" s="477"/>
      <c r="G19" s="477"/>
      <c r="H19" s="477"/>
      <c r="I19" s="477"/>
      <c r="J19" s="477"/>
      <c r="K19" s="477"/>
      <c r="L19" s="477"/>
      <c r="M19" s="467">
        <v>433232</v>
      </c>
      <c r="N19" s="484"/>
    </row>
    <row r="20" spans="1:14" s="485" customFormat="1" ht="13.15" customHeight="1" x14ac:dyDescent="0.2">
      <c r="A20" s="482" t="s">
        <v>1392</v>
      </c>
      <c r="B20" s="483">
        <v>260</v>
      </c>
      <c r="C20" s="477"/>
      <c r="D20" s="477"/>
      <c r="E20" s="477"/>
      <c r="F20" s="477"/>
      <c r="G20" s="477"/>
      <c r="H20" s="477"/>
      <c r="I20" s="477"/>
      <c r="J20" s="477"/>
      <c r="K20" s="477"/>
      <c r="L20" s="477"/>
      <c r="M20" s="467"/>
      <c r="N20" s="484"/>
    </row>
    <row r="21" spans="1:14" s="485" customFormat="1" ht="13.15" customHeight="1" x14ac:dyDescent="0.2">
      <c r="A21" s="482" t="s">
        <v>1393</v>
      </c>
      <c r="B21" s="483">
        <v>340</v>
      </c>
      <c r="C21" s="477"/>
      <c r="D21" s="477"/>
      <c r="E21" s="477"/>
      <c r="F21" s="477"/>
      <c r="G21" s="477"/>
      <c r="H21" s="477"/>
      <c r="I21" s="477"/>
      <c r="J21" s="477"/>
      <c r="K21" s="477"/>
      <c r="L21" s="477"/>
      <c r="M21" s="486"/>
      <c r="N21" s="467">
        <v>2630</v>
      </c>
    </row>
    <row r="22" spans="1:14" s="485" customFormat="1" ht="13.15" customHeight="1" x14ac:dyDescent="0.2">
      <c r="A22" s="482" t="s">
        <v>1394</v>
      </c>
      <c r="B22" s="483">
        <v>350</v>
      </c>
      <c r="C22" s="477"/>
      <c r="D22" s="477"/>
      <c r="E22" s="477"/>
      <c r="F22" s="477"/>
      <c r="G22" s="477"/>
      <c r="H22" s="477"/>
      <c r="I22" s="477"/>
      <c r="J22" s="477"/>
      <c r="K22" s="477"/>
      <c r="L22" s="477"/>
      <c r="M22" s="486"/>
      <c r="N22" s="487">
        <f>'Short-Term Long-Term Debt 24'!J49</f>
        <v>412370</v>
      </c>
    </row>
    <row r="23" spans="1:14" ht="13.5" customHeight="1" thickBot="1" x14ac:dyDescent="0.25">
      <c r="A23" s="1736" t="s">
        <v>643</v>
      </c>
      <c r="B23" s="1741"/>
      <c r="C23" s="468"/>
      <c r="D23" s="468"/>
      <c r="E23" s="468"/>
      <c r="F23" s="468"/>
      <c r="G23" s="468"/>
      <c r="H23" s="468"/>
      <c r="I23" s="468"/>
      <c r="J23" s="468"/>
      <c r="K23" s="468"/>
      <c r="L23" s="468"/>
      <c r="M23" s="1688">
        <f>SUM(M15:M22)</f>
        <v>2005699</v>
      </c>
      <c r="N23" s="1688">
        <f>SUM(N21:N22)</f>
        <v>415000</v>
      </c>
    </row>
    <row r="24" spans="1:14" ht="18" customHeight="1" thickTop="1" x14ac:dyDescent="0.2">
      <c r="A24" s="2072" t="s">
        <v>598</v>
      </c>
      <c r="B24" s="2073"/>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49182</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49182</v>
      </c>
      <c r="M34" s="468"/>
      <c r="N34" s="480"/>
    </row>
    <row r="35" spans="1:14" ht="18" customHeight="1" thickTop="1" x14ac:dyDescent="0.2">
      <c r="A35" s="2074" t="s">
        <v>529</v>
      </c>
      <c r="B35" s="2075"/>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415000</v>
      </c>
    </row>
    <row r="37" spans="1:14" ht="13.5" thickBot="1" x14ac:dyDescent="0.25">
      <c r="A37" s="1736" t="s">
        <v>653</v>
      </c>
      <c r="B37" s="1741"/>
      <c r="C37" s="477"/>
      <c r="D37" s="477"/>
      <c r="E37" s="477"/>
      <c r="F37" s="477"/>
      <c r="G37" s="477"/>
      <c r="H37" s="477"/>
      <c r="I37" s="477"/>
      <c r="J37" s="477"/>
      <c r="K37" s="477"/>
      <c r="L37" s="480"/>
      <c r="M37" s="468"/>
      <c r="N37" s="1688">
        <f>SUM(N36:N36)</f>
        <v>415000</v>
      </c>
    </row>
    <row r="38" spans="1:14" s="329" customFormat="1" ht="13.5" customHeight="1" thickTop="1" x14ac:dyDescent="0.2">
      <c r="A38" s="496" t="s">
        <v>420</v>
      </c>
      <c r="B38" s="483">
        <v>714</v>
      </c>
      <c r="C38" s="466"/>
      <c r="D38" s="466"/>
      <c r="E38" s="466">
        <v>852</v>
      </c>
      <c r="F38" s="466"/>
      <c r="G38" s="466"/>
      <c r="H38" s="466">
        <v>196014</v>
      </c>
      <c r="I38" s="466"/>
      <c r="J38" s="467"/>
      <c r="K38" s="466"/>
      <c r="L38" s="481"/>
      <c r="M38" s="497"/>
      <c r="N38" s="497"/>
    </row>
    <row r="39" spans="1:14" s="329" customFormat="1" ht="13.5" customHeight="1" x14ac:dyDescent="0.2">
      <c r="A39" s="496" t="s">
        <v>342</v>
      </c>
      <c r="B39" s="483">
        <v>730</v>
      </c>
      <c r="C39" s="466">
        <v>1165706</v>
      </c>
      <c r="D39" s="466">
        <v>465772</v>
      </c>
      <c r="E39" s="466">
        <v>1778</v>
      </c>
      <c r="F39" s="466">
        <v>374053</v>
      </c>
      <c r="G39" s="466">
        <v>188069</v>
      </c>
      <c r="H39" s="466">
        <v>-64690</v>
      </c>
      <c r="I39" s="466">
        <v>1084115</v>
      </c>
      <c r="J39" s="467">
        <v>294086</v>
      </c>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2005699</v>
      </c>
      <c r="N40" s="497"/>
    </row>
    <row r="41" spans="1:14" ht="13.5" customHeight="1" thickBot="1" x14ac:dyDescent="0.25">
      <c r="A41" s="1736" t="s">
        <v>655</v>
      </c>
      <c r="B41" s="1706"/>
      <c r="C41" s="1688">
        <f>(SUM(C34,C37,C38,C39))</f>
        <v>1165706</v>
      </c>
      <c r="D41" s="1688">
        <f t="shared" ref="D41:L41" si="2">SUM(D34,D37,D38:D39)</f>
        <v>465772</v>
      </c>
      <c r="E41" s="1688">
        <f t="shared" si="2"/>
        <v>2630</v>
      </c>
      <c r="F41" s="1688">
        <f t="shared" si="2"/>
        <v>374053</v>
      </c>
      <c r="G41" s="1688">
        <f t="shared" si="2"/>
        <v>188069</v>
      </c>
      <c r="H41" s="1688">
        <f t="shared" si="2"/>
        <v>131324</v>
      </c>
      <c r="I41" s="1688">
        <f t="shared" si="2"/>
        <v>1084115</v>
      </c>
      <c r="J41" s="1688">
        <f t="shared" si="2"/>
        <v>294086</v>
      </c>
      <c r="K41" s="1688">
        <f t="shared" si="2"/>
        <v>0</v>
      </c>
      <c r="L41" s="1688">
        <f t="shared" si="2"/>
        <v>49182</v>
      </c>
      <c r="M41" s="1688">
        <f>SUM(M40)</f>
        <v>2005699</v>
      </c>
      <c r="N41" s="1688">
        <f>SUM(N37)</f>
        <v>415000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&amp;F&amp;CSee Notes to the Accompanying Financial Statements.</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3" activePane="bottomLeft" state="frozen"/>
      <selection activeCell="X29" sqref="X29"/>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3.15" customHeight="1" x14ac:dyDescent="0.2">
      <c r="A1" s="2084" t="s">
        <v>1621</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085"/>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096" t="s">
        <v>1175</v>
      </c>
      <c r="B3" s="2097"/>
      <c r="C3" s="1573"/>
      <c r="D3" s="1574"/>
      <c r="E3" s="1574"/>
      <c r="F3" s="1574"/>
      <c r="G3" s="1574"/>
      <c r="H3" s="1574"/>
      <c r="I3" s="1574"/>
      <c r="J3" s="1574"/>
      <c r="K3" s="1575"/>
      <c r="L3" s="506"/>
    </row>
    <row r="4" spans="1:13" ht="15.75" customHeight="1" x14ac:dyDescent="0.2">
      <c r="A4" s="1888" t="s">
        <v>1485</v>
      </c>
      <c r="B4" s="1889">
        <v>1000</v>
      </c>
      <c r="C4" s="1742">
        <f>'Revenues 9-14'!C109</f>
        <v>2937715</v>
      </c>
      <c r="D4" s="1742">
        <f>'Revenues 9-14'!D109</f>
        <v>401642</v>
      </c>
      <c r="E4" s="1742">
        <f>'Revenues 9-14'!E109</f>
        <v>210805</v>
      </c>
      <c r="F4" s="1742">
        <f>'Revenues 9-14'!F109</f>
        <v>133905</v>
      </c>
      <c r="G4" s="1742">
        <f>'Revenues 9-14'!G109</f>
        <v>140384</v>
      </c>
      <c r="H4" s="1742">
        <f>'Revenues 9-14'!H109</f>
        <v>261399</v>
      </c>
      <c r="I4" s="1742">
        <f>'Revenues 9-14'!I109</f>
        <v>57532</v>
      </c>
      <c r="J4" s="1742">
        <f>'Revenues 9-14'!J109</f>
        <v>313231</v>
      </c>
      <c r="K4" s="1742">
        <f>'Revenues 9-14'!K109</f>
        <v>0</v>
      </c>
      <c r="L4" s="347"/>
    </row>
    <row r="5" spans="1:13" ht="15.75" customHeight="1" x14ac:dyDescent="0.2">
      <c r="A5" s="1576" t="s">
        <v>1486</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1487</v>
      </c>
      <c r="B6" s="1578">
        <v>3000</v>
      </c>
      <c r="C6" s="1743">
        <f>'Revenues 9-14'!C170</f>
        <v>1054565</v>
      </c>
      <c r="D6" s="1743">
        <f>'Revenues 9-14'!D170</f>
        <v>0</v>
      </c>
      <c r="E6" s="1743">
        <f>'Revenues 9-14'!E170</f>
        <v>0</v>
      </c>
      <c r="F6" s="1743">
        <f>'Revenues 9-14'!F170</f>
        <v>51862</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1488</v>
      </c>
      <c r="B7" s="1578">
        <v>4000</v>
      </c>
      <c r="C7" s="1743">
        <f>'Revenues 9-14'!C267</f>
        <v>271004</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4263284</v>
      </c>
      <c r="D8" s="1688">
        <f t="shared" ref="D8:K8" si="0">SUM(D4:D7)</f>
        <v>401642</v>
      </c>
      <c r="E8" s="1688">
        <f t="shared" si="0"/>
        <v>210805</v>
      </c>
      <c r="F8" s="1688">
        <f t="shared" si="0"/>
        <v>185767</v>
      </c>
      <c r="G8" s="1688">
        <f t="shared" si="0"/>
        <v>140384</v>
      </c>
      <c r="H8" s="1688">
        <f t="shared" si="0"/>
        <v>261399</v>
      </c>
      <c r="I8" s="1688">
        <f t="shared" si="0"/>
        <v>57532</v>
      </c>
      <c r="J8" s="1688">
        <f t="shared" si="0"/>
        <v>313231</v>
      </c>
      <c r="K8" s="1688">
        <f t="shared" si="0"/>
        <v>0</v>
      </c>
      <c r="L8" s="347"/>
    </row>
    <row r="9" spans="1:13" ht="15.75" thickTop="1" x14ac:dyDescent="0.2">
      <c r="A9" s="514" t="s">
        <v>1622</v>
      </c>
      <c r="B9" s="515">
        <v>3998</v>
      </c>
      <c r="C9" s="481">
        <v>-1018946</v>
      </c>
      <c r="D9" s="516"/>
      <c r="E9" s="481"/>
      <c r="F9" s="481"/>
      <c r="G9" s="517"/>
      <c r="H9" s="481"/>
      <c r="I9" s="509" t="s">
        <v>1169</v>
      </c>
      <c r="J9" s="478"/>
      <c r="K9" s="481"/>
      <c r="L9" s="347"/>
    </row>
    <row r="10" spans="1:13" s="519" customFormat="1" ht="13.5" thickBot="1" x14ac:dyDescent="0.25">
      <c r="A10" s="1736" t="s">
        <v>1173</v>
      </c>
      <c r="B10" s="1709"/>
      <c r="C10" s="1688">
        <f>SUM(C8:C9)</f>
        <v>3244338</v>
      </c>
      <c r="D10" s="1688">
        <f t="shared" ref="D10:K10" si="1">SUM(D8:D9)</f>
        <v>401642</v>
      </c>
      <c r="E10" s="1688">
        <f t="shared" si="1"/>
        <v>210805</v>
      </c>
      <c r="F10" s="1688">
        <f t="shared" si="1"/>
        <v>185767</v>
      </c>
      <c r="G10" s="1688">
        <f t="shared" si="1"/>
        <v>140384</v>
      </c>
      <c r="H10" s="1688">
        <f t="shared" si="1"/>
        <v>261399</v>
      </c>
      <c r="I10" s="1688">
        <f t="shared" si="1"/>
        <v>57532</v>
      </c>
      <c r="J10" s="1688">
        <f t="shared" si="1"/>
        <v>313231</v>
      </c>
      <c r="K10" s="1688">
        <f t="shared" si="1"/>
        <v>0</v>
      </c>
      <c r="L10" s="518"/>
    </row>
    <row r="11" spans="1:13" s="519" customFormat="1" ht="16.7" customHeight="1" thickTop="1" x14ac:dyDescent="0.2">
      <c r="A11" s="2070" t="s">
        <v>1176</v>
      </c>
      <c r="B11" s="2071"/>
      <c r="C11" s="1570"/>
      <c r="D11" s="1571"/>
      <c r="E11" s="1571"/>
      <c r="F11" s="1571"/>
      <c r="G11" s="1571"/>
      <c r="H11" s="1571"/>
      <c r="I11" s="1571"/>
      <c r="J11" s="1571"/>
      <c r="K11" s="1572"/>
      <c r="L11" s="518"/>
    </row>
    <row r="12" spans="1:13" ht="15.75" customHeight="1" x14ac:dyDescent="0.2">
      <c r="A12" s="1576" t="s">
        <v>456</v>
      </c>
      <c r="B12" s="1578">
        <v>1000</v>
      </c>
      <c r="C12" s="1742">
        <f>'Expenditures 15-22'!K33</f>
        <v>2867587</v>
      </c>
      <c r="D12" s="520" t="s">
        <v>1169</v>
      </c>
      <c r="E12" s="468" t="s">
        <v>1169</v>
      </c>
      <c r="F12" s="468" t="s">
        <v>1169</v>
      </c>
      <c r="G12" s="1742">
        <f>'Expenditures 15-22'!K229</f>
        <v>83976</v>
      </c>
      <c r="H12" s="521"/>
      <c r="I12" s="468" t="s">
        <v>1169</v>
      </c>
      <c r="J12" s="468" t="s">
        <v>1169</v>
      </c>
      <c r="K12" s="521" t="s">
        <v>1169</v>
      </c>
      <c r="L12" s="347"/>
    </row>
    <row r="13" spans="1:13" ht="15.75" customHeight="1" x14ac:dyDescent="0.2">
      <c r="A13" s="1576" t="s">
        <v>457</v>
      </c>
      <c r="B13" s="1578">
        <v>2000</v>
      </c>
      <c r="C13" s="1743">
        <f>'Expenditures 15-22'!K74</f>
        <v>1061656</v>
      </c>
      <c r="D13" s="1743">
        <f>'Expenditures 15-22'!K129</f>
        <v>426319</v>
      </c>
      <c r="E13" s="469" t="s">
        <v>1169</v>
      </c>
      <c r="F13" s="1743">
        <f>'Expenditures 15-22'!K184</f>
        <v>192087</v>
      </c>
      <c r="G13" s="1743">
        <f>'Expenditures 15-22'!K279</f>
        <v>58115</v>
      </c>
      <c r="H13" s="1743">
        <f>'Expenditures 15-22'!K303</f>
        <v>356312</v>
      </c>
      <c r="I13" s="468" t="s">
        <v>1169</v>
      </c>
      <c r="J13" s="1743">
        <f>'Expenditures 15-22'!K330</f>
        <v>65253</v>
      </c>
      <c r="K13" s="1747">
        <f>'Expenditures 15-22'!K352</f>
        <v>0</v>
      </c>
      <c r="L13" s="347"/>
    </row>
    <row r="14" spans="1:13" ht="15.75" customHeight="1" x14ac:dyDescent="0.2">
      <c r="A14" s="1576" t="s">
        <v>449</v>
      </c>
      <c r="B14" s="1578">
        <v>3000</v>
      </c>
      <c r="C14" s="1743">
        <f>'Expenditures 15-22'!K75</f>
        <v>6166</v>
      </c>
      <c r="D14" s="1743">
        <f>'Expenditures 15-22'!K130</f>
        <v>0</v>
      </c>
      <c r="E14" s="520" t="s">
        <v>1169</v>
      </c>
      <c r="F14" s="1743">
        <f>'Expenditures 15-22'!K185</f>
        <v>0</v>
      </c>
      <c r="G14" s="1743">
        <f>'Expenditures 15-22'!K280</f>
        <v>124</v>
      </c>
      <c r="H14" s="512"/>
      <c r="I14" s="468" t="s">
        <v>1169</v>
      </c>
      <c r="J14" s="468" t="s">
        <v>1169</v>
      </c>
      <c r="K14" s="512" t="s">
        <v>1169</v>
      </c>
      <c r="L14" s="347"/>
    </row>
    <row r="15" spans="1:13" ht="15.75" customHeight="1" x14ac:dyDescent="0.2">
      <c r="A15" s="1576" t="s">
        <v>107</v>
      </c>
      <c r="B15" s="1578">
        <v>4000</v>
      </c>
      <c r="C15" s="1743">
        <f>'Expenditures 15-22'!K102</f>
        <v>259132</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350</v>
      </c>
      <c r="E16" s="1743">
        <f>'Expenditures 15-22'!K172</f>
        <v>213005</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4194541</v>
      </c>
      <c r="D17" s="1688">
        <f t="shared" si="2"/>
        <v>426669</v>
      </c>
      <c r="E17" s="1688">
        <f t="shared" si="2"/>
        <v>213005</v>
      </c>
      <c r="F17" s="1688">
        <f t="shared" si="2"/>
        <v>192087</v>
      </c>
      <c r="G17" s="1688">
        <f t="shared" si="2"/>
        <v>142215</v>
      </c>
      <c r="H17" s="1688">
        <f t="shared" si="2"/>
        <v>356312</v>
      </c>
      <c r="I17" s="468"/>
      <c r="J17" s="1688">
        <f>SUM(J12:J16)</f>
        <v>65253</v>
      </c>
      <c r="K17" s="1688">
        <f>SUM(K12:K16)</f>
        <v>0</v>
      </c>
      <c r="L17" s="347"/>
    </row>
    <row r="18" spans="1:12" ht="15" customHeight="1" thickTop="1" x14ac:dyDescent="0.2">
      <c r="A18" s="1744" t="s">
        <v>1623</v>
      </c>
      <c r="B18" s="1745">
        <v>4180</v>
      </c>
      <c r="C18" s="1742">
        <f t="shared" ref="C18:H18" si="3">C9</f>
        <v>-1018946</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3175595</v>
      </c>
      <c r="D19" s="1688">
        <f t="shared" si="4"/>
        <v>426669</v>
      </c>
      <c r="E19" s="1688">
        <f t="shared" si="4"/>
        <v>213005</v>
      </c>
      <c r="F19" s="1688">
        <f t="shared" si="4"/>
        <v>192087</v>
      </c>
      <c r="G19" s="1688">
        <f t="shared" si="4"/>
        <v>142215</v>
      </c>
      <c r="H19" s="1688">
        <f t="shared" si="4"/>
        <v>356312</v>
      </c>
      <c r="I19" s="468"/>
      <c r="J19" s="1688">
        <f>SUM(J17:J18)</f>
        <v>65253</v>
      </c>
      <c r="K19" s="1688">
        <f>SUM(K17:K18)</f>
        <v>0</v>
      </c>
      <c r="L19" s="347"/>
    </row>
    <row r="20" spans="1:12" ht="16.5" thickTop="1" thickBot="1" x14ac:dyDescent="0.25">
      <c r="A20" s="2086" t="s">
        <v>1624</v>
      </c>
      <c r="B20" s="2087"/>
      <c r="C20" s="1746">
        <f>C8-C17</f>
        <v>68743</v>
      </c>
      <c r="D20" s="1746">
        <f t="shared" ref="D20:K20" si="5">D8-D17</f>
        <v>-25027</v>
      </c>
      <c r="E20" s="1746">
        <f t="shared" si="5"/>
        <v>-2200</v>
      </c>
      <c r="F20" s="1746">
        <f t="shared" si="5"/>
        <v>-6320</v>
      </c>
      <c r="G20" s="1746">
        <f t="shared" si="5"/>
        <v>-1831</v>
      </c>
      <c r="H20" s="1746">
        <f t="shared" si="5"/>
        <v>-94913</v>
      </c>
      <c r="I20" s="1746">
        <f t="shared" si="5"/>
        <v>57532</v>
      </c>
      <c r="J20" s="1746">
        <f t="shared" si="5"/>
        <v>247978</v>
      </c>
      <c r="K20" s="1746">
        <f t="shared" si="5"/>
        <v>0</v>
      </c>
      <c r="L20" s="347"/>
    </row>
    <row r="21" spans="1:12" ht="16.7" customHeight="1" thickTop="1" x14ac:dyDescent="0.2">
      <c r="A21" s="2098" t="s">
        <v>595</v>
      </c>
      <c r="B21" s="2099"/>
      <c r="C21" s="1570"/>
      <c r="D21" s="1571"/>
      <c r="E21" s="1571"/>
      <c r="F21" s="1571"/>
      <c r="G21" s="1571"/>
      <c r="H21" s="1571"/>
      <c r="I21" s="1571"/>
      <c r="J21" s="1571"/>
      <c r="K21" s="1572"/>
      <c r="L21" s="524"/>
    </row>
    <row r="22" spans="1:12" ht="15.75" customHeight="1" collapsed="1" x14ac:dyDescent="0.2">
      <c r="A22" s="2094" t="s">
        <v>596</v>
      </c>
      <c r="B22" s="2095"/>
      <c r="C22" s="477"/>
      <c r="D22" s="477"/>
      <c r="E22" s="477"/>
      <c r="F22" s="477"/>
      <c r="G22" s="477"/>
      <c r="H22" s="477"/>
      <c r="I22" s="477"/>
      <c r="J22" s="477"/>
      <c r="K22" s="477"/>
      <c r="L22" s="347"/>
    </row>
    <row r="23" spans="1:12" s="485" customFormat="1" ht="15.75" customHeight="1" x14ac:dyDescent="0.2">
      <c r="A23" s="2090" t="s">
        <v>293</v>
      </c>
      <c r="B23" s="2091"/>
      <c r="C23" s="480"/>
      <c r="D23" s="477"/>
      <c r="E23" s="477"/>
      <c r="F23" s="477"/>
      <c r="G23" s="477"/>
      <c r="H23" s="477"/>
      <c r="I23" s="477"/>
      <c r="J23" s="477"/>
      <c r="K23" s="477"/>
      <c r="L23" s="524"/>
    </row>
    <row r="24" spans="1:12" s="485" customFormat="1" ht="13.5" customHeight="1" x14ac:dyDescent="0.2">
      <c r="A24" s="1489" t="s">
        <v>1625</v>
      </c>
      <c r="B24" s="525">
        <v>7110</v>
      </c>
      <c r="C24" s="467"/>
      <c r="D24" s="477"/>
      <c r="E24" s="477"/>
      <c r="F24" s="477"/>
      <c r="G24" s="477"/>
      <c r="H24" s="477"/>
      <c r="I24" s="477"/>
      <c r="J24" s="477"/>
      <c r="K24" s="477"/>
      <c r="L24" s="524"/>
    </row>
    <row r="25" spans="1:12" s="485" customFormat="1" ht="13.5" customHeight="1" x14ac:dyDescent="0.2">
      <c r="A25" s="1489" t="s">
        <v>1626</v>
      </c>
      <c r="B25" s="525">
        <v>7110</v>
      </c>
      <c r="C25" s="467"/>
      <c r="D25" s="467"/>
      <c r="E25" s="467"/>
      <c r="F25" s="467"/>
      <c r="G25" s="467"/>
      <c r="H25" s="467"/>
      <c r="I25" s="477"/>
      <c r="J25" s="467"/>
      <c r="K25" s="467"/>
      <c r="L25" s="524"/>
    </row>
    <row r="26" spans="1:12" s="485" customFormat="1" ht="13.5" customHeight="1" x14ac:dyDescent="0.2">
      <c r="A26" s="1489" t="s">
        <v>184</v>
      </c>
      <c r="B26" s="483">
        <v>7120</v>
      </c>
      <c r="C26" s="467">
        <v>3030</v>
      </c>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1384</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1759</v>
      </c>
      <c r="B30" s="527">
        <v>7160</v>
      </c>
      <c r="C30" s="477"/>
      <c r="D30" s="467"/>
      <c r="E30" s="477"/>
      <c r="F30" s="477"/>
      <c r="G30" s="477"/>
      <c r="H30" s="477"/>
      <c r="I30" s="477"/>
      <c r="J30" s="477"/>
      <c r="K30" s="477"/>
      <c r="L30" s="524"/>
    </row>
    <row r="31" spans="1:12" s="485" customFormat="1" ht="26.25" x14ac:dyDescent="0.2">
      <c r="A31" s="1489" t="s">
        <v>1763</v>
      </c>
      <c r="B31" s="527">
        <v>7170</v>
      </c>
      <c r="C31" s="477"/>
      <c r="D31" s="477"/>
      <c r="E31" s="474"/>
      <c r="F31" s="477"/>
      <c r="G31" s="477"/>
      <c r="H31" s="477"/>
      <c r="I31" s="477"/>
      <c r="J31" s="477"/>
      <c r="K31" s="477"/>
      <c r="L31" s="524"/>
    </row>
    <row r="32" spans="1:12" s="485" customFormat="1" ht="15.75" customHeight="1" x14ac:dyDescent="0.2">
      <c r="A32" s="2092" t="s">
        <v>981</v>
      </c>
      <c r="B32" s="2093"/>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1627</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v>71383</v>
      </c>
      <c r="D43" s="467"/>
      <c r="E43" s="467"/>
      <c r="F43" s="467"/>
      <c r="G43" s="467"/>
      <c r="H43" s="467"/>
      <c r="I43" s="467"/>
      <c r="J43" s="467"/>
      <c r="K43" s="467"/>
      <c r="L43" s="524"/>
    </row>
    <row r="44" spans="1:12" s="485" customFormat="1" ht="13.5" customHeight="1" thickBot="1" x14ac:dyDescent="0.25">
      <c r="A44" s="2100" t="s">
        <v>374</v>
      </c>
      <c r="B44" s="2101"/>
      <c r="C44" s="1703">
        <f>SUM(C24:C43)</f>
        <v>74413</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094" t="s">
        <v>108</v>
      </c>
      <c r="B45" s="2095"/>
      <c r="C45" s="528"/>
      <c r="D45" s="528"/>
      <c r="E45" s="528"/>
      <c r="F45" s="528"/>
      <c r="G45" s="528"/>
      <c r="H45" s="528"/>
      <c r="I45" s="528"/>
      <c r="J45" s="528"/>
      <c r="K45" s="528"/>
      <c r="L45" s="347"/>
    </row>
    <row r="46" spans="1:12" s="485" customFormat="1" ht="15.75" customHeight="1" x14ac:dyDescent="0.2">
      <c r="A46" s="2102" t="s">
        <v>109</v>
      </c>
      <c r="B46" s="2103"/>
      <c r="C46" s="477"/>
      <c r="D46" s="477"/>
      <c r="E46" s="477"/>
      <c r="F46" s="477"/>
      <c r="G46" s="477"/>
      <c r="H46" s="477"/>
      <c r="I46" s="480"/>
      <c r="J46" s="477"/>
      <c r="K46" s="477"/>
      <c r="L46" s="529"/>
    </row>
    <row r="47" spans="1:12" s="485" customFormat="1" ht="15" x14ac:dyDescent="0.2">
      <c r="A47" s="1490" t="s">
        <v>1628</v>
      </c>
      <c r="B47" s="483">
        <v>8110</v>
      </c>
      <c r="C47" s="477"/>
      <c r="D47" s="477"/>
      <c r="E47" s="477"/>
      <c r="F47" s="477"/>
      <c r="G47" s="477"/>
      <c r="H47" s="477"/>
      <c r="I47" s="1743">
        <f>SUM(C24,C25:H25,J25:K25)</f>
        <v>0</v>
      </c>
      <c r="J47" s="477"/>
      <c r="K47" s="477"/>
      <c r="L47" s="529"/>
    </row>
    <row r="48" spans="1:12" s="485" customFormat="1" ht="15" x14ac:dyDescent="0.2">
      <c r="A48" s="1490" t="s">
        <v>1629</v>
      </c>
      <c r="B48" s="483">
        <v>8120</v>
      </c>
      <c r="C48" s="480"/>
      <c r="D48" s="480"/>
      <c r="E48" s="477"/>
      <c r="F48" s="480"/>
      <c r="G48" s="477"/>
      <c r="H48" s="477"/>
      <c r="I48" s="1743">
        <f>SUM(C26:H26,J26,K26)</f>
        <v>3030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1384</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1762</v>
      </c>
      <c r="B52" s="483">
        <v>8160</v>
      </c>
      <c r="C52" s="477"/>
      <c r="D52" s="477"/>
      <c r="E52" s="477"/>
      <c r="F52" s="477"/>
      <c r="G52" s="477"/>
      <c r="H52" s="477"/>
      <c r="I52" s="477"/>
      <c r="J52" s="477"/>
      <c r="K52" s="1743">
        <f>D30</f>
        <v>0</v>
      </c>
      <c r="L52" s="524"/>
    </row>
    <row r="53" spans="1:12" s="485" customFormat="1" ht="26.25" x14ac:dyDescent="0.2">
      <c r="A53" s="1490" t="s">
        <v>1761</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v>71383</v>
      </c>
      <c r="K75" s="532"/>
      <c r="L75" s="524"/>
    </row>
    <row r="76" spans="1:12" s="485" customFormat="1" ht="14.25" thickTop="1" thickBot="1" x14ac:dyDescent="0.25">
      <c r="A76" s="2076" t="s">
        <v>440</v>
      </c>
      <c r="B76" s="2077"/>
      <c r="C76" s="1703">
        <f t="shared" ref="C76:K76" si="7">SUM(C47:C75)</f>
        <v>0</v>
      </c>
      <c r="D76" s="1703">
        <f t="shared" si="7"/>
        <v>0</v>
      </c>
      <c r="E76" s="1703">
        <f t="shared" si="7"/>
        <v>0</v>
      </c>
      <c r="F76" s="1703">
        <f t="shared" si="7"/>
        <v>0</v>
      </c>
      <c r="G76" s="1703">
        <f t="shared" si="7"/>
        <v>0</v>
      </c>
      <c r="H76" s="1703">
        <f t="shared" si="7"/>
        <v>0</v>
      </c>
      <c r="I76" s="1703">
        <f t="shared" si="7"/>
        <v>3030</v>
      </c>
      <c r="J76" s="1703">
        <f t="shared" si="7"/>
        <v>71383</v>
      </c>
      <c r="K76" s="1703">
        <f t="shared" si="7"/>
        <v>0</v>
      </c>
      <c r="L76" s="524"/>
    </row>
    <row r="77" spans="1:12" ht="14.25" thickTop="1" thickBot="1" x14ac:dyDescent="0.25">
      <c r="A77" s="2078" t="s">
        <v>1177</v>
      </c>
      <c r="B77" s="2079"/>
      <c r="C77" s="1703">
        <f t="shared" ref="C77:K77" si="8">C44-C76</f>
        <v>74413</v>
      </c>
      <c r="D77" s="1703">
        <f t="shared" si="8"/>
        <v>0</v>
      </c>
      <c r="E77" s="1703">
        <f t="shared" si="8"/>
        <v>0</v>
      </c>
      <c r="F77" s="1703">
        <f t="shared" si="8"/>
        <v>0</v>
      </c>
      <c r="G77" s="1703">
        <f t="shared" si="8"/>
        <v>0</v>
      </c>
      <c r="H77" s="1703">
        <f t="shared" si="8"/>
        <v>0</v>
      </c>
      <c r="I77" s="1703">
        <f t="shared" si="8"/>
        <v>-3030</v>
      </c>
      <c r="J77" s="1703">
        <f t="shared" si="8"/>
        <v>-71383</v>
      </c>
      <c r="K77" s="1703">
        <f t="shared" si="8"/>
        <v>0</v>
      </c>
      <c r="L77" s="347"/>
    </row>
    <row r="78" spans="1:12" ht="21.75" customHeight="1" thickTop="1" thickBot="1" x14ac:dyDescent="0.25">
      <c r="A78" s="2082" t="s">
        <v>597</v>
      </c>
      <c r="B78" s="2083"/>
      <c r="C78" s="1702">
        <f t="shared" ref="C78:K78" si="9">C20+C77</f>
        <v>143156</v>
      </c>
      <c r="D78" s="1702">
        <f t="shared" si="9"/>
        <v>-25027</v>
      </c>
      <c r="E78" s="1702">
        <f t="shared" si="9"/>
        <v>-2200</v>
      </c>
      <c r="F78" s="1702">
        <f t="shared" si="9"/>
        <v>-6320</v>
      </c>
      <c r="G78" s="1702">
        <f t="shared" si="9"/>
        <v>-1831</v>
      </c>
      <c r="H78" s="1702">
        <f t="shared" si="9"/>
        <v>-94913</v>
      </c>
      <c r="I78" s="1702">
        <f t="shared" si="9"/>
        <v>54502</v>
      </c>
      <c r="J78" s="1702">
        <f t="shared" si="9"/>
        <v>176595</v>
      </c>
      <c r="K78" s="1702">
        <f t="shared" si="9"/>
        <v>0</v>
      </c>
      <c r="L78" s="533"/>
    </row>
    <row r="79" spans="1:12" ht="13.5" thickTop="1" x14ac:dyDescent="0.2">
      <c r="A79" s="1494" t="s">
        <v>1912</v>
      </c>
      <c r="B79" s="534"/>
      <c r="C79" s="478">
        <v>1022550</v>
      </c>
      <c r="D79" s="535">
        <v>490799</v>
      </c>
      <c r="E79" s="535">
        <v>4830</v>
      </c>
      <c r="F79" s="535">
        <v>380373</v>
      </c>
      <c r="G79" s="535">
        <v>189900</v>
      </c>
      <c r="H79" s="535">
        <v>226237</v>
      </c>
      <c r="I79" s="535">
        <v>1029613</v>
      </c>
      <c r="J79" s="535">
        <v>117491</v>
      </c>
      <c r="K79" s="535">
        <v>0</v>
      </c>
      <c r="L79" s="347"/>
    </row>
    <row r="80" spans="1:12" x14ac:dyDescent="0.2">
      <c r="A80" s="2088" t="s">
        <v>1760</v>
      </c>
      <c r="B80" s="2089"/>
      <c r="C80" s="467"/>
      <c r="D80" s="467"/>
      <c r="E80" s="467"/>
      <c r="F80" s="467"/>
      <c r="G80" s="467"/>
      <c r="H80" s="467"/>
      <c r="I80" s="467"/>
      <c r="J80" s="467"/>
      <c r="K80" s="467"/>
      <c r="L80" s="347"/>
    </row>
    <row r="81" spans="1:12" ht="13.5" thickBot="1" x14ac:dyDescent="0.25">
      <c r="A81" s="2080" t="s">
        <v>1913</v>
      </c>
      <c r="B81" s="2081"/>
      <c r="C81" s="1688">
        <f>(SUM(C78:C80))</f>
        <v>1165706</v>
      </c>
      <c r="D81" s="1688">
        <f>SUM(D78:D80)</f>
        <v>465772</v>
      </c>
      <c r="E81" s="1688">
        <f t="shared" ref="E81:K81" si="10">SUM(E78:E80)</f>
        <v>2630</v>
      </c>
      <c r="F81" s="1688">
        <f t="shared" si="10"/>
        <v>374053</v>
      </c>
      <c r="G81" s="1688">
        <f t="shared" si="10"/>
        <v>188069</v>
      </c>
      <c r="H81" s="1688">
        <f t="shared" si="10"/>
        <v>131324</v>
      </c>
      <c r="I81" s="1688">
        <f t="shared" si="10"/>
        <v>1084115</v>
      </c>
      <c r="J81" s="1688">
        <f t="shared" si="10"/>
        <v>294086</v>
      </c>
      <c r="K81" s="1688">
        <f t="shared" si="10"/>
        <v>0</v>
      </c>
      <c r="L81" s="347"/>
    </row>
    <row r="82" spans="1:12" ht="0.75" customHeight="1" thickTop="1" thickBot="1" x14ac:dyDescent="0.25">
      <c r="A82" s="536" t="s">
        <v>343</v>
      </c>
      <c r="B82" s="537"/>
      <c r="C82" s="538">
        <f>(C81-C79)</f>
        <v>143156</v>
      </c>
      <c r="D82" s="538">
        <f t="shared" ref="D82:K82" si="11">(D81-D79)</f>
        <v>-25027</v>
      </c>
      <c r="E82" s="538">
        <f t="shared" si="11"/>
        <v>-2200</v>
      </c>
      <c r="F82" s="538">
        <f t="shared" si="11"/>
        <v>-6320</v>
      </c>
      <c r="G82" s="538">
        <f t="shared" si="11"/>
        <v>-1831</v>
      </c>
      <c r="H82" s="538">
        <f t="shared" si="11"/>
        <v>-94913</v>
      </c>
      <c r="I82" s="538">
        <f t="shared" si="11"/>
        <v>54502</v>
      </c>
      <c r="J82" s="538">
        <f t="shared" si="11"/>
        <v>176595</v>
      </c>
      <c r="K82" s="538">
        <f t="shared" si="11"/>
        <v>0</v>
      </c>
    </row>
    <row r="83" spans="1:12" ht="14.25" hidden="1" thickTop="1" thickBot="1" x14ac:dyDescent="0.25">
      <c r="A83" s="539" t="s">
        <v>344</v>
      </c>
      <c r="B83" s="464"/>
      <c r="C83" s="540">
        <f>C82/C81</f>
        <v>0.12280626504453096</v>
      </c>
      <c r="D83" s="540">
        <f t="shared" ref="D83:K83" si="12">D82/D81</f>
        <v>-5.3732298205989196E-2</v>
      </c>
      <c r="E83" s="540">
        <f t="shared" si="12"/>
        <v>-0.83650190114068446</v>
      </c>
      <c r="F83" s="540">
        <f t="shared" si="12"/>
        <v>-1.6896001368789985E-2</v>
      </c>
      <c r="G83" s="540">
        <f t="shared" si="12"/>
        <v>-9.7357884606181777E-3</v>
      </c>
      <c r="H83" s="540">
        <f t="shared" si="12"/>
        <v>-0.72273917943407151</v>
      </c>
      <c r="I83" s="540">
        <f t="shared" si="12"/>
        <v>5.0273264367710069E-2</v>
      </c>
      <c r="J83" s="540">
        <f t="shared" si="12"/>
        <v>0.60048761246710147</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2019 &amp;R&amp;8Page &amp;P</oddHeader>
    <oddFooter>&amp;L&amp;8Print Date: &amp;D
&amp;F&amp;CSee Notes to the Accompanying Financial Statements.</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110" zoomScaleNormal="110" zoomScaleSheetLayoutView="75" workbookViewId="0">
      <pane ySplit="2" topLeftCell="A45" activePane="bottomLeft" state="frozen"/>
      <selection activeCell="X29" sqref="X29"/>
      <selection pane="bottomLeft" activeCell="D65" sqref="D6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084" t="s">
        <v>1767</v>
      </c>
      <c r="B1" s="452"/>
      <c r="C1" s="453" t="s">
        <v>425</v>
      </c>
      <c r="D1" s="453" t="s">
        <v>426</v>
      </c>
      <c r="E1" s="453" t="s">
        <v>427</v>
      </c>
      <c r="F1" s="453" t="s">
        <v>428</v>
      </c>
      <c r="G1" s="453" t="s">
        <v>429</v>
      </c>
      <c r="H1" s="453" t="s">
        <v>430</v>
      </c>
      <c r="I1" s="453" t="s">
        <v>431</v>
      </c>
      <c r="J1" s="453" t="s">
        <v>432</v>
      </c>
      <c r="K1" s="453" t="s">
        <v>756</v>
      </c>
    </row>
    <row r="2" spans="1:12" ht="36" x14ac:dyDescent="0.2">
      <c r="A2" s="2085"/>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1630</v>
      </c>
      <c r="B5" s="547"/>
      <c r="C5" s="481">
        <v>2594183</v>
      </c>
      <c r="D5" s="481">
        <v>272501</v>
      </c>
      <c r="E5" s="466">
        <v>210548</v>
      </c>
      <c r="F5" s="548">
        <v>130802</v>
      </c>
      <c r="G5" s="466">
        <v>49338</v>
      </c>
      <c r="H5" s="466"/>
      <c r="I5" s="466">
        <v>54502</v>
      </c>
      <c r="J5" s="467">
        <v>310787</v>
      </c>
      <c r="K5" s="466"/>
    </row>
    <row r="6" spans="1:12" ht="15" x14ac:dyDescent="0.2">
      <c r="A6" s="463" t="s">
        <v>1631</v>
      </c>
      <c r="B6" s="470">
        <v>1130</v>
      </c>
      <c r="C6" s="466"/>
      <c r="D6" s="466"/>
      <c r="E6" s="475"/>
      <c r="F6" s="475"/>
      <c r="G6" s="468"/>
      <c r="H6" s="468"/>
      <c r="I6" s="468"/>
      <c r="J6" s="468"/>
      <c r="K6" s="468"/>
    </row>
    <row r="7" spans="1:12" x14ac:dyDescent="0.2">
      <c r="A7" s="463" t="s">
        <v>110</v>
      </c>
      <c r="B7" s="549">
        <v>1140</v>
      </c>
      <c r="C7" s="466">
        <v>21800</v>
      </c>
      <c r="D7" s="466"/>
      <c r="E7" s="468"/>
      <c r="F7" s="467"/>
      <c r="G7" s="467"/>
      <c r="H7" s="467"/>
      <c r="I7" s="468"/>
      <c r="J7" s="468"/>
      <c r="K7" s="468"/>
    </row>
    <row r="8" spans="1:12" x14ac:dyDescent="0.2">
      <c r="A8" s="463" t="s">
        <v>413</v>
      </c>
      <c r="B8" s="470">
        <v>1150</v>
      </c>
      <c r="C8" s="475"/>
      <c r="D8" s="475"/>
      <c r="E8" s="477"/>
      <c r="F8" s="477"/>
      <c r="G8" s="481">
        <v>49338</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3.15" customHeight="1" thickBot="1" x14ac:dyDescent="0.25">
      <c r="A12" s="1705" t="s">
        <v>29</v>
      </c>
      <c r="B12" s="1706"/>
      <c r="C12" s="1707">
        <f t="shared" ref="C12:K12" si="0">SUM(C5:C11)</f>
        <v>2615983</v>
      </c>
      <c r="D12" s="1707">
        <f t="shared" si="0"/>
        <v>272501</v>
      </c>
      <c r="E12" s="1707">
        <f t="shared" si="0"/>
        <v>210548</v>
      </c>
      <c r="F12" s="1707">
        <f t="shared" si="0"/>
        <v>130802</v>
      </c>
      <c r="G12" s="1707">
        <f t="shared" si="0"/>
        <v>98676</v>
      </c>
      <c r="H12" s="1707">
        <f t="shared" si="0"/>
        <v>0</v>
      </c>
      <c r="I12" s="1707">
        <f t="shared" si="0"/>
        <v>54502</v>
      </c>
      <c r="J12" s="1707">
        <f t="shared" si="0"/>
        <v>310787</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3.15" customHeight="1" x14ac:dyDescent="0.2">
      <c r="A15" s="463" t="s">
        <v>95</v>
      </c>
      <c r="B15" s="470">
        <v>1220</v>
      </c>
      <c r="C15" s="551"/>
      <c r="D15" s="466"/>
      <c r="E15" s="466"/>
      <c r="F15" s="466"/>
      <c r="G15" s="466"/>
      <c r="H15" s="466"/>
      <c r="I15" s="466"/>
      <c r="J15" s="467"/>
      <c r="K15" s="466"/>
    </row>
    <row r="16" spans="1:12" ht="15" customHeight="1" x14ac:dyDescent="0.2">
      <c r="A16" s="463" t="s">
        <v>1632</v>
      </c>
      <c r="B16" s="549">
        <v>1230</v>
      </c>
      <c r="C16" s="551"/>
      <c r="D16" s="466">
        <v>124700</v>
      </c>
      <c r="E16" s="466"/>
      <c r="F16" s="466"/>
      <c r="G16" s="466">
        <v>40000</v>
      </c>
      <c r="H16" s="466"/>
      <c r="I16" s="466"/>
      <c r="J16" s="467"/>
      <c r="K16" s="466"/>
    </row>
    <row r="17" spans="1:11" ht="13.15" customHeight="1" x14ac:dyDescent="0.2">
      <c r="A17" s="463" t="s">
        <v>807</v>
      </c>
      <c r="B17" s="470">
        <v>1290</v>
      </c>
      <c r="C17" s="551">
        <v>101383</v>
      </c>
      <c r="D17" s="466"/>
      <c r="E17" s="466"/>
      <c r="F17" s="466"/>
      <c r="G17" s="466"/>
      <c r="H17" s="466"/>
      <c r="I17" s="466"/>
      <c r="J17" s="467"/>
      <c r="K17" s="466"/>
    </row>
    <row r="18" spans="1:11" ht="13.15" customHeight="1" thickBot="1" x14ac:dyDescent="0.25">
      <c r="A18" s="1708" t="s">
        <v>537</v>
      </c>
      <c r="B18" s="1709"/>
      <c r="C18" s="1710">
        <f>SUM(C14:C17)</f>
        <v>101383</v>
      </c>
      <c r="D18" s="1710">
        <f t="shared" ref="D18:K18" si="1">SUM(D14:D17)</f>
        <v>124700</v>
      </c>
      <c r="E18" s="1710">
        <f t="shared" si="1"/>
        <v>0</v>
      </c>
      <c r="F18" s="1710">
        <f t="shared" si="1"/>
        <v>0</v>
      </c>
      <c r="G18" s="1710">
        <f t="shared" si="1"/>
        <v>40000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3.15" customHeight="1" x14ac:dyDescent="0.2">
      <c r="A21" s="463" t="s">
        <v>832</v>
      </c>
      <c r="B21" s="470">
        <v>1312</v>
      </c>
      <c r="C21" s="551"/>
      <c r="D21" s="468"/>
      <c r="E21" s="468"/>
      <c r="F21" s="468"/>
      <c r="G21" s="468"/>
      <c r="H21" s="468"/>
      <c r="I21" s="468"/>
      <c r="J21" s="468"/>
      <c r="K21" s="468"/>
    </row>
    <row r="22" spans="1:11" ht="13.15" customHeight="1" x14ac:dyDescent="0.2">
      <c r="A22" s="463" t="s">
        <v>1074</v>
      </c>
      <c r="B22" s="470">
        <v>1313</v>
      </c>
      <c r="C22" s="551"/>
      <c r="D22" s="468"/>
      <c r="E22" s="468"/>
      <c r="F22" s="468"/>
      <c r="G22" s="468"/>
      <c r="H22" s="468"/>
      <c r="I22" s="468"/>
      <c r="J22" s="468"/>
      <c r="K22" s="468"/>
    </row>
    <row r="23" spans="1:11" ht="13.15" customHeight="1" x14ac:dyDescent="0.2">
      <c r="A23" s="463" t="s">
        <v>1075</v>
      </c>
      <c r="B23" s="470">
        <v>1314</v>
      </c>
      <c r="C23" s="489"/>
      <c r="D23" s="468"/>
      <c r="E23" s="468"/>
      <c r="F23" s="468"/>
      <c r="G23" s="468"/>
      <c r="H23" s="468"/>
      <c r="I23" s="468"/>
      <c r="J23" s="468"/>
      <c r="K23" s="468"/>
    </row>
    <row r="24" spans="1:11" ht="13.15" customHeight="1" x14ac:dyDescent="0.2">
      <c r="A24" s="463" t="s">
        <v>1027</v>
      </c>
      <c r="B24" s="470">
        <v>1321</v>
      </c>
      <c r="C24" s="551"/>
      <c r="D24" s="468"/>
      <c r="E24" s="468"/>
      <c r="F24" s="468"/>
      <c r="G24" s="468"/>
      <c r="H24" s="468"/>
      <c r="I24" s="468"/>
      <c r="J24" s="468"/>
      <c r="K24" s="468"/>
    </row>
    <row r="25" spans="1:11" ht="13.15" customHeight="1" x14ac:dyDescent="0.2">
      <c r="A25" s="463" t="s">
        <v>833</v>
      </c>
      <c r="B25" s="470">
        <v>1322</v>
      </c>
      <c r="C25" s="551"/>
      <c r="D25" s="468"/>
      <c r="E25" s="468"/>
      <c r="F25" s="468"/>
      <c r="G25" s="468"/>
      <c r="H25" s="468"/>
      <c r="I25" s="468"/>
      <c r="J25" s="468"/>
      <c r="K25" s="468"/>
    </row>
    <row r="26" spans="1:11" ht="13.15" customHeight="1" x14ac:dyDescent="0.2">
      <c r="A26" s="463" t="s">
        <v>1101</v>
      </c>
      <c r="B26" s="470">
        <v>1323</v>
      </c>
      <c r="C26" s="551"/>
      <c r="D26" s="468"/>
      <c r="E26" s="468"/>
      <c r="F26" s="468"/>
      <c r="G26" s="468"/>
      <c r="H26" s="468"/>
      <c r="I26" s="468"/>
      <c r="J26" s="468"/>
      <c r="K26" s="468"/>
    </row>
    <row r="27" spans="1:11" ht="13.15" customHeight="1" x14ac:dyDescent="0.2">
      <c r="A27" s="463" t="s">
        <v>1023</v>
      </c>
      <c r="B27" s="470">
        <v>1324</v>
      </c>
      <c r="C27" s="489"/>
      <c r="D27" s="468"/>
      <c r="E27" s="468"/>
      <c r="F27" s="468"/>
      <c r="G27" s="468"/>
      <c r="H27" s="468"/>
      <c r="I27" s="468"/>
      <c r="J27" s="468"/>
      <c r="K27" s="468"/>
    </row>
    <row r="28" spans="1:11" ht="13.15" customHeight="1" x14ac:dyDescent="0.2">
      <c r="A28" s="463" t="s">
        <v>1024</v>
      </c>
      <c r="B28" s="470">
        <v>1331</v>
      </c>
      <c r="C28" s="551"/>
      <c r="D28" s="468"/>
      <c r="E28" s="468"/>
      <c r="F28" s="468"/>
      <c r="G28" s="468"/>
      <c r="H28" s="468"/>
      <c r="I28" s="468"/>
      <c r="J28" s="468"/>
      <c r="K28" s="468"/>
    </row>
    <row r="29" spans="1:11" ht="13.15" customHeight="1" x14ac:dyDescent="0.2">
      <c r="A29" s="463" t="s">
        <v>834</v>
      </c>
      <c r="B29" s="470">
        <v>1332</v>
      </c>
      <c r="C29" s="551"/>
      <c r="D29" s="468"/>
      <c r="E29" s="468"/>
      <c r="F29" s="468"/>
      <c r="G29" s="468"/>
      <c r="H29" s="468"/>
      <c r="I29" s="468"/>
      <c r="J29" s="468"/>
      <c r="K29" s="468"/>
    </row>
    <row r="30" spans="1:11" ht="13.15" customHeight="1" x14ac:dyDescent="0.2">
      <c r="A30" s="463" t="s">
        <v>1026</v>
      </c>
      <c r="B30" s="470">
        <v>1333</v>
      </c>
      <c r="C30" s="551"/>
      <c r="D30" s="468"/>
      <c r="E30" s="468"/>
      <c r="F30" s="468"/>
      <c r="G30" s="468"/>
      <c r="H30" s="468"/>
      <c r="I30" s="468"/>
      <c r="J30" s="468"/>
      <c r="K30" s="468"/>
    </row>
    <row r="31" spans="1:11" ht="13.15" customHeight="1" x14ac:dyDescent="0.2">
      <c r="A31" s="463" t="s">
        <v>1025</v>
      </c>
      <c r="B31" s="470">
        <v>1334</v>
      </c>
      <c r="C31" s="489"/>
      <c r="D31" s="468"/>
      <c r="E31" s="468"/>
      <c r="F31" s="468"/>
      <c r="G31" s="468"/>
      <c r="H31" s="468"/>
      <c r="I31" s="468"/>
      <c r="J31" s="468"/>
      <c r="K31" s="468"/>
    </row>
    <row r="32" spans="1:11" ht="13.15" customHeight="1" x14ac:dyDescent="0.2">
      <c r="A32" s="463" t="s">
        <v>494</v>
      </c>
      <c r="B32" s="470">
        <v>1341</v>
      </c>
      <c r="C32" s="551"/>
      <c r="D32" s="468"/>
      <c r="E32" s="468"/>
      <c r="F32" s="468"/>
      <c r="G32" s="468"/>
      <c r="H32" s="468"/>
      <c r="I32" s="468"/>
      <c r="J32" s="468"/>
      <c r="K32" s="468"/>
    </row>
    <row r="33" spans="1:11" ht="13.15" customHeight="1" x14ac:dyDescent="0.2">
      <c r="A33" s="463" t="s">
        <v>835</v>
      </c>
      <c r="B33" s="470">
        <v>1342</v>
      </c>
      <c r="C33" s="551">
        <v>57482</v>
      </c>
      <c r="D33" s="468"/>
      <c r="E33" s="468"/>
      <c r="F33" s="468"/>
      <c r="G33" s="468"/>
      <c r="H33" s="468"/>
      <c r="I33" s="468"/>
      <c r="J33" s="468"/>
      <c r="K33" s="468"/>
    </row>
    <row r="34" spans="1:11" ht="13.15" customHeight="1" x14ac:dyDescent="0.2">
      <c r="A34" s="463" t="s">
        <v>495</v>
      </c>
      <c r="B34" s="470">
        <v>1343</v>
      </c>
      <c r="C34" s="551"/>
      <c r="D34" s="468"/>
      <c r="E34" s="468"/>
      <c r="F34" s="468"/>
      <c r="G34" s="468"/>
      <c r="H34" s="468"/>
      <c r="I34" s="468"/>
      <c r="J34" s="468"/>
      <c r="K34" s="468"/>
    </row>
    <row r="35" spans="1:11" ht="13.15" customHeight="1" x14ac:dyDescent="0.2">
      <c r="A35" s="463" t="s">
        <v>493</v>
      </c>
      <c r="B35" s="470">
        <v>1344</v>
      </c>
      <c r="C35" s="489"/>
      <c r="D35" s="468"/>
      <c r="E35" s="468"/>
      <c r="F35" s="468"/>
      <c r="G35" s="468"/>
      <c r="H35" s="468"/>
      <c r="I35" s="468"/>
      <c r="J35" s="468"/>
      <c r="K35" s="468"/>
    </row>
    <row r="36" spans="1:11" ht="13.15" customHeight="1" x14ac:dyDescent="0.2">
      <c r="A36" s="463" t="s">
        <v>831</v>
      </c>
      <c r="B36" s="470">
        <v>1351</v>
      </c>
      <c r="C36" s="551"/>
      <c r="D36" s="468"/>
      <c r="E36" s="468"/>
      <c r="F36" s="468"/>
      <c r="G36" s="468"/>
      <c r="H36" s="468"/>
      <c r="I36" s="468"/>
      <c r="J36" s="468"/>
      <c r="K36" s="468"/>
    </row>
    <row r="37" spans="1:11" ht="13.15" customHeight="1" x14ac:dyDescent="0.2">
      <c r="A37" s="463" t="s">
        <v>836</v>
      </c>
      <c r="B37" s="470">
        <v>1352</v>
      </c>
      <c r="C37" s="551"/>
      <c r="D37" s="468"/>
      <c r="E37" s="468"/>
      <c r="F37" s="468"/>
      <c r="G37" s="468"/>
      <c r="H37" s="468"/>
      <c r="I37" s="468"/>
      <c r="J37" s="468"/>
      <c r="K37" s="468"/>
    </row>
    <row r="38" spans="1:11" ht="13.15" customHeight="1" x14ac:dyDescent="0.2">
      <c r="A38" s="463" t="s">
        <v>593</v>
      </c>
      <c r="B38" s="470">
        <v>1353</v>
      </c>
      <c r="C38" s="551"/>
      <c r="D38" s="468"/>
      <c r="E38" s="468"/>
      <c r="F38" s="468"/>
      <c r="G38" s="468"/>
      <c r="H38" s="468"/>
      <c r="I38" s="468"/>
      <c r="J38" s="468"/>
      <c r="K38" s="468"/>
    </row>
    <row r="39" spans="1:11" ht="13.15" customHeight="1" x14ac:dyDescent="0.2">
      <c r="A39" s="1495" t="s">
        <v>594</v>
      </c>
      <c r="B39" s="556">
        <v>1354</v>
      </c>
      <c r="C39" s="489"/>
      <c r="D39" s="468"/>
      <c r="E39" s="468"/>
      <c r="F39" s="468"/>
      <c r="G39" s="468"/>
      <c r="H39" s="468"/>
      <c r="I39" s="468"/>
      <c r="J39" s="468"/>
      <c r="K39" s="468"/>
    </row>
    <row r="40" spans="1:11" ht="13.15" customHeight="1" thickBot="1" x14ac:dyDescent="0.25">
      <c r="A40" s="1708" t="s">
        <v>538</v>
      </c>
      <c r="B40" s="1709"/>
      <c r="C40" s="1688">
        <f>SUM(C20:C39)</f>
        <v>57482</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3.15" customHeight="1" x14ac:dyDescent="0.2">
      <c r="A42" s="463" t="s">
        <v>1076</v>
      </c>
      <c r="B42" s="470">
        <v>1411</v>
      </c>
      <c r="C42" s="468"/>
      <c r="D42" s="468"/>
      <c r="E42" s="468"/>
      <c r="F42" s="481"/>
      <c r="G42" s="468"/>
      <c r="H42" s="468"/>
      <c r="I42" s="468"/>
      <c r="J42" s="468"/>
      <c r="K42" s="468"/>
    </row>
    <row r="43" spans="1:11" ht="13.15" customHeight="1" x14ac:dyDescent="0.2">
      <c r="A43" s="463" t="s">
        <v>837</v>
      </c>
      <c r="B43" s="470">
        <v>1412</v>
      </c>
      <c r="C43" s="468"/>
      <c r="D43" s="468"/>
      <c r="E43" s="468"/>
      <c r="F43" s="466"/>
      <c r="G43" s="468"/>
      <c r="H43" s="468"/>
      <c r="I43" s="468"/>
      <c r="J43" s="468"/>
      <c r="K43" s="468"/>
    </row>
    <row r="44" spans="1:11" ht="13.15" customHeight="1" x14ac:dyDescent="0.2">
      <c r="A44" s="463" t="s">
        <v>384</v>
      </c>
      <c r="B44" s="470">
        <v>1413</v>
      </c>
      <c r="C44" s="468"/>
      <c r="D44" s="468"/>
      <c r="E44" s="468"/>
      <c r="F44" s="466"/>
      <c r="G44" s="468"/>
      <c r="H44" s="468"/>
      <c r="I44" s="468"/>
      <c r="J44" s="468"/>
      <c r="K44" s="468"/>
    </row>
    <row r="45" spans="1:11" ht="13.15" customHeight="1" x14ac:dyDescent="0.2">
      <c r="A45" s="463" t="s">
        <v>240</v>
      </c>
      <c r="B45" s="470">
        <v>1415</v>
      </c>
      <c r="C45" s="468"/>
      <c r="D45" s="468"/>
      <c r="E45" s="468"/>
      <c r="F45" s="466"/>
      <c r="G45" s="468"/>
      <c r="H45" s="468"/>
      <c r="I45" s="468"/>
      <c r="J45" s="468"/>
      <c r="K45" s="468"/>
    </row>
    <row r="46" spans="1:11" ht="13.15" customHeight="1" x14ac:dyDescent="0.2">
      <c r="A46" s="463" t="s">
        <v>1174</v>
      </c>
      <c r="B46" s="470">
        <v>1416</v>
      </c>
      <c r="C46" s="468"/>
      <c r="D46" s="468"/>
      <c r="E46" s="468"/>
      <c r="F46" s="467"/>
      <c r="G46" s="468"/>
      <c r="H46" s="468"/>
      <c r="I46" s="468"/>
      <c r="J46" s="468"/>
      <c r="K46" s="468"/>
    </row>
    <row r="47" spans="1:11" ht="13.15" customHeight="1" x14ac:dyDescent="0.2">
      <c r="A47" s="463" t="s">
        <v>57</v>
      </c>
      <c r="B47" s="470">
        <v>1421</v>
      </c>
      <c r="C47" s="468"/>
      <c r="D47" s="468"/>
      <c r="E47" s="468"/>
      <c r="F47" s="466"/>
      <c r="G47" s="468"/>
      <c r="H47" s="468"/>
      <c r="I47" s="468"/>
      <c r="J47" s="468"/>
      <c r="K47" s="468"/>
    </row>
    <row r="48" spans="1:11" ht="13.15" customHeight="1" x14ac:dyDescent="0.2">
      <c r="A48" s="463" t="s">
        <v>838</v>
      </c>
      <c r="B48" s="470">
        <v>1422</v>
      </c>
      <c r="C48" s="468"/>
      <c r="D48" s="468"/>
      <c r="E48" s="468"/>
      <c r="F48" s="466"/>
      <c r="G48" s="468"/>
      <c r="H48" s="468"/>
      <c r="I48" s="468"/>
      <c r="J48" s="468"/>
      <c r="K48" s="468"/>
    </row>
    <row r="49" spans="1:11" ht="13.15" customHeight="1" x14ac:dyDescent="0.2">
      <c r="A49" s="463" t="s">
        <v>58</v>
      </c>
      <c r="B49" s="470">
        <v>1423</v>
      </c>
      <c r="C49" s="468"/>
      <c r="D49" s="468"/>
      <c r="E49" s="468"/>
      <c r="F49" s="466"/>
      <c r="G49" s="468"/>
      <c r="H49" s="468"/>
      <c r="I49" s="468"/>
      <c r="J49" s="468"/>
      <c r="K49" s="468"/>
    </row>
    <row r="50" spans="1:11" ht="13.15" customHeight="1" x14ac:dyDescent="0.2">
      <c r="A50" s="463" t="s">
        <v>59</v>
      </c>
      <c r="B50" s="470">
        <v>1424</v>
      </c>
      <c r="C50" s="468"/>
      <c r="D50" s="468"/>
      <c r="E50" s="468"/>
      <c r="F50" s="467"/>
      <c r="G50" s="468"/>
      <c r="H50" s="468"/>
      <c r="I50" s="468"/>
      <c r="J50" s="468"/>
      <c r="K50" s="468"/>
    </row>
    <row r="51" spans="1:11" ht="13.15" customHeight="1" x14ac:dyDescent="0.2">
      <c r="A51" s="1496" t="s">
        <v>60</v>
      </c>
      <c r="B51" s="557">
        <v>1431</v>
      </c>
      <c r="C51" s="468"/>
      <c r="D51" s="468"/>
      <c r="E51" s="468"/>
      <c r="F51" s="466"/>
      <c r="G51" s="468"/>
      <c r="H51" s="468"/>
      <c r="I51" s="468"/>
      <c r="J51" s="468"/>
      <c r="K51" s="468"/>
    </row>
    <row r="52" spans="1:11" ht="13.15" customHeight="1" x14ac:dyDescent="0.2">
      <c r="A52" s="1496" t="s">
        <v>1106</v>
      </c>
      <c r="B52" s="557">
        <v>1432</v>
      </c>
      <c r="C52" s="468"/>
      <c r="D52" s="468"/>
      <c r="E52" s="468"/>
      <c r="F52" s="466"/>
      <c r="G52" s="468"/>
      <c r="H52" s="468"/>
      <c r="I52" s="468"/>
      <c r="J52" s="468"/>
      <c r="K52" s="468"/>
    </row>
    <row r="53" spans="1:11" ht="13.15" customHeight="1" x14ac:dyDescent="0.2">
      <c r="A53" s="1496" t="s">
        <v>61</v>
      </c>
      <c r="B53" s="557">
        <v>1433</v>
      </c>
      <c r="C53" s="468"/>
      <c r="D53" s="468"/>
      <c r="E53" s="468"/>
      <c r="F53" s="466"/>
      <c r="G53" s="468"/>
      <c r="H53" s="468"/>
      <c r="I53" s="468"/>
      <c r="J53" s="468"/>
      <c r="K53" s="468"/>
    </row>
    <row r="54" spans="1:11" ht="13.15" customHeight="1" x14ac:dyDescent="0.2">
      <c r="A54" s="1496" t="s">
        <v>62</v>
      </c>
      <c r="B54" s="557">
        <v>1434</v>
      </c>
      <c r="C54" s="468"/>
      <c r="D54" s="468"/>
      <c r="E54" s="468"/>
      <c r="F54" s="467"/>
      <c r="G54" s="468"/>
      <c r="H54" s="468"/>
      <c r="I54" s="468"/>
      <c r="J54" s="468"/>
      <c r="K54" s="468"/>
    </row>
    <row r="55" spans="1:11" ht="13.15" customHeight="1" x14ac:dyDescent="0.2">
      <c r="A55" s="1496" t="s">
        <v>63</v>
      </c>
      <c r="B55" s="557">
        <v>1441</v>
      </c>
      <c r="C55" s="468"/>
      <c r="D55" s="468"/>
      <c r="E55" s="468"/>
      <c r="F55" s="466"/>
      <c r="G55" s="468"/>
      <c r="H55" s="468"/>
      <c r="I55" s="468"/>
      <c r="J55" s="468"/>
      <c r="K55" s="468"/>
    </row>
    <row r="56" spans="1:11" ht="13.15" customHeight="1" x14ac:dyDescent="0.2">
      <c r="A56" s="1496" t="s">
        <v>1107</v>
      </c>
      <c r="B56" s="557">
        <v>1442</v>
      </c>
      <c r="C56" s="468"/>
      <c r="D56" s="468"/>
      <c r="E56" s="468"/>
      <c r="F56" s="466"/>
      <c r="G56" s="468"/>
      <c r="H56" s="468"/>
      <c r="I56" s="468"/>
      <c r="J56" s="468"/>
      <c r="K56" s="468"/>
    </row>
    <row r="57" spans="1:11" ht="13.15" customHeight="1" x14ac:dyDescent="0.2">
      <c r="A57" s="1496" t="s">
        <v>489</v>
      </c>
      <c r="B57" s="557">
        <v>1443</v>
      </c>
      <c r="C57" s="468"/>
      <c r="D57" s="468"/>
      <c r="E57" s="468"/>
      <c r="F57" s="466"/>
      <c r="G57" s="468"/>
      <c r="H57" s="468"/>
      <c r="I57" s="468"/>
      <c r="J57" s="468"/>
      <c r="K57" s="468"/>
    </row>
    <row r="58" spans="1:11" ht="13.15" customHeight="1" x14ac:dyDescent="0.2">
      <c r="A58" s="1496" t="s">
        <v>65</v>
      </c>
      <c r="B58" s="557">
        <v>1444</v>
      </c>
      <c r="C58" s="468"/>
      <c r="D58" s="468"/>
      <c r="E58" s="468"/>
      <c r="F58" s="466"/>
      <c r="G58" s="468"/>
      <c r="H58" s="468"/>
      <c r="I58" s="468"/>
      <c r="J58" s="468"/>
      <c r="K58" s="468"/>
    </row>
    <row r="59" spans="1:11" ht="13.15" customHeight="1" x14ac:dyDescent="0.2">
      <c r="A59" s="1496" t="s">
        <v>878</v>
      </c>
      <c r="B59" s="557">
        <v>1451</v>
      </c>
      <c r="C59" s="468"/>
      <c r="D59" s="468"/>
      <c r="E59" s="468"/>
      <c r="F59" s="466"/>
      <c r="G59" s="468"/>
      <c r="H59" s="468"/>
      <c r="I59" s="468"/>
      <c r="J59" s="468"/>
      <c r="K59" s="468"/>
    </row>
    <row r="60" spans="1:11" ht="13.15" customHeight="1" x14ac:dyDescent="0.2">
      <c r="A60" s="1496" t="s">
        <v>1108</v>
      </c>
      <c r="B60" s="557">
        <v>1452</v>
      </c>
      <c r="C60" s="468"/>
      <c r="D60" s="468"/>
      <c r="E60" s="468"/>
      <c r="F60" s="466"/>
      <c r="G60" s="468"/>
      <c r="H60" s="468"/>
      <c r="I60" s="468"/>
      <c r="J60" s="468"/>
      <c r="K60" s="468"/>
    </row>
    <row r="61" spans="1:11" ht="13.15" customHeight="1" x14ac:dyDescent="0.2">
      <c r="A61" s="563" t="s">
        <v>879</v>
      </c>
      <c r="B61" s="557">
        <v>1453</v>
      </c>
      <c r="C61" s="468"/>
      <c r="D61" s="468"/>
      <c r="E61" s="468"/>
      <c r="F61" s="466"/>
      <c r="G61" s="468"/>
      <c r="H61" s="468"/>
      <c r="I61" s="468"/>
      <c r="J61" s="468"/>
      <c r="K61" s="468"/>
    </row>
    <row r="62" spans="1:11" ht="13.15" customHeight="1" x14ac:dyDescent="0.2">
      <c r="A62" s="1497" t="s">
        <v>880</v>
      </c>
      <c r="B62" s="558">
        <v>1454</v>
      </c>
      <c r="C62" s="468"/>
      <c r="D62" s="468"/>
      <c r="E62" s="468"/>
      <c r="F62" s="467"/>
      <c r="G62" s="468"/>
      <c r="H62" s="468"/>
      <c r="I62" s="468"/>
      <c r="J62" s="468"/>
      <c r="K62" s="468"/>
    </row>
    <row r="63" spans="1:11" ht="13.1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3.15" customHeight="1" x14ac:dyDescent="0.2">
      <c r="A65" s="463" t="s">
        <v>547</v>
      </c>
      <c r="B65" s="470">
        <v>1510</v>
      </c>
      <c r="C65" s="466">
        <v>14367</v>
      </c>
      <c r="D65" s="466">
        <v>2605</v>
      </c>
      <c r="E65" s="466">
        <v>257</v>
      </c>
      <c r="F65" s="467">
        <v>3103</v>
      </c>
      <c r="G65" s="466">
        <v>1708</v>
      </c>
      <c r="H65" s="466">
        <v>1860</v>
      </c>
      <c r="I65" s="466">
        <v>3030</v>
      </c>
      <c r="J65" s="467">
        <v>2444</v>
      </c>
      <c r="K65" s="466"/>
    </row>
    <row r="66" spans="1:11" ht="13.15" customHeight="1" x14ac:dyDescent="0.2">
      <c r="A66" s="463" t="s">
        <v>679</v>
      </c>
      <c r="B66" s="470">
        <v>1520</v>
      </c>
      <c r="C66" s="466"/>
      <c r="D66" s="466"/>
      <c r="E66" s="466"/>
      <c r="F66" s="466"/>
      <c r="G66" s="466"/>
      <c r="H66" s="466"/>
      <c r="I66" s="466"/>
      <c r="J66" s="467"/>
      <c r="K66" s="466"/>
    </row>
    <row r="67" spans="1:11" ht="13.15" customHeight="1" thickBot="1" x14ac:dyDescent="0.25">
      <c r="A67" s="1708" t="s">
        <v>486</v>
      </c>
      <c r="B67" s="1709"/>
      <c r="C67" s="1688">
        <f>SUM(C65:C66)</f>
        <v>14367</v>
      </c>
      <c r="D67" s="1688">
        <f t="shared" ref="D67:K67" si="2">SUM(D65:D66)</f>
        <v>2605</v>
      </c>
      <c r="E67" s="1688">
        <f t="shared" si="2"/>
        <v>257</v>
      </c>
      <c r="F67" s="1688">
        <f t="shared" si="2"/>
        <v>3103</v>
      </c>
      <c r="G67" s="1688">
        <f t="shared" si="2"/>
        <v>1708</v>
      </c>
      <c r="H67" s="1688">
        <f t="shared" si="2"/>
        <v>1860</v>
      </c>
      <c r="I67" s="1688">
        <f t="shared" si="2"/>
        <v>3030</v>
      </c>
      <c r="J67" s="1688">
        <f t="shared" si="2"/>
        <v>2444</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3.15" customHeight="1" x14ac:dyDescent="0.2">
      <c r="A69" s="463" t="s">
        <v>666</v>
      </c>
      <c r="B69" s="470">
        <v>1611</v>
      </c>
      <c r="C69" s="466">
        <v>53500</v>
      </c>
      <c r="D69" s="468"/>
      <c r="E69" s="468"/>
      <c r="F69" s="468"/>
      <c r="G69" s="468"/>
      <c r="H69" s="468"/>
      <c r="I69" s="468"/>
      <c r="J69" s="468"/>
      <c r="K69" s="468"/>
    </row>
    <row r="70" spans="1:11" ht="13.15" customHeight="1" x14ac:dyDescent="0.2">
      <c r="A70" s="463" t="s">
        <v>997</v>
      </c>
      <c r="B70" s="470">
        <v>1612</v>
      </c>
      <c r="C70" s="551"/>
      <c r="D70" s="468"/>
      <c r="E70" s="468"/>
      <c r="F70" s="468"/>
      <c r="G70" s="468"/>
      <c r="H70" s="468"/>
      <c r="I70" s="468"/>
      <c r="J70" s="468"/>
      <c r="K70" s="468"/>
    </row>
    <row r="71" spans="1:11" ht="13.15" customHeight="1" x14ac:dyDescent="0.2">
      <c r="A71" s="463" t="s">
        <v>273</v>
      </c>
      <c r="B71" s="470">
        <v>1613</v>
      </c>
      <c r="C71" s="551"/>
      <c r="D71" s="468"/>
      <c r="E71" s="468"/>
      <c r="F71" s="468"/>
      <c r="G71" s="468"/>
      <c r="H71" s="468"/>
      <c r="I71" s="468"/>
      <c r="J71" s="468"/>
      <c r="K71" s="468"/>
    </row>
    <row r="72" spans="1:11" ht="13.15" customHeight="1" x14ac:dyDescent="0.2">
      <c r="A72" s="463" t="s">
        <v>24</v>
      </c>
      <c r="B72" s="470">
        <v>1614</v>
      </c>
      <c r="C72" s="551"/>
      <c r="D72" s="468"/>
      <c r="E72" s="468"/>
      <c r="F72" s="468"/>
      <c r="G72" s="468"/>
      <c r="H72" s="468"/>
      <c r="I72" s="468"/>
      <c r="J72" s="468"/>
      <c r="K72" s="468"/>
    </row>
    <row r="73" spans="1:11" ht="13.15" customHeight="1" x14ac:dyDescent="0.2">
      <c r="A73" s="463" t="s">
        <v>998</v>
      </c>
      <c r="B73" s="470">
        <v>1620</v>
      </c>
      <c r="C73" s="551"/>
      <c r="D73" s="468"/>
      <c r="E73" s="468"/>
      <c r="F73" s="468"/>
      <c r="G73" s="468"/>
      <c r="H73" s="468"/>
      <c r="I73" s="468"/>
      <c r="J73" s="468"/>
      <c r="K73" s="468"/>
    </row>
    <row r="74" spans="1:11" ht="13.15" customHeight="1" x14ac:dyDescent="0.2">
      <c r="A74" s="463" t="s">
        <v>25</v>
      </c>
      <c r="B74" s="470">
        <v>1690</v>
      </c>
      <c r="C74" s="551"/>
      <c r="D74" s="468"/>
      <c r="E74" s="468"/>
      <c r="F74" s="468"/>
      <c r="G74" s="468"/>
      <c r="H74" s="468"/>
      <c r="I74" s="468"/>
      <c r="J74" s="468"/>
      <c r="K74" s="468"/>
    </row>
    <row r="75" spans="1:11" ht="13.15" customHeight="1" thickBot="1" x14ac:dyDescent="0.25">
      <c r="A75" s="1708" t="s">
        <v>548</v>
      </c>
      <c r="B75" s="1709"/>
      <c r="C75" s="1688">
        <f>SUM(C69:C74)</f>
        <v>53500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3.15" customHeight="1" x14ac:dyDescent="0.2">
      <c r="A77" s="463" t="s">
        <v>549</v>
      </c>
      <c r="B77" s="470">
        <v>1711</v>
      </c>
      <c r="C77" s="516">
        <v>2484</v>
      </c>
      <c r="D77" s="466"/>
      <c r="E77" s="468"/>
      <c r="F77" s="468"/>
      <c r="G77" s="468"/>
      <c r="H77" s="468"/>
      <c r="I77" s="468"/>
      <c r="J77" s="468"/>
      <c r="K77" s="468"/>
    </row>
    <row r="78" spans="1:11" ht="13.15" customHeight="1" x14ac:dyDescent="0.2">
      <c r="A78" s="463" t="s">
        <v>76</v>
      </c>
      <c r="B78" s="470">
        <v>1719</v>
      </c>
      <c r="C78" s="551"/>
      <c r="D78" s="466"/>
      <c r="E78" s="468"/>
      <c r="F78" s="468"/>
      <c r="G78" s="468"/>
      <c r="H78" s="468"/>
      <c r="I78" s="468"/>
      <c r="J78" s="468"/>
      <c r="K78" s="468"/>
    </row>
    <row r="79" spans="1:11" ht="13.15" customHeight="1" x14ac:dyDescent="0.2">
      <c r="A79" s="463" t="s">
        <v>550</v>
      </c>
      <c r="B79" s="470">
        <v>1720</v>
      </c>
      <c r="C79" s="551">
        <v>2070</v>
      </c>
      <c r="D79" s="466"/>
      <c r="E79" s="468"/>
      <c r="F79" s="468"/>
      <c r="G79" s="468"/>
      <c r="H79" s="468"/>
      <c r="I79" s="468"/>
      <c r="J79" s="468"/>
      <c r="K79" s="468"/>
    </row>
    <row r="80" spans="1:11" ht="13.15" customHeight="1" x14ac:dyDescent="0.2">
      <c r="A80" s="463" t="s">
        <v>551</v>
      </c>
      <c r="B80" s="470">
        <v>1730</v>
      </c>
      <c r="C80" s="551"/>
      <c r="D80" s="466"/>
      <c r="E80" s="468"/>
      <c r="F80" s="468"/>
      <c r="G80" s="468"/>
      <c r="H80" s="468"/>
      <c r="I80" s="468"/>
      <c r="J80" s="468"/>
      <c r="K80" s="468"/>
    </row>
    <row r="81" spans="1:11" ht="13.15" customHeight="1" x14ac:dyDescent="0.2">
      <c r="A81" s="463" t="s">
        <v>26</v>
      </c>
      <c r="B81" s="470">
        <v>1790</v>
      </c>
      <c r="C81" s="551"/>
      <c r="D81" s="466"/>
      <c r="E81" s="468"/>
      <c r="F81" s="468"/>
      <c r="G81" s="468"/>
      <c r="H81" s="468"/>
      <c r="I81" s="468"/>
      <c r="J81" s="468"/>
      <c r="K81" s="468"/>
    </row>
    <row r="82" spans="1:11" ht="13.15" customHeight="1" thickBot="1" x14ac:dyDescent="0.25">
      <c r="A82" s="1708" t="s">
        <v>241</v>
      </c>
      <c r="B82" s="1709"/>
      <c r="C82" s="1707">
        <f>SUM(C77:C81)</f>
        <v>4554</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3.15" customHeight="1" x14ac:dyDescent="0.2">
      <c r="A84" s="463" t="s">
        <v>552</v>
      </c>
      <c r="B84" s="470">
        <v>1811</v>
      </c>
      <c r="C84" s="466">
        <v>22803</v>
      </c>
      <c r="D84" s="468"/>
      <c r="E84" s="468"/>
      <c r="F84" s="468"/>
      <c r="G84" s="468"/>
      <c r="H84" s="468"/>
      <c r="I84" s="468"/>
      <c r="J84" s="468"/>
      <c r="K84" s="468"/>
    </row>
    <row r="85" spans="1:11" ht="13.15" customHeight="1" x14ac:dyDescent="0.2">
      <c r="A85" s="463" t="s">
        <v>553</v>
      </c>
      <c r="B85" s="470">
        <v>1812</v>
      </c>
      <c r="C85" s="551"/>
      <c r="D85" s="468"/>
      <c r="E85" s="468"/>
      <c r="F85" s="468"/>
      <c r="G85" s="468"/>
      <c r="H85" s="468"/>
      <c r="I85" s="468"/>
      <c r="J85" s="468"/>
      <c r="K85" s="468"/>
    </row>
    <row r="86" spans="1:11" ht="13.15" customHeight="1" x14ac:dyDescent="0.2">
      <c r="A86" s="463" t="s">
        <v>999</v>
      </c>
      <c r="B86" s="470">
        <v>1813</v>
      </c>
      <c r="C86" s="551"/>
      <c r="D86" s="468"/>
      <c r="E86" s="468"/>
      <c r="F86" s="468"/>
      <c r="G86" s="468"/>
      <c r="H86" s="468"/>
      <c r="I86" s="468"/>
      <c r="J86" s="468"/>
      <c r="K86" s="468"/>
    </row>
    <row r="87" spans="1:11" ht="13.15" customHeight="1" x14ac:dyDescent="0.2">
      <c r="A87" s="463" t="s">
        <v>77</v>
      </c>
      <c r="B87" s="470">
        <v>1819</v>
      </c>
      <c r="C87" s="551"/>
      <c r="D87" s="468"/>
      <c r="E87" s="468"/>
      <c r="F87" s="468"/>
      <c r="G87" s="468"/>
      <c r="H87" s="468"/>
      <c r="I87" s="468"/>
      <c r="J87" s="468"/>
      <c r="K87" s="468"/>
    </row>
    <row r="88" spans="1:11" ht="13.15" customHeight="1" x14ac:dyDescent="0.2">
      <c r="A88" s="463" t="s">
        <v>554</v>
      </c>
      <c r="B88" s="470">
        <v>1821</v>
      </c>
      <c r="C88" s="551"/>
      <c r="D88" s="468"/>
      <c r="E88" s="468"/>
      <c r="F88" s="468"/>
      <c r="G88" s="468"/>
      <c r="H88" s="468"/>
      <c r="I88" s="468"/>
      <c r="J88" s="468"/>
      <c r="K88" s="468"/>
    </row>
    <row r="89" spans="1:11" ht="13.15" customHeight="1" x14ac:dyDescent="0.2">
      <c r="A89" s="463" t="s">
        <v>714</v>
      </c>
      <c r="B89" s="470">
        <v>1822</v>
      </c>
      <c r="C89" s="551"/>
      <c r="D89" s="468"/>
      <c r="E89" s="468"/>
      <c r="F89" s="468"/>
      <c r="G89" s="468"/>
      <c r="H89" s="468"/>
      <c r="I89" s="468"/>
      <c r="J89" s="468"/>
      <c r="K89" s="468"/>
    </row>
    <row r="90" spans="1:11" ht="13.15" customHeight="1" x14ac:dyDescent="0.2">
      <c r="A90" s="463" t="s">
        <v>139</v>
      </c>
      <c r="B90" s="470">
        <v>1823</v>
      </c>
      <c r="C90" s="551"/>
      <c r="D90" s="468"/>
      <c r="E90" s="468"/>
      <c r="F90" s="468"/>
      <c r="G90" s="468"/>
      <c r="H90" s="468"/>
      <c r="I90" s="468"/>
      <c r="J90" s="468"/>
      <c r="K90" s="468"/>
    </row>
    <row r="91" spans="1:11" ht="13.15" customHeight="1" x14ac:dyDescent="0.2">
      <c r="A91" s="463" t="s">
        <v>27</v>
      </c>
      <c r="B91" s="470">
        <v>1829</v>
      </c>
      <c r="C91" s="551">
        <v>1345</v>
      </c>
      <c r="D91" s="468"/>
      <c r="E91" s="468"/>
      <c r="F91" s="468"/>
      <c r="G91" s="468"/>
      <c r="H91" s="468"/>
      <c r="I91" s="468"/>
      <c r="J91" s="468"/>
      <c r="K91" s="468"/>
    </row>
    <row r="92" spans="1:11" ht="13.15" customHeight="1" x14ac:dyDescent="0.2">
      <c r="A92" s="463" t="s">
        <v>762</v>
      </c>
      <c r="B92" s="470">
        <v>1890</v>
      </c>
      <c r="C92" s="551"/>
      <c r="D92" s="468"/>
      <c r="E92" s="468"/>
      <c r="F92" s="468"/>
      <c r="G92" s="468"/>
      <c r="H92" s="468"/>
      <c r="I92" s="468"/>
      <c r="J92" s="468"/>
      <c r="K92" s="468"/>
    </row>
    <row r="93" spans="1:11" ht="13.15" customHeight="1" thickBot="1" x14ac:dyDescent="0.25">
      <c r="A93" s="1708" t="s">
        <v>243</v>
      </c>
      <c r="B93" s="1709"/>
      <c r="C93" s="1688">
        <f>SUM(C84:C92)</f>
        <v>24148</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3.15" customHeight="1" x14ac:dyDescent="0.2">
      <c r="A95" s="463" t="s">
        <v>1064</v>
      </c>
      <c r="B95" s="470">
        <v>1910</v>
      </c>
      <c r="C95" s="466"/>
      <c r="D95" s="551"/>
      <c r="E95" s="521"/>
      <c r="F95" s="521"/>
      <c r="G95" s="521"/>
      <c r="H95" s="521"/>
      <c r="I95" s="521"/>
      <c r="J95" s="521"/>
      <c r="K95" s="521"/>
    </row>
    <row r="96" spans="1:11" ht="13.15" customHeight="1" x14ac:dyDescent="0.2">
      <c r="A96" s="463" t="s">
        <v>391</v>
      </c>
      <c r="B96" s="470">
        <v>1920</v>
      </c>
      <c r="C96" s="551"/>
      <c r="D96" s="551"/>
      <c r="E96" s="479"/>
      <c r="F96" s="478"/>
      <c r="G96" s="478"/>
      <c r="H96" s="478"/>
      <c r="I96" s="478"/>
      <c r="J96" s="478"/>
      <c r="K96" s="478"/>
    </row>
    <row r="97" spans="1:12" ht="13.15" customHeight="1" x14ac:dyDescent="0.2">
      <c r="A97" s="1495" t="s">
        <v>244</v>
      </c>
      <c r="B97" s="559">
        <v>1930</v>
      </c>
      <c r="C97" s="489"/>
      <c r="D97" s="467"/>
      <c r="E97" s="474"/>
      <c r="F97" s="467"/>
      <c r="G97" s="467"/>
      <c r="H97" s="467"/>
      <c r="I97" s="467"/>
      <c r="J97" s="467"/>
      <c r="K97" s="467"/>
    </row>
    <row r="98" spans="1:12" ht="13.15" customHeight="1" x14ac:dyDescent="0.2">
      <c r="A98" s="463" t="s">
        <v>189</v>
      </c>
      <c r="B98" s="470">
        <v>1940</v>
      </c>
      <c r="C98" s="489"/>
      <c r="D98" s="466"/>
      <c r="E98" s="512"/>
      <c r="F98" s="466"/>
      <c r="G98" s="512"/>
      <c r="H98" s="512"/>
      <c r="I98" s="510"/>
      <c r="J98" s="512"/>
      <c r="K98" s="512"/>
    </row>
    <row r="99" spans="1:12" ht="13.15" customHeight="1" x14ac:dyDescent="0.2">
      <c r="A99" s="463" t="s">
        <v>821</v>
      </c>
      <c r="B99" s="470">
        <v>1950</v>
      </c>
      <c r="C99" s="489"/>
      <c r="D99" s="466"/>
      <c r="E99" s="466"/>
      <c r="F99" s="466"/>
      <c r="G99" s="466"/>
      <c r="H99" s="466"/>
      <c r="I99" s="468"/>
      <c r="J99" s="467"/>
      <c r="K99" s="466"/>
    </row>
    <row r="100" spans="1:12" ht="13.15" customHeight="1" x14ac:dyDescent="0.2">
      <c r="A100" s="463" t="s">
        <v>245</v>
      </c>
      <c r="B100" s="470">
        <v>1960</v>
      </c>
      <c r="C100" s="489"/>
      <c r="D100" s="489"/>
      <c r="E100" s="489"/>
      <c r="F100" s="489"/>
      <c r="G100" s="489"/>
      <c r="H100" s="489"/>
      <c r="I100" s="467"/>
      <c r="J100" s="489"/>
      <c r="K100" s="467"/>
    </row>
    <row r="101" spans="1:12" ht="13.15" customHeight="1" x14ac:dyDescent="0.2">
      <c r="A101" s="463" t="s">
        <v>246</v>
      </c>
      <c r="B101" s="470">
        <v>1970</v>
      </c>
      <c r="C101" s="489"/>
      <c r="D101" s="526"/>
      <c r="E101" s="480"/>
      <c r="F101" s="526"/>
      <c r="G101" s="475"/>
      <c r="H101" s="526"/>
      <c r="I101" s="468"/>
      <c r="J101" s="475"/>
      <c r="K101" s="475"/>
    </row>
    <row r="102" spans="1:12" ht="13.15" customHeight="1" x14ac:dyDescent="0.2">
      <c r="A102" s="463" t="s">
        <v>247</v>
      </c>
      <c r="B102" s="470">
        <v>1980</v>
      </c>
      <c r="C102" s="489"/>
      <c r="D102" s="489"/>
      <c r="E102" s="489"/>
      <c r="F102" s="489"/>
      <c r="G102" s="489"/>
      <c r="H102" s="489"/>
      <c r="I102" s="467"/>
      <c r="J102" s="489"/>
      <c r="K102" s="467"/>
    </row>
    <row r="103" spans="1:12" ht="13.15" customHeight="1" x14ac:dyDescent="0.2">
      <c r="A103" s="463" t="s">
        <v>345</v>
      </c>
      <c r="B103" s="470">
        <v>1983</v>
      </c>
      <c r="C103" s="468"/>
      <c r="D103" s="468"/>
      <c r="E103" s="560"/>
      <c r="F103" s="468"/>
      <c r="G103" s="468"/>
      <c r="H103" s="489">
        <v>259539</v>
      </c>
      <c r="I103" s="468"/>
      <c r="J103" s="510"/>
      <c r="K103" s="510"/>
    </row>
    <row r="104" spans="1:12" ht="13.15" customHeight="1" x14ac:dyDescent="0.2">
      <c r="A104" s="463" t="s">
        <v>830</v>
      </c>
      <c r="B104" s="470">
        <v>1991</v>
      </c>
      <c r="C104" s="489"/>
      <c r="D104" s="466"/>
      <c r="E104" s="481"/>
      <c r="F104" s="467"/>
      <c r="G104" s="467"/>
      <c r="H104" s="466"/>
      <c r="I104" s="468"/>
      <c r="J104" s="468"/>
      <c r="K104" s="468"/>
    </row>
    <row r="105" spans="1:12" ht="13.15" customHeight="1" x14ac:dyDescent="0.2">
      <c r="A105" s="463" t="s">
        <v>822</v>
      </c>
      <c r="B105" s="470">
        <v>1992</v>
      </c>
      <c r="C105" s="466"/>
      <c r="D105" s="561"/>
      <c r="E105" s="468"/>
      <c r="F105" s="468"/>
      <c r="G105" s="468"/>
      <c r="H105" s="510"/>
      <c r="I105" s="468"/>
      <c r="J105" s="468"/>
      <c r="K105" s="468"/>
    </row>
    <row r="106" spans="1:12" ht="13.15" customHeight="1" x14ac:dyDescent="0.2">
      <c r="A106" s="463" t="s">
        <v>1416</v>
      </c>
      <c r="B106" s="470">
        <v>1993</v>
      </c>
      <c r="C106" s="466"/>
      <c r="D106" s="489"/>
      <c r="E106" s="467"/>
      <c r="F106" s="467"/>
      <c r="G106" s="467"/>
      <c r="H106" s="467"/>
      <c r="I106" s="521"/>
      <c r="J106" s="467"/>
      <c r="K106" s="467"/>
    </row>
    <row r="107" spans="1:12" ht="13.15" customHeight="1" x14ac:dyDescent="0.2">
      <c r="A107" s="463" t="s">
        <v>78</v>
      </c>
      <c r="B107" s="470">
        <v>1999</v>
      </c>
      <c r="C107" s="551">
        <v>66298</v>
      </c>
      <c r="D107" s="466">
        <v>1836</v>
      </c>
      <c r="E107" s="466"/>
      <c r="F107" s="466"/>
      <c r="G107" s="466"/>
      <c r="H107" s="466"/>
      <c r="I107" s="466"/>
      <c r="J107" s="467"/>
      <c r="K107" s="466"/>
    </row>
    <row r="108" spans="1:12" ht="13.15" customHeight="1" thickBot="1" x14ac:dyDescent="0.25">
      <c r="A108" s="1708" t="s">
        <v>487</v>
      </c>
      <c r="B108" s="1712"/>
      <c r="C108" s="1707">
        <f>SUM(C95:C107)</f>
        <v>66298</v>
      </c>
      <c r="D108" s="1707">
        <f t="shared" ref="D108:K108" si="3">SUM(D95:D107)</f>
        <v>1836</v>
      </c>
      <c r="E108" s="1707">
        <f t="shared" si="3"/>
        <v>0</v>
      </c>
      <c r="F108" s="1707">
        <f t="shared" si="3"/>
        <v>0</v>
      </c>
      <c r="G108" s="1707">
        <f t="shared" si="3"/>
        <v>0</v>
      </c>
      <c r="H108" s="1707">
        <f t="shared" si="3"/>
        <v>259539</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2937715</v>
      </c>
      <c r="D109" s="1715">
        <f t="shared" si="4"/>
        <v>401642</v>
      </c>
      <c r="E109" s="1715">
        <f t="shared" si="4"/>
        <v>210805</v>
      </c>
      <c r="F109" s="1715">
        <f t="shared" si="4"/>
        <v>133905</v>
      </c>
      <c r="G109" s="1715">
        <f t="shared" si="4"/>
        <v>140384</v>
      </c>
      <c r="H109" s="1715">
        <f t="shared" si="4"/>
        <v>261399</v>
      </c>
      <c r="I109" s="1715">
        <f t="shared" si="4"/>
        <v>57532</v>
      </c>
      <c r="J109" s="1715">
        <f t="shared" si="4"/>
        <v>313231</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3.15" customHeight="1" x14ac:dyDescent="0.2">
      <c r="A111" s="493" t="s">
        <v>823</v>
      </c>
      <c r="B111" s="491">
        <v>2100</v>
      </c>
      <c r="C111" s="516"/>
      <c r="D111" s="481"/>
      <c r="E111" s="561"/>
      <c r="F111" s="481"/>
      <c r="G111" s="481"/>
      <c r="H111" s="561"/>
      <c r="I111" s="468"/>
      <c r="J111" s="468"/>
      <c r="K111" s="468"/>
    </row>
    <row r="112" spans="1:12" ht="13.15" customHeight="1" x14ac:dyDescent="0.2">
      <c r="A112" s="463" t="s">
        <v>824</v>
      </c>
      <c r="B112" s="470">
        <v>2200</v>
      </c>
      <c r="C112" s="551"/>
      <c r="D112" s="466"/>
      <c r="E112" s="561"/>
      <c r="F112" s="466"/>
      <c r="G112" s="466"/>
      <c r="H112" s="561"/>
      <c r="I112" s="468"/>
      <c r="J112" s="468"/>
      <c r="K112" s="468"/>
      <c r="L112" s="552"/>
    </row>
    <row r="113" spans="1:11" ht="13.1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1477</v>
      </c>
      <c r="B116" s="1596"/>
      <c r="C116" s="522"/>
      <c r="D116" s="521"/>
      <c r="E116" s="561"/>
      <c r="F116" s="521"/>
      <c r="G116" s="521"/>
      <c r="H116" s="561"/>
      <c r="I116" s="468"/>
      <c r="J116" s="521"/>
      <c r="K116" s="521"/>
    </row>
    <row r="117" spans="1:11" ht="13.15" customHeight="1" x14ac:dyDescent="0.2">
      <c r="A117" s="463" t="s">
        <v>1636</v>
      </c>
      <c r="B117" s="562">
        <v>3001</v>
      </c>
      <c r="C117" s="516">
        <v>797949</v>
      </c>
      <c r="D117" s="481"/>
      <c r="E117" s="466"/>
      <c r="F117" s="481"/>
      <c r="G117" s="481"/>
      <c r="H117" s="466"/>
      <c r="I117" s="468"/>
      <c r="J117" s="467"/>
      <c r="K117" s="466"/>
    </row>
    <row r="118" spans="1:11" ht="13.15" customHeight="1" x14ac:dyDescent="0.2">
      <c r="A118" s="463" t="s">
        <v>1764</v>
      </c>
      <c r="B118" s="562">
        <v>3002</v>
      </c>
      <c r="C118" s="551"/>
      <c r="D118" s="466"/>
      <c r="E118" s="466"/>
      <c r="F118" s="466"/>
      <c r="G118" s="466"/>
      <c r="H118" s="466"/>
      <c r="I118" s="468"/>
      <c r="J118" s="467"/>
      <c r="K118" s="466"/>
    </row>
    <row r="119" spans="1:11" ht="13.15" customHeight="1" x14ac:dyDescent="0.2">
      <c r="A119" s="463" t="s">
        <v>1765</v>
      </c>
      <c r="B119" s="562">
        <v>3005</v>
      </c>
      <c r="C119" s="551"/>
      <c r="D119" s="466"/>
      <c r="E119" s="466"/>
      <c r="F119" s="466"/>
      <c r="G119" s="466"/>
      <c r="H119" s="466"/>
      <c r="I119" s="468"/>
      <c r="J119" s="467"/>
      <c r="K119" s="466"/>
    </row>
    <row r="120" spans="1:11" ht="13.15" customHeight="1" x14ac:dyDescent="0.2">
      <c r="A120" s="1890" t="s">
        <v>1899</v>
      </c>
      <c r="B120" s="562">
        <v>3030</v>
      </c>
      <c r="C120" s="551"/>
      <c r="D120" s="466"/>
      <c r="E120" s="466"/>
      <c r="F120" s="466"/>
      <c r="G120" s="466"/>
      <c r="H120" s="466"/>
      <c r="I120" s="468"/>
      <c r="J120" s="467"/>
      <c r="K120" s="466"/>
    </row>
    <row r="121" spans="1:11" x14ac:dyDescent="0.2">
      <c r="A121" s="1496" t="s">
        <v>1766</v>
      </c>
      <c r="B121" s="564">
        <v>3099</v>
      </c>
      <c r="C121" s="551"/>
      <c r="D121" s="466"/>
      <c r="E121" s="466"/>
      <c r="F121" s="466"/>
      <c r="G121" s="466"/>
      <c r="H121" s="466"/>
      <c r="I121" s="468"/>
      <c r="J121" s="467"/>
      <c r="K121" s="466"/>
    </row>
    <row r="122" spans="1:11" ht="12.95" customHeight="1" thickBot="1" x14ac:dyDescent="0.25">
      <c r="A122" s="1708" t="s">
        <v>488</v>
      </c>
      <c r="B122" s="1719"/>
      <c r="C122" s="1707">
        <f t="shared" ref="C122:H122" si="5">SUM(C117:C121)</f>
        <v>797949</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1476</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3.15" customHeight="1" x14ac:dyDescent="0.2">
      <c r="A125" s="463" t="s">
        <v>866</v>
      </c>
      <c r="B125" s="567">
        <v>3100</v>
      </c>
      <c r="C125" s="481"/>
      <c r="D125" s="561"/>
      <c r="E125" s="468"/>
      <c r="F125" s="548"/>
      <c r="G125" s="468"/>
      <c r="H125" s="468"/>
      <c r="I125" s="468"/>
      <c r="J125" s="468"/>
      <c r="K125" s="468"/>
    </row>
    <row r="126" spans="1:11" ht="13.15" customHeight="1" x14ac:dyDescent="0.2">
      <c r="A126" s="463" t="s">
        <v>1432</v>
      </c>
      <c r="B126" s="562">
        <v>3105</v>
      </c>
      <c r="C126" s="466"/>
      <c r="D126" s="561"/>
      <c r="E126" s="468"/>
      <c r="F126" s="466"/>
      <c r="G126" s="468"/>
      <c r="H126" s="468"/>
      <c r="I126" s="468"/>
      <c r="J126" s="468"/>
      <c r="K126" s="468"/>
    </row>
    <row r="127" spans="1:11" ht="13.15" customHeight="1" x14ac:dyDescent="0.2">
      <c r="A127" s="463" t="s">
        <v>867</v>
      </c>
      <c r="B127" s="562">
        <v>3110</v>
      </c>
      <c r="C127" s="551"/>
      <c r="D127" s="466"/>
      <c r="E127" s="468"/>
      <c r="F127" s="466"/>
      <c r="G127" s="468"/>
      <c r="H127" s="468"/>
      <c r="I127" s="468"/>
      <c r="J127" s="468"/>
      <c r="K127" s="468"/>
    </row>
    <row r="128" spans="1:11" ht="13.15" customHeight="1" x14ac:dyDescent="0.2">
      <c r="A128" s="463" t="s">
        <v>105</v>
      </c>
      <c r="B128" s="562">
        <v>3120</v>
      </c>
      <c r="C128" s="466">
        <v>6143</v>
      </c>
      <c r="D128" s="561"/>
      <c r="E128" s="468"/>
      <c r="F128" s="466"/>
      <c r="G128" s="468"/>
      <c r="H128" s="468"/>
      <c r="I128" s="468"/>
      <c r="J128" s="468"/>
      <c r="K128" s="468"/>
    </row>
    <row r="129" spans="1:11" ht="13.15" customHeight="1" x14ac:dyDescent="0.2">
      <c r="A129" s="463" t="s">
        <v>1433</v>
      </c>
      <c r="B129" s="562">
        <v>3130</v>
      </c>
      <c r="C129" s="466"/>
      <c r="D129" s="561"/>
      <c r="E129" s="468"/>
      <c r="F129" s="466"/>
      <c r="G129" s="468"/>
      <c r="H129" s="468"/>
      <c r="I129" s="468"/>
      <c r="J129" s="468"/>
      <c r="K129" s="468"/>
    </row>
    <row r="130" spans="1:11" ht="13.15" customHeight="1" x14ac:dyDescent="0.2">
      <c r="A130" s="463" t="s">
        <v>137</v>
      </c>
      <c r="B130" s="562">
        <v>3145</v>
      </c>
      <c r="C130" s="466"/>
      <c r="D130" s="561"/>
      <c r="E130" s="468"/>
      <c r="F130" s="466"/>
      <c r="G130" s="468"/>
      <c r="H130" s="468"/>
      <c r="I130" s="468"/>
      <c r="J130" s="468"/>
      <c r="K130" s="468"/>
    </row>
    <row r="131" spans="1:11" ht="13.15" customHeight="1" x14ac:dyDescent="0.2">
      <c r="A131" s="463" t="s">
        <v>66</v>
      </c>
      <c r="B131" s="562">
        <v>3199</v>
      </c>
      <c r="C131" s="551"/>
      <c r="D131" s="467"/>
      <c r="E131" s="468"/>
      <c r="F131" s="466"/>
      <c r="G131" s="468"/>
      <c r="H131" s="468"/>
      <c r="I131" s="468"/>
      <c r="J131" s="468"/>
      <c r="K131" s="468"/>
    </row>
    <row r="132" spans="1:11" ht="13.15" customHeight="1" thickBot="1" x14ac:dyDescent="0.25">
      <c r="A132" s="1708" t="s">
        <v>1032</v>
      </c>
      <c r="B132" s="1720"/>
      <c r="C132" s="1707">
        <f>SUM(C125:C131)</f>
        <v>6143</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3.15" customHeight="1" x14ac:dyDescent="0.2">
      <c r="A135" s="463" t="s">
        <v>669</v>
      </c>
      <c r="B135" s="562">
        <v>3220</v>
      </c>
      <c r="C135" s="551"/>
      <c r="D135" s="466"/>
      <c r="E135" s="561"/>
      <c r="F135" s="468"/>
      <c r="G135" s="467"/>
      <c r="H135" s="468"/>
      <c r="I135" s="468"/>
      <c r="J135" s="468"/>
      <c r="K135" s="468"/>
    </row>
    <row r="136" spans="1:11" ht="13.15" customHeight="1" x14ac:dyDescent="0.2">
      <c r="A136" s="463" t="s">
        <v>249</v>
      </c>
      <c r="B136" s="562">
        <v>3225</v>
      </c>
      <c r="C136" s="551"/>
      <c r="D136" s="466"/>
      <c r="E136" s="561"/>
      <c r="F136" s="468"/>
      <c r="G136" s="467"/>
      <c r="H136" s="468"/>
      <c r="I136" s="468"/>
      <c r="J136" s="468"/>
      <c r="K136" s="468"/>
    </row>
    <row r="137" spans="1:11" ht="13.15" customHeight="1" x14ac:dyDescent="0.2">
      <c r="A137" s="463" t="s">
        <v>600</v>
      </c>
      <c r="B137" s="562">
        <v>3235</v>
      </c>
      <c r="C137" s="489"/>
      <c r="D137" s="467"/>
      <c r="E137" s="561"/>
      <c r="F137" s="468"/>
      <c r="G137" s="467"/>
      <c r="H137" s="468"/>
      <c r="I137" s="468"/>
      <c r="J137" s="468"/>
      <c r="K137" s="468"/>
    </row>
    <row r="138" spans="1:11" ht="13.15" customHeight="1" x14ac:dyDescent="0.2">
      <c r="A138" s="463" t="s">
        <v>601</v>
      </c>
      <c r="B138" s="562">
        <v>3240</v>
      </c>
      <c r="C138" s="489"/>
      <c r="D138" s="467"/>
      <c r="E138" s="561"/>
      <c r="F138" s="468"/>
      <c r="G138" s="467"/>
      <c r="H138" s="468"/>
      <c r="I138" s="468"/>
      <c r="J138" s="468"/>
      <c r="K138" s="468"/>
    </row>
    <row r="139" spans="1:11" ht="13.15" customHeight="1" x14ac:dyDescent="0.2">
      <c r="A139" s="463" t="s">
        <v>602</v>
      </c>
      <c r="B139" s="562">
        <v>3270</v>
      </c>
      <c r="C139" s="489"/>
      <c r="D139" s="467"/>
      <c r="E139" s="561"/>
      <c r="F139" s="468"/>
      <c r="G139" s="467"/>
      <c r="H139" s="468"/>
      <c r="I139" s="468"/>
      <c r="J139" s="468"/>
      <c r="K139" s="468"/>
    </row>
    <row r="140" spans="1:11" ht="13.15" customHeight="1" x14ac:dyDescent="0.2">
      <c r="A140" s="463" t="s">
        <v>67</v>
      </c>
      <c r="B140" s="562">
        <v>3299</v>
      </c>
      <c r="C140" s="551"/>
      <c r="D140" s="466"/>
      <c r="E140" s="561"/>
      <c r="F140" s="477"/>
      <c r="G140" s="467"/>
      <c r="H140" s="468"/>
      <c r="I140" s="468"/>
      <c r="J140" s="468"/>
      <c r="K140" s="468"/>
    </row>
    <row r="141" spans="1:11" ht="13.1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3.15" customHeight="1" x14ac:dyDescent="0.2">
      <c r="A143" s="463" t="s">
        <v>604</v>
      </c>
      <c r="B143" s="562">
        <v>3305</v>
      </c>
      <c r="C143" s="466"/>
      <c r="D143" s="468"/>
      <c r="E143" s="561"/>
      <c r="F143" s="468"/>
      <c r="G143" s="466"/>
      <c r="H143" s="468"/>
      <c r="I143" s="468"/>
      <c r="J143" s="468"/>
      <c r="K143" s="468"/>
    </row>
    <row r="144" spans="1:11" ht="13.1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3.15" customHeight="1" thickTop="1" x14ac:dyDescent="0.2">
      <c r="A146" s="1498" t="s">
        <v>1056</v>
      </c>
      <c r="B146" s="568">
        <v>3360</v>
      </c>
      <c r="C146" s="569">
        <v>2498</v>
      </c>
      <c r="D146" s="570"/>
      <c r="E146" s="509"/>
      <c r="F146" s="468"/>
      <c r="G146" s="571"/>
      <c r="H146" s="468"/>
      <c r="I146" s="468"/>
      <c r="J146" s="468"/>
      <c r="K146" s="468"/>
    </row>
    <row r="147" spans="1:11" ht="13.15" customHeight="1" thickBot="1" x14ac:dyDescent="0.25">
      <c r="A147" s="1499" t="s">
        <v>922</v>
      </c>
      <c r="B147" s="572">
        <v>3365</v>
      </c>
      <c r="C147" s="573"/>
      <c r="D147" s="532"/>
      <c r="E147" s="561"/>
      <c r="F147" s="468"/>
      <c r="G147" s="532"/>
      <c r="H147" s="468"/>
      <c r="I147" s="468"/>
      <c r="J147" s="468"/>
      <c r="K147" s="468"/>
    </row>
    <row r="148" spans="1:11" ht="13.15" customHeight="1" thickTop="1" thickBot="1" x14ac:dyDescent="0.25">
      <c r="A148" s="1500" t="s">
        <v>138</v>
      </c>
      <c r="B148" s="574">
        <v>3370</v>
      </c>
      <c r="C148" s="573"/>
      <c r="D148" s="573"/>
      <c r="E148" s="509"/>
      <c r="F148" s="468"/>
      <c r="G148" s="468"/>
      <c r="H148" s="468"/>
      <c r="I148" s="468"/>
      <c r="J148" s="468"/>
      <c r="K148" s="468"/>
    </row>
    <row r="149" spans="1:11" ht="13.15" customHeight="1" thickTop="1" thickBot="1" x14ac:dyDescent="0.25">
      <c r="A149" s="1500" t="s">
        <v>767</v>
      </c>
      <c r="B149" s="574">
        <v>3410</v>
      </c>
      <c r="C149" s="575"/>
      <c r="D149" s="576"/>
      <c r="E149" s="577"/>
      <c r="F149" s="530"/>
      <c r="G149" s="530"/>
      <c r="H149" s="530"/>
      <c r="I149" s="530"/>
      <c r="J149" s="530"/>
      <c r="K149" s="530"/>
    </row>
    <row r="150" spans="1:11" ht="13.1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3.15" customHeight="1" x14ac:dyDescent="0.2">
      <c r="A152" s="463" t="s">
        <v>1434</v>
      </c>
      <c r="B152" s="562">
        <v>3500</v>
      </c>
      <c r="C152" s="551"/>
      <c r="D152" s="466"/>
      <c r="E152" s="561"/>
      <c r="F152" s="466">
        <v>9589</v>
      </c>
      <c r="G152" s="467"/>
      <c r="H152" s="468"/>
      <c r="I152" s="468"/>
      <c r="J152" s="468"/>
      <c r="K152" s="468"/>
    </row>
    <row r="153" spans="1:11" ht="13.15" customHeight="1" x14ac:dyDescent="0.2">
      <c r="A153" s="463" t="s">
        <v>1057</v>
      </c>
      <c r="B153" s="562">
        <v>3510</v>
      </c>
      <c r="C153" s="551"/>
      <c r="D153" s="466"/>
      <c r="E153" s="561"/>
      <c r="F153" s="466">
        <v>42273</v>
      </c>
      <c r="G153" s="467"/>
      <c r="H153" s="468"/>
      <c r="I153" s="468"/>
      <c r="J153" s="468"/>
      <c r="K153" s="468"/>
    </row>
    <row r="154" spans="1:11" ht="13.15" customHeight="1" x14ac:dyDescent="0.2">
      <c r="A154" s="463" t="s">
        <v>69</v>
      </c>
      <c r="B154" s="562">
        <v>3599</v>
      </c>
      <c r="C154" s="551"/>
      <c r="D154" s="466"/>
      <c r="E154" s="561"/>
      <c r="F154" s="466"/>
      <c r="G154" s="467"/>
      <c r="H154" s="468"/>
      <c r="I154" s="468"/>
      <c r="J154" s="468"/>
      <c r="K154" s="468"/>
    </row>
    <row r="155" spans="1:11" ht="13.15" customHeight="1" thickBot="1" x14ac:dyDescent="0.25">
      <c r="A155" s="1708" t="s">
        <v>94</v>
      </c>
      <c r="B155" s="1720"/>
      <c r="C155" s="1707">
        <f>SUM(C152:C154)</f>
        <v>0</v>
      </c>
      <c r="D155" s="1707">
        <f>SUM(D152:D154)</f>
        <v>0</v>
      </c>
      <c r="E155" s="561"/>
      <c r="F155" s="1707">
        <f>SUM(F152:F154)</f>
        <v>51862</v>
      </c>
      <c r="G155" s="1707">
        <f>SUM(G152:G154)</f>
        <v>0</v>
      </c>
      <c r="H155" s="468"/>
      <c r="I155" s="468"/>
      <c r="J155" s="468"/>
      <c r="K155" s="468"/>
    </row>
    <row r="156" spans="1:11" ht="13.15" customHeight="1" thickTop="1" thickBot="1" x14ac:dyDescent="0.25">
      <c r="A156" s="1500" t="s">
        <v>380</v>
      </c>
      <c r="B156" s="574">
        <v>3610</v>
      </c>
      <c r="C156" s="576"/>
      <c r="D156" s="468"/>
      <c r="E156" s="509"/>
      <c r="F156" s="468"/>
      <c r="G156" s="468"/>
      <c r="H156" s="468"/>
      <c r="I156" s="468"/>
      <c r="J156" s="468"/>
      <c r="K156" s="468"/>
    </row>
    <row r="157" spans="1:11" ht="13.15" customHeight="1" thickTop="1" thickBot="1" x14ac:dyDescent="0.25">
      <c r="A157" s="1500" t="s">
        <v>50</v>
      </c>
      <c r="B157" s="574">
        <v>3660</v>
      </c>
      <c r="C157" s="573"/>
      <c r="D157" s="578"/>
      <c r="E157" s="561"/>
      <c r="F157" s="578"/>
      <c r="G157" s="578"/>
      <c r="H157" s="468"/>
      <c r="I157" s="468"/>
      <c r="J157" s="468"/>
      <c r="K157" s="468"/>
    </row>
    <row r="158" spans="1:11" ht="13.15" customHeight="1" thickTop="1" thickBot="1" x14ac:dyDescent="0.25">
      <c r="A158" s="1500" t="s">
        <v>1000</v>
      </c>
      <c r="B158" s="574">
        <v>3695</v>
      </c>
      <c r="C158" s="576"/>
      <c r="D158" s="468"/>
      <c r="E158" s="561"/>
      <c r="F158" s="576"/>
      <c r="G158" s="576"/>
      <c r="H158" s="468"/>
      <c r="I158" s="468"/>
      <c r="J158" s="468"/>
      <c r="K158" s="468"/>
    </row>
    <row r="159" spans="1:11" ht="13.15" customHeight="1" thickTop="1" thickBot="1" x14ac:dyDescent="0.25">
      <c r="A159" s="1500" t="s">
        <v>1051</v>
      </c>
      <c r="B159" s="574">
        <v>3705</v>
      </c>
      <c r="C159" s="576">
        <v>247225</v>
      </c>
      <c r="D159" s="578"/>
      <c r="E159" s="561"/>
      <c r="F159" s="576"/>
      <c r="G159" s="576"/>
      <c r="H159" s="468"/>
      <c r="I159" s="468"/>
      <c r="J159" s="468"/>
      <c r="K159" s="468"/>
    </row>
    <row r="160" spans="1:11" ht="13.15" customHeight="1" thickTop="1" thickBot="1" x14ac:dyDescent="0.25">
      <c r="A160" s="1500" t="s">
        <v>39</v>
      </c>
      <c r="B160" s="574">
        <v>3766</v>
      </c>
      <c r="C160" s="576"/>
      <c r="D160" s="578"/>
      <c r="E160" s="561"/>
      <c r="F160" s="576"/>
      <c r="G160" s="531"/>
      <c r="H160" s="468"/>
      <c r="I160" s="468"/>
      <c r="J160" s="468"/>
      <c r="K160" s="468"/>
    </row>
    <row r="161" spans="1:11" ht="13.15" customHeight="1" thickTop="1" thickBot="1" x14ac:dyDescent="0.25">
      <c r="A161" s="1500" t="s">
        <v>985</v>
      </c>
      <c r="B161" s="574">
        <v>3767</v>
      </c>
      <c r="C161" s="576"/>
      <c r="D161" s="531"/>
      <c r="E161" s="561"/>
      <c r="F161" s="531"/>
      <c r="G161" s="531"/>
      <c r="H161" s="468"/>
      <c r="I161" s="468"/>
      <c r="J161" s="468"/>
      <c r="K161" s="468"/>
    </row>
    <row r="162" spans="1:11" ht="13.15" customHeight="1" thickTop="1" thickBot="1" x14ac:dyDescent="0.25">
      <c r="A162" s="1500" t="s">
        <v>986</v>
      </c>
      <c r="B162" s="574">
        <v>3775</v>
      </c>
      <c r="C162" s="576"/>
      <c r="D162" s="573"/>
      <c r="E162" s="530"/>
      <c r="F162" s="573"/>
      <c r="G162" s="532"/>
      <c r="H162" s="530"/>
      <c r="I162" s="468"/>
      <c r="J162" s="468"/>
      <c r="K162" s="530"/>
    </row>
    <row r="163" spans="1:11" ht="13.15" customHeight="1" thickTop="1" thickBot="1" x14ac:dyDescent="0.25">
      <c r="A163" s="1500" t="s">
        <v>1435</v>
      </c>
      <c r="B163" s="574">
        <v>3780</v>
      </c>
      <c r="C163" s="531"/>
      <c r="D163" s="530"/>
      <c r="E163" s="531"/>
      <c r="F163" s="531"/>
      <c r="G163" s="531"/>
      <c r="H163" s="531"/>
      <c r="I163" s="468"/>
      <c r="J163" s="468"/>
      <c r="K163" s="531"/>
    </row>
    <row r="164" spans="1:11" ht="13.15" customHeight="1" thickTop="1" thickBot="1" x14ac:dyDescent="0.25">
      <c r="A164" s="1500" t="s">
        <v>858</v>
      </c>
      <c r="B164" s="574">
        <v>3815</v>
      </c>
      <c r="C164" s="576"/>
      <c r="D164" s="468"/>
      <c r="E164" s="561"/>
      <c r="F164" s="576"/>
      <c r="G164" s="468"/>
      <c r="H164" s="468"/>
      <c r="I164" s="468"/>
      <c r="J164" s="468"/>
      <c r="K164" s="468"/>
    </row>
    <row r="165" spans="1:11" ht="13.15" customHeight="1" thickTop="1" thickBot="1" x14ac:dyDescent="0.25">
      <c r="A165" s="1500" t="s">
        <v>397</v>
      </c>
      <c r="B165" s="574">
        <v>3825</v>
      </c>
      <c r="C165" s="576"/>
      <c r="D165" s="468"/>
      <c r="E165" s="561"/>
      <c r="F165" s="576"/>
      <c r="G165" s="468"/>
      <c r="H165" s="468"/>
      <c r="I165" s="468"/>
      <c r="J165" s="468"/>
      <c r="K165" s="468"/>
    </row>
    <row r="166" spans="1:11" ht="13.15" customHeight="1" thickTop="1" thickBot="1" x14ac:dyDescent="0.25">
      <c r="A166" s="1500" t="s">
        <v>348</v>
      </c>
      <c r="B166" s="574">
        <v>3920</v>
      </c>
      <c r="C166" s="566"/>
      <c r="D166" s="578"/>
      <c r="E166" s="468"/>
      <c r="F166" s="566"/>
      <c r="G166" s="468"/>
      <c r="H166" s="530"/>
      <c r="I166" s="468"/>
      <c r="J166" s="468"/>
      <c r="K166" s="468"/>
    </row>
    <row r="167" spans="1:11" ht="13.1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750</v>
      </c>
      <c r="D168" s="580"/>
      <c r="E168" s="580"/>
      <c r="F168" s="580"/>
      <c r="G168" s="581"/>
      <c r="H168" s="582"/>
      <c r="I168" s="581"/>
      <c r="J168" s="581"/>
      <c r="K168" s="582"/>
    </row>
    <row r="169" spans="1:11" ht="13.15" customHeight="1" thickTop="1" thickBot="1" x14ac:dyDescent="0.25">
      <c r="A169" s="2104" t="s">
        <v>398</v>
      </c>
      <c r="B169" s="2105"/>
      <c r="C169" s="1722">
        <f t="shared" ref="C169:K169" si="6">SUM(C132,C141,C145,C146:C150,C155,C156:C167,C168)</f>
        <v>256616</v>
      </c>
      <c r="D169" s="1722">
        <f t="shared" si="6"/>
        <v>0</v>
      </c>
      <c r="E169" s="1722">
        <f t="shared" si="6"/>
        <v>0</v>
      </c>
      <c r="F169" s="1722">
        <f t="shared" si="6"/>
        <v>51862</v>
      </c>
      <c r="G169" s="1722">
        <f t="shared" si="6"/>
        <v>0</v>
      </c>
      <c r="H169" s="1722">
        <f t="shared" si="6"/>
        <v>0</v>
      </c>
      <c r="I169" s="1722">
        <f t="shared" si="6"/>
        <v>0</v>
      </c>
      <c r="J169" s="1722">
        <f t="shared" si="6"/>
        <v>0</v>
      </c>
      <c r="K169" s="1703">
        <f t="shared" si="6"/>
        <v>0</v>
      </c>
    </row>
    <row r="170" spans="1:11" ht="13.15" customHeight="1" thickTop="1" thickBot="1" x14ac:dyDescent="0.25">
      <c r="A170" s="1708" t="s">
        <v>399</v>
      </c>
      <c r="B170" s="1714" t="s">
        <v>575</v>
      </c>
      <c r="C170" s="1715">
        <f t="shared" ref="C170:K170" si="7">SUM(C122,C169)</f>
        <v>1054565</v>
      </c>
      <c r="D170" s="1715">
        <f t="shared" si="7"/>
        <v>0</v>
      </c>
      <c r="E170" s="1715">
        <f t="shared" si="7"/>
        <v>0</v>
      </c>
      <c r="F170" s="1715">
        <f t="shared" si="7"/>
        <v>51862</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06" t="s">
        <v>1478</v>
      </c>
      <c r="B172" s="2107"/>
      <c r="C172" s="520"/>
      <c r="D172" s="520"/>
      <c r="E172" s="509"/>
      <c r="F172" s="468"/>
      <c r="G172" s="468"/>
      <c r="H172" s="468"/>
      <c r="I172" s="468"/>
      <c r="J172" s="468"/>
      <c r="K172" s="468"/>
    </row>
    <row r="173" spans="1:11" ht="12.95"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10" t="s">
        <v>1634</v>
      </c>
      <c r="B175" s="2111"/>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14" t="s">
        <v>1633</v>
      </c>
      <c r="B176" s="2115"/>
      <c r="C176" s="598"/>
      <c r="D176" s="599"/>
      <c r="E176" s="600"/>
      <c r="F176" s="601"/>
      <c r="G176" s="601"/>
      <c r="H176" s="601"/>
      <c r="I176" s="601"/>
      <c r="J176" s="601"/>
      <c r="K176" s="601"/>
    </row>
    <row r="177" spans="1:11" ht="13.15" customHeight="1" x14ac:dyDescent="0.2">
      <c r="A177" s="463" t="s">
        <v>1045</v>
      </c>
      <c r="B177" s="470">
        <v>4045</v>
      </c>
      <c r="C177" s="551"/>
      <c r="D177" s="468"/>
      <c r="E177" s="561"/>
      <c r="F177" s="468"/>
      <c r="G177" s="468"/>
      <c r="H177" s="468"/>
      <c r="I177" s="468"/>
      <c r="J177" s="468"/>
      <c r="K177" s="468"/>
    </row>
    <row r="178" spans="1:11" ht="13.15" customHeight="1" x14ac:dyDescent="0.2">
      <c r="A178" s="463" t="s">
        <v>1046</v>
      </c>
      <c r="B178" s="470">
        <v>4050</v>
      </c>
      <c r="C178" s="551"/>
      <c r="D178" s="467"/>
      <c r="E178" s="561"/>
      <c r="F178" s="468"/>
      <c r="G178" s="468"/>
      <c r="H178" s="467"/>
      <c r="I178" s="468"/>
      <c r="J178" s="468"/>
      <c r="K178" s="468"/>
    </row>
    <row r="179" spans="1:11" ht="13.1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12" t="s">
        <v>785</v>
      </c>
      <c r="B181" s="2113"/>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08" t="s">
        <v>1768</v>
      </c>
      <c r="B182" s="2109"/>
      <c r="C182" s="584"/>
      <c r="D182" s="566"/>
      <c r="E182" s="509"/>
      <c r="F182" s="566"/>
      <c r="G182" s="566"/>
      <c r="H182" s="468"/>
      <c r="I182" s="468"/>
      <c r="J182" s="468"/>
      <c r="K182" s="468"/>
    </row>
    <row r="183" spans="1:11" ht="15.75" customHeight="1" x14ac:dyDescent="0.2">
      <c r="A183" s="1603" t="s">
        <v>1571</v>
      </c>
      <c r="B183" s="1604"/>
      <c r="C183" s="522"/>
      <c r="D183" s="521"/>
      <c r="E183" s="509"/>
      <c r="F183" s="521"/>
      <c r="G183" s="521"/>
      <c r="H183" s="468"/>
      <c r="I183" s="468"/>
      <c r="J183" s="468"/>
      <c r="K183" s="468"/>
    </row>
    <row r="184" spans="1:11" ht="13.15" customHeight="1" x14ac:dyDescent="0.2">
      <c r="A184" s="463" t="s">
        <v>1572</v>
      </c>
      <c r="B184" s="470">
        <v>4100</v>
      </c>
      <c r="C184" s="516"/>
      <c r="D184" s="481"/>
      <c r="E184" s="561"/>
      <c r="F184" s="481"/>
      <c r="G184" s="481"/>
      <c r="H184" s="468"/>
      <c r="I184" s="468"/>
      <c r="J184" s="468"/>
      <c r="K184" s="468"/>
    </row>
    <row r="185" spans="1:11" ht="13.15" customHeight="1" x14ac:dyDescent="0.2">
      <c r="A185" s="463" t="s">
        <v>1573</v>
      </c>
      <c r="B185" s="470">
        <v>4105</v>
      </c>
      <c r="C185" s="551"/>
      <c r="D185" s="466"/>
      <c r="E185" s="561"/>
      <c r="F185" s="466"/>
      <c r="G185" s="466"/>
      <c r="H185" s="468"/>
      <c r="I185" s="468"/>
      <c r="J185" s="468"/>
      <c r="K185" s="468"/>
    </row>
    <row r="186" spans="1:11" ht="13.15" customHeight="1" x14ac:dyDescent="0.2">
      <c r="A186" s="463" t="s">
        <v>1575</v>
      </c>
      <c r="B186" s="470">
        <v>4107</v>
      </c>
      <c r="C186" s="551"/>
      <c r="D186" s="466"/>
      <c r="E186" s="561"/>
      <c r="F186" s="466"/>
      <c r="G186" s="466"/>
      <c r="H186" s="468"/>
      <c r="I186" s="468"/>
      <c r="J186" s="468"/>
      <c r="K186" s="468"/>
    </row>
    <row r="187" spans="1:11" ht="13.15" customHeight="1" x14ac:dyDescent="0.2">
      <c r="A187" s="463" t="s">
        <v>1574</v>
      </c>
      <c r="B187" s="470">
        <v>4199</v>
      </c>
      <c r="C187" s="551"/>
      <c r="D187" s="466"/>
      <c r="E187" s="561"/>
      <c r="F187" s="466"/>
      <c r="G187" s="466"/>
      <c r="H187" s="468"/>
      <c r="I187" s="468"/>
      <c r="J187" s="468"/>
      <c r="K187" s="468"/>
    </row>
    <row r="188" spans="1:11" ht="13.15" customHeight="1" thickBot="1" x14ac:dyDescent="0.25">
      <c r="A188" s="1708" t="s">
        <v>1576</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1436</v>
      </c>
      <c r="B190" s="470">
        <v>4200</v>
      </c>
      <c r="C190" s="467"/>
      <c r="D190" s="468"/>
      <c r="E190" s="561"/>
      <c r="F190" s="553"/>
      <c r="G190" s="585"/>
      <c r="H190" s="468"/>
      <c r="I190" s="468"/>
      <c r="J190" s="468"/>
      <c r="K190" s="468"/>
    </row>
    <row r="191" spans="1:11" ht="13.15" customHeight="1" x14ac:dyDescent="0.2">
      <c r="A191" s="463" t="s">
        <v>1058</v>
      </c>
      <c r="B191" s="470">
        <v>4210</v>
      </c>
      <c r="C191" s="466">
        <v>76158</v>
      </c>
      <c r="D191" s="468"/>
      <c r="E191" s="561"/>
      <c r="F191" s="468"/>
      <c r="G191" s="585"/>
      <c r="H191" s="468"/>
      <c r="I191" s="468"/>
      <c r="J191" s="468"/>
      <c r="K191" s="468"/>
    </row>
    <row r="192" spans="1:11" ht="13.15" customHeight="1" x14ac:dyDescent="0.2">
      <c r="A192" s="463" t="s">
        <v>1047</v>
      </c>
      <c r="B192" s="470">
        <v>4215</v>
      </c>
      <c r="C192" s="551"/>
      <c r="D192" s="468"/>
      <c r="E192" s="561"/>
      <c r="F192" s="468"/>
      <c r="G192" s="585"/>
      <c r="H192" s="468"/>
      <c r="I192" s="468"/>
      <c r="J192" s="468"/>
      <c r="K192" s="468"/>
    </row>
    <row r="193" spans="1:11" ht="13.15" customHeight="1" x14ac:dyDescent="0.2">
      <c r="A193" s="463" t="s">
        <v>1059</v>
      </c>
      <c r="B193" s="470">
        <v>4220</v>
      </c>
      <c r="C193" s="551">
        <v>37860</v>
      </c>
      <c r="D193" s="468"/>
      <c r="E193" s="561"/>
      <c r="F193" s="468"/>
      <c r="G193" s="585"/>
      <c r="H193" s="468"/>
      <c r="I193" s="468"/>
      <c r="J193" s="468"/>
      <c r="K193" s="468"/>
    </row>
    <row r="194" spans="1:11" ht="13.15" customHeight="1" x14ac:dyDescent="0.2">
      <c r="A194" s="463" t="s">
        <v>1437</v>
      </c>
      <c r="B194" s="470">
        <v>4225</v>
      </c>
      <c r="C194" s="551"/>
      <c r="D194" s="468"/>
      <c r="E194" s="561"/>
      <c r="F194" s="468"/>
      <c r="G194" s="585"/>
      <c r="H194" s="468"/>
      <c r="I194" s="468"/>
      <c r="J194" s="468"/>
      <c r="K194" s="468"/>
    </row>
    <row r="195" spans="1:11" ht="13.15" customHeight="1" x14ac:dyDescent="0.2">
      <c r="A195" s="463" t="s">
        <v>1438</v>
      </c>
      <c r="B195" s="470">
        <v>4226</v>
      </c>
      <c r="C195" s="551"/>
      <c r="D195" s="468"/>
      <c r="E195" s="561"/>
      <c r="F195" s="468"/>
      <c r="G195" s="585"/>
      <c r="H195" s="468"/>
      <c r="I195" s="468"/>
      <c r="J195" s="468"/>
      <c r="K195" s="468"/>
    </row>
    <row r="196" spans="1:11" ht="13.15" customHeight="1" x14ac:dyDescent="0.2">
      <c r="A196" s="463" t="s">
        <v>792</v>
      </c>
      <c r="B196" s="470">
        <v>4240</v>
      </c>
      <c r="C196" s="489"/>
      <c r="D196" s="468"/>
      <c r="E196" s="561"/>
      <c r="F196" s="468"/>
      <c r="G196" s="586"/>
      <c r="H196" s="468"/>
      <c r="I196" s="468"/>
      <c r="J196" s="468"/>
      <c r="K196" s="468"/>
    </row>
    <row r="197" spans="1:11" ht="13.15" customHeight="1" x14ac:dyDescent="0.2">
      <c r="A197" s="463" t="s">
        <v>71</v>
      </c>
      <c r="B197" s="470">
        <v>4299</v>
      </c>
      <c r="C197" s="551"/>
      <c r="D197" s="468"/>
      <c r="E197" s="561"/>
      <c r="F197" s="468"/>
      <c r="G197" s="585"/>
      <c r="H197" s="468"/>
      <c r="I197" s="468"/>
      <c r="J197" s="468"/>
      <c r="K197" s="468"/>
    </row>
    <row r="198" spans="1:11" ht="13.15" customHeight="1" thickBot="1" x14ac:dyDescent="0.25">
      <c r="A198" s="1708" t="s">
        <v>548</v>
      </c>
      <c r="B198" s="1709"/>
      <c r="C198" s="1688">
        <f>SUM(C190:C197)</f>
        <v>114018</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3.15" customHeight="1" x14ac:dyDescent="0.2">
      <c r="A200" s="463" t="s">
        <v>918</v>
      </c>
      <c r="B200" s="470">
        <v>4300</v>
      </c>
      <c r="C200" s="466">
        <v>124924</v>
      </c>
      <c r="D200" s="466"/>
      <c r="E200" s="468"/>
      <c r="F200" s="466"/>
      <c r="G200" s="466"/>
      <c r="H200" s="468"/>
      <c r="I200" s="468"/>
      <c r="J200" s="468"/>
      <c r="K200" s="468"/>
    </row>
    <row r="201" spans="1:11" ht="13.15" customHeight="1" x14ac:dyDescent="0.2">
      <c r="A201" s="463" t="s">
        <v>919</v>
      </c>
      <c r="B201" s="470">
        <v>4305</v>
      </c>
      <c r="C201" s="551"/>
      <c r="D201" s="466"/>
      <c r="E201" s="468"/>
      <c r="F201" s="466"/>
      <c r="G201" s="466"/>
      <c r="H201" s="468"/>
      <c r="I201" s="468"/>
      <c r="J201" s="468"/>
      <c r="K201" s="468"/>
    </row>
    <row r="202" spans="1:11" ht="13.15" customHeight="1" x14ac:dyDescent="0.2">
      <c r="A202" s="463" t="s">
        <v>1031</v>
      </c>
      <c r="B202" s="470">
        <v>4340</v>
      </c>
      <c r="C202" s="551"/>
      <c r="D202" s="466"/>
      <c r="E202" s="468"/>
      <c r="F202" s="466"/>
      <c r="G202" s="466"/>
      <c r="H202" s="468"/>
      <c r="I202" s="468"/>
      <c r="J202" s="468"/>
      <c r="K202" s="468"/>
    </row>
    <row r="203" spans="1:11" ht="13.15" customHeight="1" x14ac:dyDescent="0.2">
      <c r="A203" s="463" t="s">
        <v>72</v>
      </c>
      <c r="B203" s="470">
        <v>4399</v>
      </c>
      <c r="C203" s="551"/>
      <c r="D203" s="466"/>
      <c r="E203" s="468"/>
      <c r="F203" s="466"/>
      <c r="G203" s="466"/>
      <c r="H203" s="468"/>
      <c r="I203" s="468"/>
      <c r="J203" s="468"/>
      <c r="K203" s="468"/>
    </row>
    <row r="204" spans="1:11" ht="13.15" customHeight="1" thickBot="1" x14ac:dyDescent="0.25">
      <c r="A204" s="1708" t="s">
        <v>400</v>
      </c>
      <c r="B204" s="1709"/>
      <c r="C204" s="1707">
        <f>SUM(C200:C203)</f>
        <v>124924</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3.15" customHeight="1" x14ac:dyDescent="0.2">
      <c r="A206" s="463" t="s">
        <v>759</v>
      </c>
      <c r="B206" s="470">
        <v>4400</v>
      </c>
      <c r="C206" s="551"/>
      <c r="D206" s="466"/>
      <c r="E206" s="468"/>
      <c r="F206" s="466"/>
      <c r="G206" s="466"/>
      <c r="H206" s="468"/>
      <c r="I206" s="468"/>
      <c r="J206" s="468"/>
      <c r="K206" s="468"/>
    </row>
    <row r="207" spans="1:11" ht="13.15" customHeight="1" x14ac:dyDescent="0.2">
      <c r="A207" s="463" t="s">
        <v>1439</v>
      </c>
      <c r="B207" s="470">
        <v>4421</v>
      </c>
      <c r="C207" s="551"/>
      <c r="D207" s="466"/>
      <c r="E207" s="468"/>
      <c r="F207" s="466"/>
      <c r="G207" s="466"/>
      <c r="H207" s="468"/>
      <c r="I207" s="468"/>
      <c r="J207" s="468"/>
      <c r="K207" s="468"/>
    </row>
    <row r="208" spans="1:11" ht="13.15" customHeight="1" x14ac:dyDescent="0.2">
      <c r="A208" s="463" t="s">
        <v>73</v>
      </c>
      <c r="B208" s="470">
        <v>4499</v>
      </c>
      <c r="C208" s="551"/>
      <c r="D208" s="466"/>
      <c r="E208" s="468"/>
      <c r="F208" s="466"/>
      <c r="G208" s="466"/>
      <c r="H208" s="468"/>
      <c r="I208" s="468"/>
      <c r="J208" s="468"/>
      <c r="K208" s="468"/>
    </row>
    <row r="209" spans="1:11" ht="13.1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3.15" customHeight="1" x14ac:dyDescent="0.2">
      <c r="A211" s="463" t="s">
        <v>1052</v>
      </c>
      <c r="B211" s="470">
        <v>4600</v>
      </c>
      <c r="C211" s="551"/>
      <c r="D211" s="466"/>
      <c r="E211" s="468"/>
      <c r="F211" s="466"/>
      <c r="G211" s="466"/>
      <c r="H211" s="468"/>
      <c r="I211" s="468"/>
      <c r="J211" s="468"/>
      <c r="K211" s="468"/>
    </row>
    <row r="212" spans="1:11" ht="13.15" customHeight="1" x14ac:dyDescent="0.2">
      <c r="A212" s="463" t="s">
        <v>1053</v>
      </c>
      <c r="B212" s="470">
        <v>4605</v>
      </c>
      <c r="C212" s="551"/>
      <c r="D212" s="466"/>
      <c r="E212" s="468"/>
      <c r="F212" s="466"/>
      <c r="G212" s="466"/>
      <c r="H212" s="468"/>
      <c r="I212" s="468"/>
      <c r="J212" s="468"/>
      <c r="K212" s="468"/>
    </row>
    <row r="213" spans="1:11" ht="13.15" customHeight="1" x14ac:dyDescent="0.2">
      <c r="A213" s="463" t="s">
        <v>1440</v>
      </c>
      <c r="B213" s="557">
        <v>4620</v>
      </c>
      <c r="C213" s="551"/>
      <c r="D213" s="466"/>
      <c r="E213" s="468"/>
      <c r="F213" s="466"/>
      <c r="G213" s="466"/>
      <c r="H213" s="468"/>
      <c r="I213" s="468"/>
      <c r="J213" s="468"/>
      <c r="K213" s="468"/>
    </row>
    <row r="214" spans="1:11" ht="13.15" customHeight="1" x14ac:dyDescent="0.2">
      <c r="A214" s="463" t="s">
        <v>1054</v>
      </c>
      <c r="B214" s="470">
        <v>4625</v>
      </c>
      <c r="C214" s="551">
        <v>14111</v>
      </c>
      <c r="D214" s="466"/>
      <c r="E214" s="468"/>
      <c r="F214" s="466"/>
      <c r="G214" s="466"/>
      <c r="H214" s="468"/>
      <c r="I214" s="468"/>
      <c r="J214" s="468"/>
      <c r="K214" s="468"/>
    </row>
    <row r="215" spans="1:11" ht="13.15" customHeight="1" x14ac:dyDescent="0.2">
      <c r="A215" s="463" t="s">
        <v>1055</v>
      </c>
      <c r="B215" s="470">
        <v>4630</v>
      </c>
      <c r="C215" s="551"/>
      <c r="D215" s="466"/>
      <c r="E215" s="468"/>
      <c r="F215" s="466"/>
      <c r="G215" s="466"/>
      <c r="H215" s="468"/>
      <c r="I215" s="468"/>
      <c r="J215" s="468"/>
      <c r="K215" s="468"/>
    </row>
    <row r="216" spans="1:11" ht="13.15" customHeight="1" x14ac:dyDescent="0.2">
      <c r="A216" s="1501" t="s">
        <v>74</v>
      </c>
      <c r="B216" s="557">
        <v>4699</v>
      </c>
      <c r="C216" s="551"/>
      <c r="D216" s="466"/>
      <c r="E216" s="468"/>
      <c r="F216" s="466"/>
      <c r="G216" s="466"/>
      <c r="H216" s="468"/>
      <c r="I216" s="468"/>
      <c r="J216" s="468"/>
      <c r="K216" s="468"/>
    </row>
    <row r="217" spans="1:11" ht="13.15" customHeight="1" thickBot="1" x14ac:dyDescent="0.25">
      <c r="A217" s="1708" t="s">
        <v>447</v>
      </c>
      <c r="B217" s="1709"/>
      <c r="C217" s="1707">
        <f>SUM(C211:C216)</f>
        <v>14111</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3.15" customHeight="1" x14ac:dyDescent="0.2">
      <c r="A219" s="463" t="s">
        <v>787</v>
      </c>
      <c r="B219" s="470">
        <v>4770</v>
      </c>
      <c r="C219" s="551"/>
      <c r="D219" s="466"/>
      <c r="E219" s="468"/>
      <c r="F219" s="468"/>
      <c r="G219" s="466"/>
      <c r="H219" s="468"/>
      <c r="I219" s="468"/>
      <c r="J219" s="468"/>
      <c r="K219" s="468"/>
    </row>
    <row r="220" spans="1:11" ht="13.15" customHeight="1" x14ac:dyDescent="0.2">
      <c r="A220" s="463" t="s">
        <v>67</v>
      </c>
      <c r="B220" s="470">
        <v>4799</v>
      </c>
      <c r="C220" s="551"/>
      <c r="D220" s="466"/>
      <c r="E220" s="468"/>
      <c r="F220" s="468"/>
      <c r="G220" s="466"/>
      <c r="H220" s="468"/>
      <c r="I220" s="468"/>
      <c r="J220" s="468"/>
      <c r="K220" s="468"/>
    </row>
    <row r="221" spans="1:11" ht="13.1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3.15" customHeight="1" thickTop="1" thickBot="1" x14ac:dyDescent="0.25">
      <c r="A222" s="493" t="s">
        <v>757</v>
      </c>
      <c r="B222" s="491">
        <v>4810</v>
      </c>
      <c r="C222" s="575"/>
      <c r="D222" s="576"/>
      <c r="E222" s="468"/>
      <c r="F222" s="468"/>
      <c r="G222" s="576"/>
      <c r="H222" s="468"/>
      <c r="I222" s="468"/>
      <c r="J222" s="468"/>
      <c r="K222" s="468"/>
    </row>
    <row r="223" spans="1:11" ht="13.15" customHeight="1" thickTop="1" x14ac:dyDescent="0.2">
      <c r="A223" s="493" t="s">
        <v>350</v>
      </c>
      <c r="B223" s="491">
        <v>4850</v>
      </c>
      <c r="C223" s="489"/>
      <c r="D223" s="467"/>
      <c r="E223" s="467"/>
      <c r="F223" s="467"/>
      <c r="G223" s="467"/>
      <c r="H223" s="467"/>
      <c r="I223" s="468"/>
      <c r="J223" s="467"/>
      <c r="K223" s="467"/>
    </row>
    <row r="224" spans="1:11" ht="13.15" customHeight="1" x14ac:dyDescent="0.2">
      <c r="A224" s="493" t="s">
        <v>351</v>
      </c>
      <c r="B224" s="491">
        <v>4851</v>
      </c>
      <c r="C224" s="489"/>
      <c r="D224" s="467"/>
      <c r="E224" s="468"/>
      <c r="F224" s="474"/>
      <c r="G224" s="467"/>
      <c r="H224" s="468"/>
      <c r="I224" s="468"/>
      <c r="J224" s="468"/>
      <c r="K224" s="468"/>
    </row>
    <row r="225" spans="1:11" ht="13.15" customHeight="1" x14ac:dyDescent="0.2">
      <c r="A225" s="493" t="s">
        <v>352</v>
      </c>
      <c r="B225" s="491">
        <v>4852</v>
      </c>
      <c r="C225" s="489"/>
      <c r="D225" s="467"/>
      <c r="E225" s="467"/>
      <c r="F225" s="467"/>
      <c r="G225" s="467"/>
      <c r="H225" s="467"/>
      <c r="I225" s="468"/>
      <c r="J225" s="467"/>
      <c r="K225" s="467"/>
    </row>
    <row r="226" spans="1:11" ht="13.15" customHeight="1" x14ac:dyDescent="0.2">
      <c r="A226" s="493" t="s">
        <v>353</v>
      </c>
      <c r="B226" s="491">
        <v>4853</v>
      </c>
      <c r="C226" s="489"/>
      <c r="D226" s="467"/>
      <c r="E226" s="467"/>
      <c r="F226" s="467"/>
      <c r="G226" s="467"/>
      <c r="H226" s="467"/>
      <c r="I226" s="468"/>
      <c r="J226" s="467"/>
      <c r="K226" s="467"/>
    </row>
    <row r="227" spans="1:11" ht="13.15" customHeight="1" x14ac:dyDescent="0.2">
      <c r="A227" s="493" t="s">
        <v>354</v>
      </c>
      <c r="B227" s="491">
        <v>4854</v>
      </c>
      <c r="C227" s="489"/>
      <c r="D227" s="467"/>
      <c r="E227" s="467"/>
      <c r="F227" s="467"/>
      <c r="G227" s="467"/>
      <c r="H227" s="467"/>
      <c r="I227" s="468"/>
      <c r="J227" s="467"/>
      <c r="K227" s="467"/>
    </row>
    <row r="228" spans="1:11" ht="13.15" customHeight="1" x14ac:dyDescent="0.2">
      <c r="A228" s="493" t="s">
        <v>464</v>
      </c>
      <c r="B228" s="491">
        <v>4855</v>
      </c>
      <c r="C228" s="489"/>
      <c r="D228" s="467"/>
      <c r="E228" s="467"/>
      <c r="F228" s="467"/>
      <c r="G228" s="467"/>
      <c r="H228" s="467"/>
      <c r="I228" s="468"/>
      <c r="J228" s="467"/>
      <c r="K228" s="467"/>
    </row>
    <row r="229" spans="1:11" ht="13.15" customHeight="1" x14ac:dyDescent="0.2">
      <c r="A229" s="493" t="s">
        <v>355</v>
      </c>
      <c r="B229" s="491">
        <v>4856</v>
      </c>
      <c r="C229" s="489"/>
      <c r="D229" s="467"/>
      <c r="E229" s="467"/>
      <c r="F229" s="467"/>
      <c r="G229" s="467"/>
      <c r="H229" s="467"/>
      <c r="I229" s="468"/>
      <c r="J229" s="467"/>
      <c r="K229" s="467"/>
    </row>
    <row r="230" spans="1:11" ht="13.15" customHeight="1" x14ac:dyDescent="0.2">
      <c r="A230" s="493" t="s">
        <v>356</v>
      </c>
      <c r="B230" s="491">
        <v>4857</v>
      </c>
      <c r="C230" s="489"/>
      <c r="D230" s="467"/>
      <c r="E230" s="467"/>
      <c r="F230" s="467"/>
      <c r="G230" s="467"/>
      <c r="H230" s="467"/>
      <c r="I230" s="468"/>
      <c r="J230" s="467"/>
      <c r="K230" s="467"/>
    </row>
    <row r="231" spans="1:11" ht="13.15" customHeight="1" x14ac:dyDescent="0.2">
      <c r="A231" s="493" t="s">
        <v>357</v>
      </c>
      <c r="B231" s="491">
        <v>4860</v>
      </c>
      <c r="C231" s="489"/>
      <c r="D231" s="467"/>
      <c r="E231" s="467"/>
      <c r="F231" s="467"/>
      <c r="G231" s="467"/>
      <c r="H231" s="467"/>
      <c r="I231" s="468"/>
      <c r="J231" s="467"/>
      <c r="K231" s="467"/>
    </row>
    <row r="232" spans="1:11" ht="13.15" customHeight="1" x14ac:dyDescent="0.2">
      <c r="A232" s="493" t="s">
        <v>358</v>
      </c>
      <c r="B232" s="491">
        <v>4861</v>
      </c>
      <c r="C232" s="489"/>
      <c r="D232" s="467"/>
      <c r="E232" s="467"/>
      <c r="F232" s="467"/>
      <c r="G232" s="467"/>
      <c r="H232" s="467"/>
      <c r="I232" s="468"/>
      <c r="J232" s="467"/>
      <c r="K232" s="467"/>
    </row>
    <row r="233" spans="1:11" ht="13.15" customHeight="1" x14ac:dyDescent="0.2">
      <c r="A233" s="493" t="s">
        <v>359</v>
      </c>
      <c r="B233" s="491">
        <v>4862</v>
      </c>
      <c r="C233" s="489"/>
      <c r="D233" s="467"/>
      <c r="E233" s="475"/>
      <c r="F233" s="467"/>
      <c r="G233" s="467"/>
      <c r="H233" s="475"/>
      <c r="I233" s="468"/>
      <c r="J233" s="475"/>
      <c r="K233" s="475"/>
    </row>
    <row r="234" spans="1:11" ht="13.15" customHeight="1" x14ac:dyDescent="0.2">
      <c r="A234" s="493" t="s">
        <v>360</v>
      </c>
      <c r="B234" s="491">
        <v>4863</v>
      </c>
      <c r="C234" s="489"/>
      <c r="D234" s="467"/>
      <c r="E234" s="468"/>
      <c r="F234" s="475"/>
      <c r="G234" s="526"/>
      <c r="H234" s="468"/>
      <c r="I234" s="468"/>
      <c r="J234" s="468"/>
      <c r="K234" s="468"/>
    </row>
    <row r="235" spans="1:11" ht="13.15" customHeight="1" x14ac:dyDescent="0.2">
      <c r="A235" s="493" t="s">
        <v>469</v>
      </c>
      <c r="B235" s="491">
        <v>4864</v>
      </c>
      <c r="C235" s="489"/>
      <c r="D235" s="467"/>
      <c r="E235" s="467"/>
      <c r="F235" s="467"/>
      <c r="G235" s="467"/>
      <c r="H235" s="467"/>
      <c r="I235" s="468"/>
      <c r="J235" s="467"/>
      <c r="K235" s="467"/>
    </row>
    <row r="236" spans="1:11" ht="13.15" customHeight="1" x14ac:dyDescent="0.2">
      <c r="A236" s="493" t="s">
        <v>470</v>
      </c>
      <c r="B236" s="491">
        <v>4865</v>
      </c>
      <c r="C236" s="489"/>
      <c r="D236" s="467"/>
      <c r="E236" s="467"/>
      <c r="F236" s="467"/>
      <c r="G236" s="467"/>
      <c r="H236" s="467"/>
      <c r="I236" s="468"/>
      <c r="J236" s="467"/>
      <c r="K236" s="467"/>
    </row>
    <row r="237" spans="1:11" ht="13.15" customHeight="1" x14ac:dyDescent="0.2">
      <c r="A237" s="493" t="s">
        <v>468</v>
      </c>
      <c r="B237" s="491">
        <v>4866</v>
      </c>
      <c r="C237" s="489"/>
      <c r="D237" s="467"/>
      <c r="E237" s="467"/>
      <c r="F237" s="467"/>
      <c r="G237" s="467"/>
      <c r="H237" s="467"/>
      <c r="I237" s="468"/>
      <c r="J237" s="467"/>
      <c r="K237" s="467"/>
    </row>
    <row r="238" spans="1:11" ht="13.15" customHeight="1" x14ac:dyDescent="0.2">
      <c r="A238" s="493" t="s">
        <v>467</v>
      </c>
      <c r="B238" s="491">
        <v>4867</v>
      </c>
      <c r="C238" s="489"/>
      <c r="D238" s="467"/>
      <c r="E238" s="467"/>
      <c r="F238" s="467"/>
      <c r="G238" s="467"/>
      <c r="H238" s="467"/>
      <c r="I238" s="468"/>
      <c r="J238" s="467"/>
      <c r="K238" s="467"/>
    </row>
    <row r="239" spans="1:11" ht="13.15" customHeight="1" x14ac:dyDescent="0.2">
      <c r="A239" s="493" t="s">
        <v>466</v>
      </c>
      <c r="B239" s="491">
        <v>4868</v>
      </c>
      <c r="C239" s="489"/>
      <c r="D239" s="467"/>
      <c r="E239" s="467"/>
      <c r="F239" s="467"/>
      <c r="G239" s="467"/>
      <c r="H239" s="467"/>
      <c r="I239" s="468"/>
      <c r="J239" s="467"/>
      <c r="K239" s="467"/>
    </row>
    <row r="240" spans="1:11" ht="13.15" customHeight="1" x14ac:dyDescent="0.2">
      <c r="A240" s="493" t="s">
        <v>465</v>
      </c>
      <c r="B240" s="491">
        <v>4869</v>
      </c>
      <c r="C240" s="489"/>
      <c r="D240" s="467"/>
      <c r="E240" s="467"/>
      <c r="F240" s="467"/>
      <c r="G240" s="467"/>
      <c r="H240" s="467"/>
      <c r="I240" s="468"/>
      <c r="J240" s="467"/>
      <c r="K240" s="467"/>
    </row>
    <row r="241" spans="1:11" ht="13.15" customHeight="1" x14ac:dyDescent="0.2">
      <c r="A241" s="493" t="s">
        <v>1128</v>
      </c>
      <c r="B241" s="491">
        <v>4870</v>
      </c>
      <c r="C241" s="489"/>
      <c r="D241" s="467"/>
      <c r="E241" s="467"/>
      <c r="F241" s="467"/>
      <c r="G241" s="467"/>
      <c r="H241" s="467"/>
      <c r="I241" s="468"/>
      <c r="J241" s="467"/>
      <c r="K241" s="467"/>
    </row>
    <row r="242" spans="1:11" ht="13.15" customHeight="1" x14ac:dyDescent="0.2">
      <c r="A242" s="493" t="s">
        <v>788</v>
      </c>
      <c r="B242" s="491">
        <v>4871</v>
      </c>
      <c r="C242" s="489"/>
      <c r="D242" s="467"/>
      <c r="E242" s="467"/>
      <c r="F242" s="467"/>
      <c r="G242" s="467"/>
      <c r="H242" s="467"/>
      <c r="I242" s="468"/>
      <c r="J242" s="467"/>
      <c r="K242" s="467"/>
    </row>
    <row r="243" spans="1:11" ht="13.15" customHeight="1" x14ac:dyDescent="0.2">
      <c r="A243" s="493" t="s">
        <v>789</v>
      </c>
      <c r="B243" s="491">
        <v>4872</v>
      </c>
      <c r="C243" s="489"/>
      <c r="D243" s="467"/>
      <c r="E243" s="467"/>
      <c r="F243" s="467"/>
      <c r="G243" s="467"/>
      <c r="H243" s="467"/>
      <c r="I243" s="468"/>
      <c r="J243" s="467"/>
      <c r="K243" s="467"/>
    </row>
    <row r="244" spans="1:11" ht="13.15" customHeight="1" x14ac:dyDescent="0.2">
      <c r="A244" s="493" t="s">
        <v>790</v>
      </c>
      <c r="B244" s="491">
        <v>4873</v>
      </c>
      <c r="C244" s="489"/>
      <c r="D244" s="467"/>
      <c r="E244" s="467"/>
      <c r="F244" s="467"/>
      <c r="G244" s="467"/>
      <c r="H244" s="467"/>
      <c r="I244" s="468"/>
      <c r="J244" s="467"/>
      <c r="K244" s="467"/>
    </row>
    <row r="245" spans="1:11" ht="13.15" customHeight="1" x14ac:dyDescent="0.2">
      <c r="A245" s="493" t="s">
        <v>791</v>
      </c>
      <c r="B245" s="491">
        <v>4874</v>
      </c>
      <c r="C245" s="489"/>
      <c r="D245" s="467"/>
      <c r="E245" s="467"/>
      <c r="F245" s="467"/>
      <c r="G245" s="467"/>
      <c r="H245" s="467"/>
      <c r="I245" s="468"/>
      <c r="J245" s="467"/>
      <c r="K245" s="467"/>
    </row>
    <row r="246" spans="1:11" ht="13.15" customHeight="1" x14ac:dyDescent="0.2">
      <c r="A246" s="493" t="s">
        <v>471</v>
      </c>
      <c r="B246" s="491">
        <v>4875</v>
      </c>
      <c r="C246" s="489"/>
      <c r="D246" s="467"/>
      <c r="E246" s="467"/>
      <c r="F246" s="467"/>
      <c r="G246" s="467"/>
      <c r="H246" s="467"/>
      <c r="I246" s="468"/>
      <c r="J246" s="467"/>
      <c r="K246" s="467"/>
    </row>
    <row r="247" spans="1:11" ht="13.15" customHeight="1" x14ac:dyDescent="0.2">
      <c r="A247" s="493" t="s">
        <v>770</v>
      </c>
      <c r="B247" s="491">
        <v>4876</v>
      </c>
      <c r="C247" s="489"/>
      <c r="D247" s="467"/>
      <c r="E247" s="467"/>
      <c r="F247" s="467"/>
      <c r="G247" s="467"/>
      <c r="H247" s="467"/>
      <c r="I247" s="468"/>
      <c r="J247" s="467"/>
      <c r="K247" s="467"/>
    </row>
    <row r="248" spans="1:11" ht="13.15" customHeight="1" x14ac:dyDescent="0.2">
      <c r="A248" s="493" t="s">
        <v>771</v>
      </c>
      <c r="B248" s="491">
        <v>4877</v>
      </c>
      <c r="C248" s="489"/>
      <c r="D248" s="467"/>
      <c r="E248" s="467"/>
      <c r="F248" s="467"/>
      <c r="G248" s="467"/>
      <c r="H248" s="467"/>
      <c r="I248" s="468"/>
      <c r="J248" s="467"/>
      <c r="K248" s="467"/>
    </row>
    <row r="249" spans="1:11" ht="13.15" customHeight="1" x14ac:dyDescent="0.2">
      <c r="A249" s="493" t="s">
        <v>772</v>
      </c>
      <c r="B249" s="491">
        <v>4878</v>
      </c>
      <c r="C249" s="489"/>
      <c r="D249" s="467"/>
      <c r="E249" s="467"/>
      <c r="F249" s="467"/>
      <c r="G249" s="467"/>
      <c r="H249" s="467"/>
      <c r="I249" s="468"/>
      <c r="J249" s="467"/>
      <c r="K249" s="467"/>
    </row>
    <row r="250" spans="1:11" ht="13.15" customHeight="1" x14ac:dyDescent="0.2">
      <c r="A250" s="493" t="s">
        <v>773</v>
      </c>
      <c r="B250" s="491">
        <v>4879</v>
      </c>
      <c r="C250" s="489"/>
      <c r="D250" s="467"/>
      <c r="E250" s="467"/>
      <c r="F250" s="467"/>
      <c r="G250" s="467"/>
      <c r="H250" s="467"/>
      <c r="I250" s="468"/>
      <c r="J250" s="467"/>
      <c r="K250" s="467"/>
    </row>
    <row r="251" spans="1:11" ht="13.15" customHeight="1" x14ac:dyDescent="0.2">
      <c r="A251" s="225" t="s">
        <v>1441</v>
      </c>
      <c r="B251" s="587">
        <v>4880</v>
      </c>
      <c r="C251" s="489"/>
      <c r="D251" s="467"/>
      <c r="E251" s="467"/>
      <c r="F251" s="467"/>
      <c r="G251" s="467"/>
      <c r="H251" s="467"/>
      <c r="I251" s="468"/>
      <c r="J251" s="467"/>
      <c r="K251" s="467"/>
    </row>
    <row r="252" spans="1:11" ht="13.1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3.15" customHeight="1" thickTop="1" thickBot="1" x14ac:dyDescent="0.25">
      <c r="A253" s="1502" t="s">
        <v>1407</v>
      </c>
      <c r="B253" s="588">
        <v>4901</v>
      </c>
      <c r="C253" s="589"/>
      <c r="D253" s="469"/>
      <c r="E253" s="468"/>
      <c r="F253" s="468"/>
      <c r="G253" s="468"/>
      <c r="H253" s="468"/>
      <c r="I253" s="468"/>
      <c r="J253" s="468"/>
      <c r="K253" s="468"/>
    </row>
    <row r="254" spans="1:11" ht="13.15" customHeight="1" thickTop="1" thickBot="1" x14ac:dyDescent="0.25">
      <c r="A254" s="1503" t="s">
        <v>1449</v>
      </c>
      <c r="B254" s="590">
        <v>4902</v>
      </c>
      <c r="C254" s="591"/>
      <c r="D254" s="592"/>
      <c r="E254" s="469"/>
      <c r="F254" s="592"/>
      <c r="G254" s="592"/>
      <c r="H254" s="469"/>
      <c r="I254" s="468"/>
      <c r="J254" s="469"/>
      <c r="K254" s="469"/>
    </row>
    <row r="255" spans="1:11" ht="13.15" customHeight="1" thickTop="1" thickBot="1" x14ac:dyDescent="0.25">
      <c r="A255" s="463" t="s">
        <v>1442</v>
      </c>
      <c r="B255" s="470">
        <v>4905</v>
      </c>
      <c r="C255" s="573"/>
      <c r="D255" s="468"/>
      <c r="E255" s="468"/>
      <c r="F255" s="578"/>
      <c r="G255" s="573"/>
      <c r="H255" s="468"/>
      <c r="I255" s="468"/>
      <c r="J255" s="468"/>
      <c r="K255" s="468"/>
    </row>
    <row r="256" spans="1:11" ht="13.15" customHeight="1" thickTop="1" thickBot="1" x14ac:dyDescent="0.25">
      <c r="A256" s="463" t="s">
        <v>1443</v>
      </c>
      <c r="B256" s="470">
        <v>4909</v>
      </c>
      <c r="C256" s="576"/>
      <c r="D256" s="468"/>
      <c r="E256" s="468"/>
      <c r="F256" s="576"/>
      <c r="G256" s="576"/>
      <c r="H256" s="468"/>
      <c r="I256" s="468"/>
      <c r="J256" s="468"/>
      <c r="K256" s="468"/>
    </row>
    <row r="257" spans="1:11" ht="13.15" customHeight="1" thickTop="1" thickBot="1" x14ac:dyDescent="0.25">
      <c r="A257" s="463" t="s">
        <v>193</v>
      </c>
      <c r="B257" s="470">
        <v>4920</v>
      </c>
      <c r="C257" s="576"/>
      <c r="D257" s="578"/>
      <c r="E257" s="468"/>
      <c r="F257" s="573"/>
      <c r="G257" s="573"/>
      <c r="H257" s="468"/>
      <c r="I257" s="468"/>
      <c r="J257" s="468"/>
      <c r="K257" s="468"/>
    </row>
    <row r="258" spans="1:11" ht="13.15" customHeight="1" thickTop="1" thickBot="1" x14ac:dyDescent="0.25">
      <c r="A258" s="463" t="s">
        <v>421</v>
      </c>
      <c r="B258" s="470">
        <v>4930</v>
      </c>
      <c r="C258" s="576">
        <v>6551</v>
      </c>
      <c r="D258" s="576"/>
      <c r="E258" s="468"/>
      <c r="F258" s="576"/>
      <c r="G258" s="576"/>
      <c r="H258" s="468"/>
      <c r="I258" s="468"/>
      <c r="J258" s="468"/>
      <c r="K258" s="468"/>
    </row>
    <row r="259" spans="1:11" ht="13.15" customHeight="1" thickTop="1" thickBot="1" x14ac:dyDescent="0.25">
      <c r="A259" s="463" t="s">
        <v>758</v>
      </c>
      <c r="B259" s="470">
        <v>4932</v>
      </c>
      <c r="C259" s="576"/>
      <c r="D259" s="576"/>
      <c r="E259" s="468"/>
      <c r="F259" s="576"/>
      <c r="G259" s="576"/>
      <c r="H259" s="468"/>
      <c r="I259" s="468"/>
      <c r="J259" s="468"/>
      <c r="K259" s="468"/>
    </row>
    <row r="260" spans="1:11" ht="13.15" customHeight="1" thickTop="1" thickBot="1" x14ac:dyDescent="0.25">
      <c r="A260" s="463" t="s">
        <v>890</v>
      </c>
      <c r="B260" s="470">
        <v>4960</v>
      </c>
      <c r="C260" s="575"/>
      <c r="D260" s="576"/>
      <c r="E260" s="468"/>
      <c r="F260" s="576"/>
      <c r="G260" s="576"/>
      <c r="H260" s="468"/>
      <c r="I260" s="468"/>
      <c r="J260" s="468"/>
      <c r="K260" s="468"/>
    </row>
    <row r="261" spans="1:11" ht="13.15" customHeight="1" thickTop="1" thickBot="1" x14ac:dyDescent="0.25">
      <c r="A261" s="1890" t="s">
        <v>1900</v>
      </c>
      <c r="B261" s="470">
        <v>4981</v>
      </c>
      <c r="C261" s="575"/>
      <c r="D261" s="576"/>
      <c r="E261" s="468"/>
      <c r="F261" s="576"/>
      <c r="G261" s="576"/>
      <c r="H261" s="468"/>
      <c r="I261" s="468"/>
      <c r="J261" s="468"/>
      <c r="K261" s="468"/>
    </row>
    <row r="262" spans="1:11" ht="13.15" customHeight="1" thickTop="1" thickBot="1" x14ac:dyDescent="0.25">
      <c r="A262" s="1891" t="s">
        <v>1901</v>
      </c>
      <c r="B262" s="470">
        <v>4982</v>
      </c>
      <c r="C262" s="575"/>
      <c r="D262" s="576"/>
      <c r="E262" s="468"/>
      <c r="F262" s="576"/>
      <c r="G262" s="576"/>
      <c r="H262" s="468"/>
      <c r="I262" s="468"/>
      <c r="J262" s="468"/>
      <c r="K262" s="468"/>
    </row>
    <row r="263" spans="1:11" ht="13.15" customHeight="1" thickTop="1" thickBot="1" x14ac:dyDescent="0.25">
      <c r="A263" s="463" t="s">
        <v>568</v>
      </c>
      <c r="B263" s="470">
        <v>4991</v>
      </c>
      <c r="C263" s="575">
        <v>6017</v>
      </c>
      <c r="D263" s="576"/>
      <c r="E263" s="468"/>
      <c r="F263" s="576"/>
      <c r="G263" s="576"/>
      <c r="H263" s="468"/>
      <c r="I263" s="468"/>
      <c r="J263" s="468"/>
      <c r="K263" s="468"/>
    </row>
    <row r="264" spans="1:11" ht="13.15" customHeight="1" thickTop="1" thickBot="1" x14ac:dyDescent="0.25">
      <c r="A264" s="463" t="s">
        <v>377</v>
      </c>
      <c r="B264" s="470">
        <v>4992</v>
      </c>
      <c r="C264" s="575">
        <v>5383</v>
      </c>
      <c r="D264" s="576"/>
      <c r="E264" s="468"/>
      <c r="F264" s="576"/>
      <c r="G264" s="576"/>
      <c r="H264" s="468"/>
      <c r="I264" s="468"/>
      <c r="J264" s="468"/>
      <c r="K264" s="468"/>
    </row>
    <row r="265" spans="1:11" s="593" customFormat="1" ht="13.1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1635</v>
      </c>
      <c r="B266" s="1727"/>
      <c r="C266" s="1715">
        <f t="shared" ref="C266:H266" si="10">SUM(C188,C198,C204,C209,C217,C221,C222,C252:C265)</f>
        <v>271004</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271004</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4263284</v>
      </c>
      <c r="D268" s="1715">
        <f t="shared" si="12"/>
        <v>401642</v>
      </c>
      <c r="E268" s="1715">
        <f t="shared" si="12"/>
        <v>210805</v>
      </c>
      <c r="F268" s="1715">
        <f t="shared" si="12"/>
        <v>185767</v>
      </c>
      <c r="G268" s="1715">
        <f t="shared" si="12"/>
        <v>140384</v>
      </c>
      <c r="H268" s="1715">
        <f t="shared" si="12"/>
        <v>261399</v>
      </c>
      <c r="I268" s="1715">
        <f t="shared" si="12"/>
        <v>57532</v>
      </c>
      <c r="J268" s="1715">
        <f t="shared" si="12"/>
        <v>313231</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 right="0.15" top="0.66" bottom="0.46" header="0.26" footer="0.17"/>
  <pageSetup scale="70" firstPageNumber="9" fitToHeight="0" orientation="landscape" useFirstPageNumber="1" r:id="rId1"/>
  <headerFooter alignWithMargins="0">
    <oddHeader>&amp;L&amp;8Page &amp;P&amp;C&amp;"Arial,Bold"&amp;9STATEMENT OF REVENUES RECEIVED
FOR THE YEAR ENDING JUNE 30, 2019&amp;R&amp;8Page &amp;P</oddHeader>
    <oddFooter>&amp;L&amp;8Printed Date: &amp;D
&amp;F&amp;CSee Notes to the Accompanying Financial Statements.</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110" zoomScaleNormal="110" workbookViewId="0">
      <pane ySplit="2" topLeftCell="A315" activePane="bottomLeft" state="frozen"/>
      <selection activeCell="X29" sqref="X29"/>
      <selection pane="bottomLeft" activeCell="E330" sqref="E33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084" t="s">
        <v>1767</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18"/>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24" t="s">
        <v>297</v>
      </c>
      <c r="B3" s="2125"/>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1334939</v>
      </c>
      <c r="D5" s="466">
        <v>179889</v>
      </c>
      <c r="E5" s="466"/>
      <c r="F5" s="466">
        <v>17066</v>
      </c>
      <c r="G5" s="466"/>
      <c r="H5" s="466"/>
      <c r="I5" s="467"/>
      <c r="J5" s="467"/>
      <c r="K5" s="1671">
        <f>SUM(C5:J5)</f>
        <v>1531894</v>
      </c>
      <c r="L5" s="466">
        <v>1542930</v>
      </c>
    </row>
    <row r="6" spans="1:14" x14ac:dyDescent="0.2">
      <c r="A6" s="1504" t="s">
        <v>1419</v>
      </c>
      <c r="B6" s="614" t="s">
        <v>1417</v>
      </c>
      <c r="C6" s="477"/>
      <c r="D6" s="477"/>
      <c r="E6" s="466"/>
      <c r="F6" s="477"/>
      <c r="G6" s="477"/>
      <c r="H6" s="477"/>
      <c r="I6" s="477"/>
      <c r="J6" s="477"/>
      <c r="K6" s="1671">
        <f>SUM(C6,E6)</f>
        <v>0</v>
      </c>
      <c r="L6" s="466">
        <v>0</v>
      </c>
    </row>
    <row r="7" spans="1:14" x14ac:dyDescent="0.2">
      <c r="A7" s="1504" t="s">
        <v>163</v>
      </c>
      <c r="B7" s="614" t="s">
        <v>967</v>
      </c>
      <c r="C7" s="467">
        <v>124779</v>
      </c>
      <c r="D7" s="467">
        <v>30098</v>
      </c>
      <c r="E7" s="467">
        <v>6200</v>
      </c>
      <c r="F7" s="467">
        <v>22728</v>
      </c>
      <c r="G7" s="467"/>
      <c r="H7" s="467">
        <v>779</v>
      </c>
      <c r="I7" s="467"/>
      <c r="J7" s="467"/>
      <c r="K7" s="1671">
        <f t="shared" ref="K7:K32" si="0">SUM(C7:J7)</f>
        <v>184584</v>
      </c>
      <c r="L7" s="466">
        <v>188042</v>
      </c>
    </row>
    <row r="8" spans="1:14" x14ac:dyDescent="0.2">
      <c r="A8" s="1504" t="s">
        <v>164</v>
      </c>
      <c r="B8" s="614">
        <v>1200</v>
      </c>
      <c r="C8" s="466">
        <v>592223</v>
      </c>
      <c r="D8" s="466">
        <v>108565</v>
      </c>
      <c r="E8" s="466">
        <v>408</v>
      </c>
      <c r="F8" s="466">
        <v>2358</v>
      </c>
      <c r="G8" s="466"/>
      <c r="H8" s="466"/>
      <c r="I8" s="467"/>
      <c r="J8" s="467"/>
      <c r="K8" s="1671">
        <f t="shared" si="0"/>
        <v>703554</v>
      </c>
      <c r="L8" s="466">
        <v>721150</v>
      </c>
    </row>
    <row r="9" spans="1:14" x14ac:dyDescent="0.2">
      <c r="A9" s="1504" t="s">
        <v>721</v>
      </c>
      <c r="B9" s="614" t="s">
        <v>968</v>
      </c>
      <c r="C9" s="467">
        <v>75478</v>
      </c>
      <c r="D9" s="467">
        <v>9990</v>
      </c>
      <c r="E9" s="467"/>
      <c r="F9" s="467">
        <v>80</v>
      </c>
      <c r="G9" s="467"/>
      <c r="H9" s="467"/>
      <c r="I9" s="467"/>
      <c r="J9" s="467"/>
      <c r="K9" s="1671">
        <f t="shared" si="0"/>
        <v>85548</v>
      </c>
      <c r="L9" s="466">
        <v>83277</v>
      </c>
    </row>
    <row r="10" spans="1:14" x14ac:dyDescent="0.2">
      <c r="A10" s="1504" t="s">
        <v>722</v>
      </c>
      <c r="B10" s="614">
        <v>1250</v>
      </c>
      <c r="C10" s="466">
        <v>45095</v>
      </c>
      <c r="D10" s="466">
        <v>17458</v>
      </c>
      <c r="E10" s="466"/>
      <c r="F10" s="466">
        <v>65472</v>
      </c>
      <c r="G10" s="466"/>
      <c r="H10" s="466"/>
      <c r="I10" s="467"/>
      <c r="J10" s="467"/>
      <c r="K10" s="1671">
        <f t="shared" si="0"/>
        <v>128025</v>
      </c>
      <c r="L10" s="466">
        <v>109744</v>
      </c>
    </row>
    <row r="11" spans="1:14" x14ac:dyDescent="0.2">
      <c r="A11" s="1504" t="s">
        <v>1130</v>
      </c>
      <c r="B11" s="614" t="s">
        <v>161</v>
      </c>
      <c r="C11" s="467"/>
      <c r="D11" s="467"/>
      <c r="E11" s="467"/>
      <c r="F11" s="467"/>
      <c r="G11" s="467"/>
      <c r="H11" s="467"/>
      <c r="I11" s="467"/>
      <c r="J11" s="467"/>
      <c r="K11" s="1671">
        <f t="shared" si="0"/>
        <v>0</v>
      </c>
      <c r="L11" s="466">
        <v>0</v>
      </c>
    </row>
    <row r="12" spans="1:14" x14ac:dyDescent="0.2">
      <c r="A12" s="1504" t="s">
        <v>962</v>
      </c>
      <c r="B12" s="614">
        <v>1300</v>
      </c>
      <c r="C12" s="466"/>
      <c r="D12" s="466"/>
      <c r="E12" s="466"/>
      <c r="F12" s="466"/>
      <c r="G12" s="466"/>
      <c r="H12" s="466"/>
      <c r="I12" s="467"/>
      <c r="J12" s="467"/>
      <c r="K12" s="1671">
        <f t="shared" si="0"/>
        <v>0</v>
      </c>
      <c r="L12" s="466">
        <v>0</v>
      </c>
    </row>
    <row r="13" spans="1:14" x14ac:dyDescent="0.2">
      <c r="A13" s="1504" t="s">
        <v>723</v>
      </c>
      <c r="B13" s="614">
        <v>1400</v>
      </c>
      <c r="C13" s="466"/>
      <c r="D13" s="466"/>
      <c r="E13" s="466"/>
      <c r="F13" s="466"/>
      <c r="G13" s="466"/>
      <c r="H13" s="466"/>
      <c r="I13" s="467"/>
      <c r="J13" s="467"/>
      <c r="K13" s="1671">
        <f t="shared" si="0"/>
        <v>0</v>
      </c>
      <c r="L13" s="466">
        <v>0</v>
      </c>
    </row>
    <row r="14" spans="1:14" x14ac:dyDescent="0.2">
      <c r="A14" s="1504" t="s">
        <v>963</v>
      </c>
      <c r="B14" s="614">
        <v>1500</v>
      </c>
      <c r="C14" s="466">
        <v>168116</v>
      </c>
      <c r="D14" s="466">
        <v>16965</v>
      </c>
      <c r="E14" s="466">
        <v>35225</v>
      </c>
      <c r="F14" s="466">
        <v>5546</v>
      </c>
      <c r="G14" s="466">
        <v>3956</v>
      </c>
      <c r="H14" s="466">
        <v>2600</v>
      </c>
      <c r="I14" s="467"/>
      <c r="J14" s="467"/>
      <c r="K14" s="1671">
        <f t="shared" si="0"/>
        <v>232408</v>
      </c>
      <c r="L14" s="466">
        <v>244219</v>
      </c>
    </row>
    <row r="15" spans="1:14" x14ac:dyDescent="0.2">
      <c r="A15" s="1504" t="s">
        <v>964</v>
      </c>
      <c r="B15" s="614">
        <v>1600</v>
      </c>
      <c r="C15" s="466">
        <v>1550</v>
      </c>
      <c r="D15" s="466">
        <v>24</v>
      </c>
      <c r="E15" s="466"/>
      <c r="F15" s="466"/>
      <c r="G15" s="466"/>
      <c r="H15" s="466"/>
      <c r="I15" s="467"/>
      <c r="J15" s="467"/>
      <c r="K15" s="1671">
        <f t="shared" si="0"/>
        <v>1574</v>
      </c>
      <c r="L15" s="466">
        <v>2480</v>
      </c>
    </row>
    <row r="16" spans="1:14" x14ac:dyDescent="0.2">
      <c r="A16" s="1504" t="s">
        <v>987</v>
      </c>
      <c r="B16" s="614" t="s">
        <v>424</v>
      </c>
      <c r="C16" s="466"/>
      <c r="D16" s="466"/>
      <c r="E16" s="466"/>
      <c r="F16" s="466"/>
      <c r="G16" s="466"/>
      <c r="H16" s="466"/>
      <c r="I16" s="467"/>
      <c r="J16" s="467"/>
      <c r="K16" s="1671">
        <f t="shared" si="0"/>
        <v>0</v>
      </c>
      <c r="L16" s="466">
        <v>0</v>
      </c>
    </row>
    <row r="17" spans="1:12" x14ac:dyDescent="0.2">
      <c r="A17" s="1504" t="s">
        <v>724</v>
      </c>
      <c r="B17" s="614" t="s">
        <v>162</v>
      </c>
      <c r="C17" s="467"/>
      <c r="D17" s="467"/>
      <c r="E17" s="467"/>
      <c r="F17" s="467"/>
      <c r="G17" s="467"/>
      <c r="H17" s="467"/>
      <c r="I17" s="467"/>
      <c r="J17" s="467"/>
      <c r="K17" s="1671">
        <f t="shared" si="0"/>
        <v>0</v>
      </c>
      <c r="L17" s="466">
        <v>0</v>
      </c>
    </row>
    <row r="18" spans="1:12" x14ac:dyDescent="0.2">
      <c r="A18" s="1504" t="s">
        <v>1087</v>
      </c>
      <c r="B18" s="614">
        <v>1800</v>
      </c>
      <c r="C18" s="466"/>
      <c r="D18" s="466"/>
      <c r="E18" s="466"/>
      <c r="F18" s="466"/>
      <c r="G18" s="466"/>
      <c r="H18" s="466"/>
      <c r="I18" s="467"/>
      <c r="J18" s="467"/>
      <c r="K18" s="1671">
        <f t="shared" si="0"/>
        <v>0</v>
      </c>
      <c r="L18" s="466">
        <v>0</v>
      </c>
    </row>
    <row r="19" spans="1:12" x14ac:dyDescent="0.2">
      <c r="A19" s="1504" t="s">
        <v>134</v>
      </c>
      <c r="B19" s="614">
        <v>1900</v>
      </c>
      <c r="C19" s="466"/>
      <c r="D19" s="466"/>
      <c r="E19" s="466"/>
      <c r="F19" s="466"/>
      <c r="G19" s="466"/>
      <c r="H19" s="466"/>
      <c r="I19" s="467"/>
      <c r="J19" s="467"/>
      <c r="K19" s="1671">
        <f t="shared" si="0"/>
        <v>0</v>
      </c>
      <c r="L19" s="466">
        <v>0</v>
      </c>
    </row>
    <row r="20" spans="1:12" x14ac:dyDescent="0.2">
      <c r="A20" s="1505" t="s">
        <v>738</v>
      </c>
      <c r="B20" s="602" t="s">
        <v>725</v>
      </c>
      <c r="C20" s="477"/>
      <c r="D20" s="477"/>
      <c r="E20" s="477"/>
      <c r="F20" s="477"/>
      <c r="G20" s="477"/>
      <c r="H20" s="474"/>
      <c r="I20" s="616"/>
      <c r="J20" s="475"/>
      <c r="K20" s="1671">
        <f t="shared" si="0"/>
        <v>0</v>
      </c>
      <c r="L20" s="471">
        <v>0</v>
      </c>
    </row>
    <row r="21" spans="1:12" x14ac:dyDescent="0.2">
      <c r="A21" s="1505" t="s">
        <v>739</v>
      </c>
      <c r="B21" s="602" t="s">
        <v>726</v>
      </c>
      <c r="C21" s="477"/>
      <c r="D21" s="477"/>
      <c r="E21" s="477"/>
      <c r="F21" s="477"/>
      <c r="G21" s="477"/>
      <c r="H21" s="474"/>
      <c r="I21" s="616"/>
      <c r="J21" s="477"/>
      <c r="K21" s="1671">
        <f t="shared" si="0"/>
        <v>0</v>
      </c>
      <c r="L21" s="471">
        <v>0</v>
      </c>
    </row>
    <row r="22" spans="1:12" x14ac:dyDescent="0.2">
      <c r="A22" s="1505" t="s">
        <v>740</v>
      </c>
      <c r="B22" s="602" t="s">
        <v>727</v>
      </c>
      <c r="C22" s="477"/>
      <c r="D22" s="477"/>
      <c r="E22" s="477"/>
      <c r="F22" s="477"/>
      <c r="G22" s="477"/>
      <c r="H22" s="474"/>
      <c r="I22" s="616"/>
      <c r="J22" s="477"/>
      <c r="K22" s="1671">
        <f t="shared" si="0"/>
        <v>0</v>
      </c>
      <c r="L22" s="471">
        <v>0</v>
      </c>
    </row>
    <row r="23" spans="1:12" x14ac:dyDescent="0.2">
      <c r="A23" s="1505" t="s">
        <v>741</v>
      </c>
      <c r="B23" s="602" t="s">
        <v>728</v>
      </c>
      <c r="C23" s="477"/>
      <c r="D23" s="477"/>
      <c r="E23" s="477"/>
      <c r="F23" s="477"/>
      <c r="G23" s="477"/>
      <c r="H23" s="474"/>
      <c r="I23" s="616"/>
      <c r="J23" s="477"/>
      <c r="K23" s="1671">
        <f t="shared" si="0"/>
        <v>0</v>
      </c>
      <c r="L23" s="471">
        <v>0</v>
      </c>
    </row>
    <row r="24" spans="1:12" ht="13.15" customHeight="1" x14ac:dyDescent="0.2">
      <c r="A24" s="1505" t="s">
        <v>742</v>
      </c>
      <c r="B24" s="602" t="s">
        <v>729</v>
      </c>
      <c r="C24" s="477"/>
      <c r="D24" s="477"/>
      <c r="E24" s="477"/>
      <c r="F24" s="477"/>
      <c r="G24" s="477"/>
      <c r="H24" s="474"/>
      <c r="I24" s="616"/>
      <c r="J24" s="477"/>
      <c r="K24" s="1671">
        <f t="shared" si="0"/>
        <v>0</v>
      </c>
      <c r="L24" s="471">
        <v>0</v>
      </c>
    </row>
    <row r="25" spans="1:12" ht="13.15" customHeight="1" x14ac:dyDescent="0.2">
      <c r="A25" s="1505" t="s">
        <v>802</v>
      </c>
      <c r="B25" s="602" t="s">
        <v>730</v>
      </c>
      <c r="C25" s="477"/>
      <c r="D25" s="477"/>
      <c r="E25" s="477"/>
      <c r="F25" s="477"/>
      <c r="G25" s="477"/>
      <c r="H25" s="474"/>
      <c r="I25" s="616"/>
      <c r="J25" s="477"/>
      <c r="K25" s="1671">
        <f t="shared" si="0"/>
        <v>0</v>
      </c>
      <c r="L25" s="471">
        <v>0</v>
      </c>
    </row>
    <row r="26" spans="1:12" x14ac:dyDescent="0.2">
      <c r="A26" s="1505" t="s">
        <v>622</v>
      </c>
      <c r="B26" s="602" t="s">
        <v>731</v>
      </c>
      <c r="C26" s="477"/>
      <c r="D26" s="477"/>
      <c r="E26" s="477"/>
      <c r="F26" s="477"/>
      <c r="G26" s="477"/>
      <c r="H26" s="474"/>
      <c r="I26" s="616"/>
      <c r="J26" s="477"/>
      <c r="K26" s="1671">
        <f t="shared" si="0"/>
        <v>0</v>
      </c>
      <c r="L26" s="471">
        <v>0</v>
      </c>
    </row>
    <row r="27" spans="1:12" x14ac:dyDescent="0.2">
      <c r="A27" s="1505" t="s">
        <v>623</v>
      </c>
      <c r="B27" s="602" t="s">
        <v>732</v>
      </c>
      <c r="C27" s="477"/>
      <c r="D27" s="477"/>
      <c r="E27" s="477"/>
      <c r="F27" s="477"/>
      <c r="G27" s="477"/>
      <c r="H27" s="474"/>
      <c r="I27" s="616"/>
      <c r="J27" s="477"/>
      <c r="K27" s="1671">
        <f t="shared" si="0"/>
        <v>0</v>
      </c>
      <c r="L27" s="471">
        <v>0</v>
      </c>
    </row>
    <row r="28" spans="1:12" x14ac:dyDescent="0.2">
      <c r="A28" s="1505" t="s">
        <v>150</v>
      </c>
      <c r="B28" s="602" t="s">
        <v>733</v>
      </c>
      <c r="C28" s="477"/>
      <c r="D28" s="477"/>
      <c r="E28" s="477"/>
      <c r="F28" s="477"/>
      <c r="G28" s="477"/>
      <c r="H28" s="474"/>
      <c r="I28" s="616"/>
      <c r="J28" s="477"/>
      <c r="K28" s="1671">
        <f t="shared" si="0"/>
        <v>0</v>
      </c>
      <c r="L28" s="471">
        <v>0</v>
      </c>
    </row>
    <row r="29" spans="1:12" x14ac:dyDescent="0.2">
      <c r="A29" s="1505" t="s">
        <v>151</v>
      </c>
      <c r="B29" s="602" t="s">
        <v>734</v>
      </c>
      <c r="C29" s="477"/>
      <c r="D29" s="477"/>
      <c r="E29" s="477"/>
      <c r="F29" s="477"/>
      <c r="G29" s="477"/>
      <c r="H29" s="474"/>
      <c r="I29" s="616"/>
      <c r="J29" s="477"/>
      <c r="K29" s="1671">
        <f t="shared" si="0"/>
        <v>0</v>
      </c>
      <c r="L29" s="471">
        <v>0</v>
      </c>
    </row>
    <row r="30" spans="1:12" x14ac:dyDescent="0.2">
      <c r="A30" s="1505" t="s">
        <v>152</v>
      </c>
      <c r="B30" s="602" t="s">
        <v>735</v>
      </c>
      <c r="C30" s="477"/>
      <c r="D30" s="477"/>
      <c r="E30" s="477"/>
      <c r="F30" s="477"/>
      <c r="G30" s="477"/>
      <c r="H30" s="474"/>
      <c r="I30" s="616"/>
      <c r="J30" s="477"/>
      <c r="K30" s="1671">
        <f t="shared" si="0"/>
        <v>0</v>
      </c>
      <c r="L30" s="471">
        <v>0</v>
      </c>
    </row>
    <row r="31" spans="1:12" x14ac:dyDescent="0.2">
      <c r="A31" s="1505" t="s">
        <v>153</v>
      </c>
      <c r="B31" s="602" t="s">
        <v>736</v>
      </c>
      <c r="C31" s="477"/>
      <c r="D31" s="477"/>
      <c r="E31" s="477"/>
      <c r="F31" s="477"/>
      <c r="G31" s="477"/>
      <c r="H31" s="474"/>
      <c r="I31" s="616"/>
      <c r="J31" s="477"/>
      <c r="K31" s="1671">
        <f t="shared" si="0"/>
        <v>0</v>
      </c>
      <c r="L31" s="471">
        <v>0</v>
      </c>
    </row>
    <row r="32" spans="1:12" x14ac:dyDescent="0.2">
      <c r="A32" s="1506" t="s">
        <v>1129</v>
      </c>
      <c r="B32" s="614" t="s">
        <v>737</v>
      </c>
      <c r="C32" s="477"/>
      <c r="D32" s="477"/>
      <c r="E32" s="477"/>
      <c r="F32" s="477"/>
      <c r="G32" s="477"/>
      <c r="H32" s="474"/>
      <c r="I32" s="616"/>
      <c r="J32" s="480"/>
      <c r="K32" s="1671">
        <f t="shared" si="0"/>
        <v>0</v>
      </c>
      <c r="L32" s="471">
        <v>0</v>
      </c>
    </row>
    <row r="33" spans="1:14" ht="13.15" customHeight="1" thickBot="1" x14ac:dyDescent="0.25">
      <c r="A33" s="1668" t="s">
        <v>1637</v>
      </c>
      <c r="B33" s="1669" t="s">
        <v>570</v>
      </c>
      <c r="C33" s="1670">
        <f>SUM(C5:C32)</f>
        <v>2342180</v>
      </c>
      <c r="D33" s="1670">
        <f t="shared" ref="D33:L33" si="1">SUM(D5:D32)</f>
        <v>362989</v>
      </c>
      <c r="E33" s="1670">
        <f t="shared" si="1"/>
        <v>41833</v>
      </c>
      <c r="F33" s="1670">
        <f t="shared" si="1"/>
        <v>113250</v>
      </c>
      <c r="G33" s="1670">
        <f t="shared" si="1"/>
        <v>3956</v>
      </c>
      <c r="H33" s="1670">
        <f t="shared" si="1"/>
        <v>3379</v>
      </c>
      <c r="I33" s="1670">
        <f t="shared" si="1"/>
        <v>0</v>
      </c>
      <c r="J33" s="1670">
        <f t="shared" si="1"/>
        <v>0</v>
      </c>
      <c r="K33" s="1670">
        <f t="shared" si="1"/>
        <v>2867587</v>
      </c>
      <c r="L33" s="1670">
        <f t="shared" si="1"/>
        <v>2891842</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15389</v>
      </c>
      <c r="D36" s="481">
        <v>1876</v>
      </c>
      <c r="E36" s="481"/>
      <c r="F36" s="481">
        <v>10</v>
      </c>
      <c r="G36" s="481"/>
      <c r="H36" s="481"/>
      <c r="I36" s="467"/>
      <c r="J36" s="467"/>
      <c r="K36" s="1671">
        <f t="shared" ref="K36:K41" si="2">SUM(C36:J36)</f>
        <v>17275</v>
      </c>
      <c r="L36" s="466">
        <v>19855</v>
      </c>
    </row>
    <row r="37" spans="1:14" x14ac:dyDescent="0.2">
      <c r="A37" s="1504" t="s">
        <v>1090</v>
      </c>
      <c r="B37" s="614">
        <v>2120</v>
      </c>
      <c r="C37" s="466"/>
      <c r="D37" s="466"/>
      <c r="E37" s="466"/>
      <c r="F37" s="466"/>
      <c r="G37" s="466"/>
      <c r="H37" s="466"/>
      <c r="I37" s="467"/>
      <c r="J37" s="467"/>
      <c r="K37" s="1671">
        <f t="shared" si="2"/>
        <v>0</v>
      </c>
      <c r="L37" s="466">
        <v>0</v>
      </c>
    </row>
    <row r="38" spans="1:14" x14ac:dyDescent="0.2">
      <c r="A38" s="1504" t="s">
        <v>198</v>
      </c>
      <c r="B38" s="614">
        <v>2130</v>
      </c>
      <c r="C38" s="466">
        <v>14900</v>
      </c>
      <c r="D38" s="466">
        <v>3656</v>
      </c>
      <c r="E38" s="466"/>
      <c r="F38" s="466">
        <v>823</v>
      </c>
      <c r="G38" s="466"/>
      <c r="H38" s="466"/>
      <c r="I38" s="467"/>
      <c r="J38" s="467"/>
      <c r="K38" s="1671">
        <f t="shared" si="2"/>
        <v>19379</v>
      </c>
      <c r="L38" s="466">
        <v>20054</v>
      </c>
    </row>
    <row r="39" spans="1:14" x14ac:dyDescent="0.2">
      <c r="A39" s="1504" t="s">
        <v>199</v>
      </c>
      <c r="B39" s="614">
        <v>2140</v>
      </c>
      <c r="C39" s="466"/>
      <c r="D39" s="466"/>
      <c r="E39" s="466"/>
      <c r="F39" s="466"/>
      <c r="G39" s="466"/>
      <c r="H39" s="466"/>
      <c r="I39" s="467"/>
      <c r="J39" s="467"/>
      <c r="K39" s="1671">
        <f t="shared" si="2"/>
        <v>0</v>
      </c>
      <c r="L39" s="466">
        <v>0</v>
      </c>
    </row>
    <row r="40" spans="1:14" x14ac:dyDescent="0.2">
      <c r="A40" s="1504" t="s">
        <v>200</v>
      </c>
      <c r="B40" s="614">
        <v>2150</v>
      </c>
      <c r="C40" s="466"/>
      <c r="D40" s="466"/>
      <c r="E40" s="466">
        <v>161701</v>
      </c>
      <c r="F40" s="466"/>
      <c r="G40" s="466"/>
      <c r="H40" s="466"/>
      <c r="I40" s="467"/>
      <c r="J40" s="467"/>
      <c r="K40" s="1671">
        <f t="shared" si="2"/>
        <v>161701</v>
      </c>
      <c r="L40" s="466">
        <v>184500</v>
      </c>
    </row>
    <row r="41" spans="1:14" x14ac:dyDescent="0.2">
      <c r="A41" s="1504" t="s">
        <v>1638</v>
      </c>
      <c r="B41" s="614">
        <v>2190</v>
      </c>
      <c r="C41" s="466"/>
      <c r="D41" s="466"/>
      <c r="E41" s="466"/>
      <c r="F41" s="466"/>
      <c r="G41" s="466"/>
      <c r="H41" s="466"/>
      <c r="I41" s="467"/>
      <c r="J41" s="467"/>
      <c r="K41" s="1671">
        <f t="shared" si="2"/>
        <v>0</v>
      </c>
      <c r="L41" s="466">
        <v>0</v>
      </c>
    </row>
    <row r="42" spans="1:14" ht="13.15" customHeight="1" thickBot="1" x14ac:dyDescent="0.25">
      <c r="A42" s="1668" t="s">
        <v>560</v>
      </c>
      <c r="B42" s="1669" t="s">
        <v>716</v>
      </c>
      <c r="C42" s="1670">
        <f>SUM(C36:C41)</f>
        <v>30289</v>
      </c>
      <c r="D42" s="1670">
        <f t="shared" ref="D42:L42" si="3">SUM(D36:D41)</f>
        <v>5532</v>
      </c>
      <c r="E42" s="1670">
        <f t="shared" si="3"/>
        <v>161701</v>
      </c>
      <c r="F42" s="1670">
        <f t="shared" si="3"/>
        <v>833</v>
      </c>
      <c r="G42" s="1670">
        <f t="shared" si="3"/>
        <v>0</v>
      </c>
      <c r="H42" s="1670">
        <f t="shared" si="3"/>
        <v>0</v>
      </c>
      <c r="I42" s="1670">
        <f t="shared" si="3"/>
        <v>0</v>
      </c>
      <c r="J42" s="1670">
        <f t="shared" si="3"/>
        <v>0</v>
      </c>
      <c r="K42" s="1670">
        <f t="shared" si="3"/>
        <v>198355</v>
      </c>
      <c r="L42" s="1670">
        <f t="shared" si="3"/>
        <v>224409</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918</v>
      </c>
      <c r="D44" s="481">
        <v>17</v>
      </c>
      <c r="E44" s="481">
        <v>8456</v>
      </c>
      <c r="F44" s="481"/>
      <c r="G44" s="481"/>
      <c r="H44" s="481"/>
      <c r="I44" s="467"/>
      <c r="J44" s="467"/>
      <c r="K44" s="1672">
        <f>SUM(C44:J44)</f>
        <v>9391</v>
      </c>
      <c r="L44" s="481">
        <v>11040</v>
      </c>
    </row>
    <row r="45" spans="1:14" x14ac:dyDescent="0.2">
      <c r="A45" s="1504" t="s">
        <v>815</v>
      </c>
      <c r="B45" s="614">
        <v>2220</v>
      </c>
      <c r="C45" s="466">
        <v>461</v>
      </c>
      <c r="D45" s="466">
        <v>244</v>
      </c>
      <c r="E45" s="466">
        <v>92153</v>
      </c>
      <c r="F45" s="466">
        <v>44422</v>
      </c>
      <c r="G45" s="466"/>
      <c r="H45" s="466"/>
      <c r="I45" s="467"/>
      <c r="J45" s="467"/>
      <c r="K45" s="1672">
        <f>SUM(C45:J45)</f>
        <v>137280</v>
      </c>
      <c r="L45" s="466">
        <v>139094</v>
      </c>
    </row>
    <row r="46" spans="1:14" x14ac:dyDescent="0.2">
      <c r="A46" s="1504" t="s">
        <v>816</v>
      </c>
      <c r="B46" s="614">
        <v>2230</v>
      </c>
      <c r="C46" s="466"/>
      <c r="D46" s="466"/>
      <c r="E46" s="466">
        <v>13484</v>
      </c>
      <c r="F46" s="466"/>
      <c r="G46" s="466"/>
      <c r="H46" s="466"/>
      <c r="I46" s="467"/>
      <c r="J46" s="467"/>
      <c r="K46" s="1672">
        <f>SUM(C46:J46)</f>
        <v>13484</v>
      </c>
      <c r="L46" s="466">
        <v>14400</v>
      </c>
    </row>
    <row r="47" spans="1:14" ht="13.15" customHeight="1" thickBot="1" x14ac:dyDescent="0.25">
      <c r="A47" s="1668" t="s">
        <v>561</v>
      </c>
      <c r="B47" s="1669" t="s">
        <v>32</v>
      </c>
      <c r="C47" s="1670">
        <f>SUM(C44:C46)</f>
        <v>1379</v>
      </c>
      <c r="D47" s="1670">
        <f t="shared" ref="D47:K47" si="4">SUM(D44:D46)</f>
        <v>261</v>
      </c>
      <c r="E47" s="1670">
        <f t="shared" si="4"/>
        <v>114093</v>
      </c>
      <c r="F47" s="1670">
        <f t="shared" si="4"/>
        <v>44422</v>
      </c>
      <c r="G47" s="1670">
        <f t="shared" si="4"/>
        <v>0</v>
      </c>
      <c r="H47" s="1670">
        <f t="shared" si="4"/>
        <v>0</v>
      </c>
      <c r="I47" s="1670">
        <f t="shared" si="4"/>
        <v>0</v>
      </c>
      <c r="J47" s="1670">
        <f t="shared" si="4"/>
        <v>0</v>
      </c>
      <c r="K47" s="1670">
        <f t="shared" si="4"/>
        <v>160155</v>
      </c>
      <c r="L47" s="1670">
        <f>SUM(L44:L46)</f>
        <v>164534</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2833</v>
      </c>
      <c r="D49" s="481">
        <v>26</v>
      </c>
      <c r="E49" s="481">
        <v>2376</v>
      </c>
      <c r="F49" s="481">
        <v>6038</v>
      </c>
      <c r="G49" s="481">
        <v>53345</v>
      </c>
      <c r="H49" s="481">
        <v>7318</v>
      </c>
      <c r="I49" s="467"/>
      <c r="J49" s="467"/>
      <c r="K49" s="1672">
        <f>SUM(C49:J49)</f>
        <v>71936</v>
      </c>
      <c r="L49" s="481">
        <v>15260</v>
      </c>
    </row>
    <row r="50" spans="1:14" x14ac:dyDescent="0.2">
      <c r="A50" s="1504" t="s">
        <v>818</v>
      </c>
      <c r="B50" s="614">
        <v>2320</v>
      </c>
      <c r="C50" s="466">
        <v>57580</v>
      </c>
      <c r="D50" s="466">
        <v>12779</v>
      </c>
      <c r="E50" s="466">
        <v>845</v>
      </c>
      <c r="F50" s="466"/>
      <c r="G50" s="466"/>
      <c r="H50" s="466">
        <v>422</v>
      </c>
      <c r="I50" s="467"/>
      <c r="J50" s="467"/>
      <c r="K50" s="1672">
        <f>SUM(C50:J50)</f>
        <v>71626</v>
      </c>
      <c r="L50" s="466">
        <v>72876</v>
      </c>
    </row>
    <row r="51" spans="1:14" x14ac:dyDescent="0.2">
      <c r="A51" s="1504" t="s">
        <v>42</v>
      </c>
      <c r="B51" s="614">
        <v>2330</v>
      </c>
      <c r="C51" s="466"/>
      <c r="D51" s="466"/>
      <c r="E51" s="466"/>
      <c r="F51" s="466"/>
      <c r="G51" s="466"/>
      <c r="H51" s="466"/>
      <c r="I51" s="467"/>
      <c r="J51" s="467"/>
      <c r="K51" s="1672">
        <f>SUM(C51:J51)</f>
        <v>0</v>
      </c>
      <c r="L51" s="466">
        <v>0</v>
      </c>
    </row>
    <row r="52" spans="1:14" ht="22.5" x14ac:dyDescent="0.2">
      <c r="A52" s="1505" t="s">
        <v>298</v>
      </c>
      <c r="B52" s="627" t="s">
        <v>366</v>
      </c>
      <c r="C52" s="474"/>
      <c r="D52" s="474"/>
      <c r="E52" s="474"/>
      <c r="F52" s="474"/>
      <c r="G52" s="474"/>
      <c r="H52" s="474"/>
      <c r="I52" s="474"/>
      <c r="J52" s="474"/>
      <c r="K52" s="1672">
        <f>SUM(C52:J52)</f>
        <v>0</v>
      </c>
      <c r="L52" s="474">
        <v>0</v>
      </c>
    </row>
    <row r="53" spans="1:14" ht="13.15" customHeight="1" thickBot="1" x14ac:dyDescent="0.25">
      <c r="A53" s="1668" t="s">
        <v>717</v>
      </c>
      <c r="B53" s="1669" t="s">
        <v>33</v>
      </c>
      <c r="C53" s="1670">
        <f>SUM(C49:C52)</f>
        <v>60413</v>
      </c>
      <c r="D53" s="1670">
        <f t="shared" ref="D53:L53" si="5">SUM(D49:D52)</f>
        <v>12805</v>
      </c>
      <c r="E53" s="1670">
        <f t="shared" si="5"/>
        <v>3221</v>
      </c>
      <c r="F53" s="1670">
        <f t="shared" si="5"/>
        <v>6038</v>
      </c>
      <c r="G53" s="1670">
        <f t="shared" si="5"/>
        <v>53345</v>
      </c>
      <c r="H53" s="1670">
        <f t="shared" si="5"/>
        <v>7740</v>
      </c>
      <c r="I53" s="1670">
        <f t="shared" si="5"/>
        <v>0</v>
      </c>
      <c r="J53" s="1670">
        <f t="shared" si="5"/>
        <v>0</v>
      </c>
      <c r="K53" s="1670">
        <f t="shared" si="5"/>
        <v>143562</v>
      </c>
      <c r="L53" s="1670">
        <f t="shared" si="5"/>
        <v>88136</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203535</v>
      </c>
      <c r="D55" s="481">
        <v>46708</v>
      </c>
      <c r="E55" s="481">
        <v>418</v>
      </c>
      <c r="F55" s="481">
        <v>860</v>
      </c>
      <c r="G55" s="481"/>
      <c r="H55" s="481">
        <v>732</v>
      </c>
      <c r="I55" s="467"/>
      <c r="J55" s="467"/>
      <c r="K55" s="1672">
        <f>SUM(C55:J55)</f>
        <v>252253</v>
      </c>
      <c r="L55" s="481">
        <v>266825</v>
      </c>
    </row>
    <row r="56" spans="1:14" ht="13.15" customHeight="1" x14ac:dyDescent="0.2">
      <c r="A56" s="1508" t="s">
        <v>376</v>
      </c>
      <c r="B56" s="628">
        <v>2490</v>
      </c>
      <c r="C56" s="466"/>
      <c r="D56" s="466"/>
      <c r="E56" s="466"/>
      <c r="F56" s="466"/>
      <c r="G56" s="466"/>
      <c r="H56" s="466"/>
      <c r="I56" s="467"/>
      <c r="J56" s="467"/>
      <c r="K56" s="1672">
        <f>SUM(C56:J56)</f>
        <v>0</v>
      </c>
      <c r="L56" s="466">
        <v>0</v>
      </c>
    </row>
    <row r="57" spans="1:14" s="343" customFormat="1" ht="13.15" customHeight="1" thickBot="1" x14ac:dyDescent="0.25">
      <c r="A57" s="1668" t="s">
        <v>263</v>
      </c>
      <c r="B57" s="1673" t="s">
        <v>34</v>
      </c>
      <c r="C57" s="1674">
        <f>SUM(C55:C56)</f>
        <v>203535</v>
      </c>
      <c r="D57" s="1674">
        <f t="shared" ref="D57:K57" si="6">SUM(D55:D56)</f>
        <v>46708</v>
      </c>
      <c r="E57" s="1674">
        <f t="shared" si="6"/>
        <v>418</v>
      </c>
      <c r="F57" s="1674">
        <f t="shared" si="6"/>
        <v>860</v>
      </c>
      <c r="G57" s="1674">
        <f t="shared" si="6"/>
        <v>0</v>
      </c>
      <c r="H57" s="1674">
        <f t="shared" si="6"/>
        <v>732</v>
      </c>
      <c r="I57" s="1674">
        <f t="shared" si="6"/>
        <v>0</v>
      </c>
      <c r="J57" s="1674">
        <f t="shared" si="6"/>
        <v>0</v>
      </c>
      <c r="K57" s="1674">
        <f t="shared" si="6"/>
        <v>252253</v>
      </c>
      <c r="L57" s="1670">
        <f>SUM(L55:L56)</f>
        <v>266825</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v>0</v>
      </c>
      <c r="M59" s="609"/>
      <c r="N59" s="609"/>
    </row>
    <row r="60" spans="1:14" s="343" customFormat="1" x14ac:dyDescent="0.2">
      <c r="A60" s="1504" t="s">
        <v>463</v>
      </c>
      <c r="B60" s="614">
        <v>2520</v>
      </c>
      <c r="C60" s="466">
        <v>45887</v>
      </c>
      <c r="D60" s="466">
        <v>7312</v>
      </c>
      <c r="E60" s="466"/>
      <c r="F60" s="466">
        <v>60</v>
      </c>
      <c r="G60" s="466"/>
      <c r="H60" s="466"/>
      <c r="I60" s="467"/>
      <c r="J60" s="467"/>
      <c r="K60" s="1672">
        <f t="shared" si="7"/>
        <v>53259</v>
      </c>
      <c r="L60" s="466">
        <v>53950</v>
      </c>
      <c r="M60" s="609"/>
      <c r="N60" s="609"/>
    </row>
    <row r="61" spans="1:14" s="343" customFormat="1" x14ac:dyDescent="0.2">
      <c r="A61" s="1504" t="s">
        <v>197</v>
      </c>
      <c r="B61" s="614">
        <v>2540</v>
      </c>
      <c r="C61" s="466"/>
      <c r="D61" s="466"/>
      <c r="E61" s="466"/>
      <c r="F61" s="466"/>
      <c r="G61" s="466">
        <v>52860</v>
      </c>
      <c r="H61" s="466"/>
      <c r="I61" s="467"/>
      <c r="J61" s="467"/>
      <c r="K61" s="1672">
        <f t="shared" si="7"/>
        <v>52860</v>
      </c>
      <c r="L61" s="466">
        <v>55860</v>
      </c>
      <c r="M61" s="609"/>
      <c r="N61" s="609"/>
    </row>
    <row r="62" spans="1:14" s="343" customFormat="1" x14ac:dyDescent="0.2">
      <c r="A62" s="1504" t="s">
        <v>953</v>
      </c>
      <c r="B62" s="614">
        <v>2550</v>
      </c>
      <c r="C62" s="466"/>
      <c r="D62" s="466"/>
      <c r="E62" s="466">
        <v>7165</v>
      </c>
      <c r="F62" s="466"/>
      <c r="G62" s="466"/>
      <c r="H62" s="466"/>
      <c r="I62" s="467"/>
      <c r="J62" s="467"/>
      <c r="K62" s="1672">
        <f t="shared" si="7"/>
        <v>7165</v>
      </c>
      <c r="L62" s="466">
        <v>0</v>
      </c>
      <c r="M62" s="609"/>
      <c r="N62" s="609"/>
    </row>
    <row r="63" spans="1:14" s="609" customFormat="1" x14ac:dyDescent="0.2">
      <c r="A63" s="1504" t="s">
        <v>100</v>
      </c>
      <c r="B63" s="614">
        <v>2560</v>
      </c>
      <c r="C63" s="466"/>
      <c r="D63" s="466"/>
      <c r="E63" s="466">
        <v>151991</v>
      </c>
      <c r="F63" s="466">
        <v>7519</v>
      </c>
      <c r="G63" s="466"/>
      <c r="H63" s="466"/>
      <c r="I63" s="467"/>
      <c r="J63" s="467"/>
      <c r="K63" s="1672">
        <f t="shared" si="7"/>
        <v>159510</v>
      </c>
      <c r="L63" s="466">
        <v>159750</v>
      </c>
    </row>
    <row r="64" spans="1:14" s="609" customFormat="1" x14ac:dyDescent="0.2">
      <c r="A64" s="1509" t="s">
        <v>101</v>
      </c>
      <c r="B64" s="630">
        <v>2570</v>
      </c>
      <c r="C64" s="481"/>
      <c r="D64" s="481"/>
      <c r="E64" s="481">
        <v>32291</v>
      </c>
      <c r="F64" s="481"/>
      <c r="G64" s="481"/>
      <c r="H64" s="481">
        <v>2246</v>
      </c>
      <c r="I64" s="467"/>
      <c r="J64" s="467"/>
      <c r="K64" s="1672">
        <f t="shared" si="7"/>
        <v>34537</v>
      </c>
      <c r="L64" s="481">
        <v>33750</v>
      </c>
    </row>
    <row r="65" spans="1:14" s="343" customFormat="1" ht="13.15" customHeight="1" thickBot="1" x14ac:dyDescent="0.25">
      <c r="A65" s="1668" t="s">
        <v>719</v>
      </c>
      <c r="B65" s="1669" t="s">
        <v>35</v>
      </c>
      <c r="C65" s="1670">
        <f>SUM(C59:C64)</f>
        <v>45887</v>
      </c>
      <c r="D65" s="1670">
        <f t="shared" ref="D65:L65" si="8">SUM(D59:D64)</f>
        <v>7312</v>
      </c>
      <c r="E65" s="1670">
        <f t="shared" si="8"/>
        <v>191447</v>
      </c>
      <c r="F65" s="1670">
        <f t="shared" si="8"/>
        <v>7579</v>
      </c>
      <c r="G65" s="1670">
        <f t="shared" si="8"/>
        <v>52860</v>
      </c>
      <c r="H65" s="1670">
        <f t="shared" si="8"/>
        <v>2246</v>
      </c>
      <c r="I65" s="1670">
        <f t="shared" si="8"/>
        <v>0</v>
      </c>
      <c r="J65" s="1670">
        <f t="shared" si="8"/>
        <v>0</v>
      </c>
      <c r="K65" s="1670">
        <f t="shared" si="8"/>
        <v>307331</v>
      </c>
      <c r="L65" s="1670">
        <f t="shared" si="8"/>
        <v>303310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v>0</v>
      </c>
      <c r="M67" s="609"/>
      <c r="N67" s="609"/>
    </row>
    <row r="68" spans="1:14" s="343" customFormat="1" x14ac:dyDescent="0.2">
      <c r="A68" s="1504" t="s">
        <v>607</v>
      </c>
      <c r="B68" s="614">
        <v>2620</v>
      </c>
      <c r="C68" s="466"/>
      <c r="D68" s="466"/>
      <c r="E68" s="466"/>
      <c r="F68" s="466"/>
      <c r="G68" s="466"/>
      <c r="H68" s="466"/>
      <c r="I68" s="467"/>
      <c r="J68" s="467"/>
      <c r="K68" s="1672">
        <f>SUM(C68:J68)</f>
        <v>0</v>
      </c>
      <c r="L68" s="466">
        <v>0</v>
      </c>
      <c r="M68" s="609"/>
      <c r="N68" s="609"/>
    </row>
    <row r="69" spans="1:14" s="343" customFormat="1" x14ac:dyDescent="0.2">
      <c r="A69" s="1504" t="s">
        <v>1061</v>
      </c>
      <c r="B69" s="614">
        <v>2630</v>
      </c>
      <c r="C69" s="466"/>
      <c r="D69" s="466"/>
      <c r="E69" s="466"/>
      <c r="F69" s="466"/>
      <c r="G69" s="466"/>
      <c r="H69" s="466"/>
      <c r="I69" s="467"/>
      <c r="J69" s="467"/>
      <c r="K69" s="1672">
        <f>SUM(C69:J69)</f>
        <v>0</v>
      </c>
      <c r="L69" s="466">
        <v>0</v>
      </c>
      <c r="M69" s="609"/>
      <c r="N69" s="609"/>
    </row>
    <row r="70" spans="1:14" s="343" customFormat="1" x14ac:dyDescent="0.2">
      <c r="A70" s="1504" t="s">
        <v>403</v>
      </c>
      <c r="B70" s="614">
        <v>2640</v>
      </c>
      <c r="C70" s="466"/>
      <c r="D70" s="466"/>
      <c r="E70" s="466"/>
      <c r="F70" s="466"/>
      <c r="G70" s="466"/>
      <c r="H70" s="466"/>
      <c r="I70" s="467"/>
      <c r="J70" s="467"/>
      <c r="K70" s="1672">
        <f>SUM(C70:J70)</f>
        <v>0</v>
      </c>
      <c r="L70" s="466">
        <v>0</v>
      </c>
      <c r="M70" s="609"/>
      <c r="N70" s="609"/>
    </row>
    <row r="71" spans="1:14" s="343" customFormat="1" x14ac:dyDescent="0.2">
      <c r="A71" s="1504" t="s">
        <v>404</v>
      </c>
      <c r="B71" s="614">
        <v>2660</v>
      </c>
      <c r="C71" s="466"/>
      <c r="D71" s="466"/>
      <c r="E71" s="466"/>
      <c r="F71" s="466"/>
      <c r="G71" s="466"/>
      <c r="H71" s="466"/>
      <c r="I71" s="467"/>
      <c r="J71" s="467"/>
      <c r="K71" s="1672">
        <f>SUM(C71:J71)</f>
        <v>0</v>
      </c>
      <c r="L71" s="466">
        <v>0</v>
      </c>
      <c r="M71" s="609"/>
      <c r="N71" s="609"/>
    </row>
    <row r="72" spans="1:14" s="343" customFormat="1" ht="13.1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v>0</v>
      </c>
      <c r="M73" s="609"/>
      <c r="N73" s="609"/>
    </row>
    <row r="74" spans="1:14" ht="13.15" customHeight="1" thickTop="1" thickBot="1" x14ac:dyDescent="0.25">
      <c r="A74" s="1668" t="s">
        <v>811</v>
      </c>
      <c r="B74" s="1676">
        <v>2000</v>
      </c>
      <c r="C74" s="1677">
        <f>SUM(C42,C47,C53,C57,C65,C72,C73)</f>
        <v>341503</v>
      </c>
      <c r="D74" s="1677">
        <f t="shared" ref="D74:K74" si="10">SUM(D42,D47,D53,D57,D65,D72,D73)</f>
        <v>72618</v>
      </c>
      <c r="E74" s="1677">
        <f t="shared" si="10"/>
        <v>470880</v>
      </c>
      <c r="F74" s="1677">
        <f t="shared" si="10"/>
        <v>59732</v>
      </c>
      <c r="G74" s="1677">
        <f t="shared" si="10"/>
        <v>106205</v>
      </c>
      <c r="H74" s="1677">
        <f t="shared" si="10"/>
        <v>10718</v>
      </c>
      <c r="I74" s="1677">
        <f t="shared" si="10"/>
        <v>0</v>
      </c>
      <c r="J74" s="1677">
        <f t="shared" si="10"/>
        <v>0</v>
      </c>
      <c r="K74" s="1677">
        <f t="shared" si="10"/>
        <v>1061656</v>
      </c>
      <c r="L74" s="1677">
        <f>SUM(L42,L47,L53,L57,L65,L72,L73)</f>
        <v>1047214</v>
      </c>
    </row>
    <row r="75" spans="1:14" s="259" customFormat="1" ht="15.75" customHeight="1" thickTop="1" thickBot="1" x14ac:dyDescent="0.25">
      <c r="A75" s="1610" t="s">
        <v>47</v>
      </c>
      <c r="B75" s="1611" t="s">
        <v>575</v>
      </c>
      <c r="C75" s="573">
        <v>4112</v>
      </c>
      <c r="D75" s="573">
        <v>54</v>
      </c>
      <c r="E75" s="573"/>
      <c r="F75" s="573">
        <v>2000</v>
      </c>
      <c r="G75" s="573"/>
      <c r="H75" s="573"/>
      <c r="I75" s="531"/>
      <c r="J75" s="531"/>
      <c r="K75" s="1670">
        <f>SUM(C75:J75)</f>
        <v>6166</v>
      </c>
      <c r="L75" s="576">
        <v>4664</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v>0</v>
      </c>
    </row>
    <row r="79" spans="1:14" x14ac:dyDescent="0.2">
      <c r="A79" s="1504" t="s">
        <v>304</v>
      </c>
      <c r="B79" s="614">
        <v>4120</v>
      </c>
      <c r="C79" s="616"/>
      <c r="D79" s="616"/>
      <c r="E79" s="466">
        <v>92793</v>
      </c>
      <c r="F79" s="616"/>
      <c r="G79" s="616"/>
      <c r="H79" s="466"/>
      <c r="I79" s="477"/>
      <c r="J79" s="477"/>
      <c r="K79" s="1671">
        <f t="shared" si="11"/>
        <v>92793</v>
      </c>
      <c r="L79" s="466">
        <v>140000</v>
      </c>
    </row>
    <row r="80" spans="1:14" x14ac:dyDescent="0.2">
      <c r="A80" s="1504" t="s">
        <v>305</v>
      </c>
      <c r="B80" s="614">
        <v>4130</v>
      </c>
      <c r="C80" s="616"/>
      <c r="D80" s="616"/>
      <c r="E80" s="466"/>
      <c r="F80" s="616"/>
      <c r="G80" s="616"/>
      <c r="H80" s="466"/>
      <c r="I80" s="477"/>
      <c r="J80" s="477"/>
      <c r="K80" s="1671">
        <f t="shared" si="11"/>
        <v>0</v>
      </c>
      <c r="L80" s="466">
        <v>0</v>
      </c>
    </row>
    <row r="81" spans="1:12" x14ac:dyDescent="0.2">
      <c r="A81" s="1504" t="s">
        <v>697</v>
      </c>
      <c r="B81" s="614">
        <v>4140</v>
      </c>
      <c r="C81" s="616"/>
      <c r="D81" s="616"/>
      <c r="E81" s="466"/>
      <c r="F81" s="616"/>
      <c r="G81" s="616"/>
      <c r="H81" s="466"/>
      <c r="I81" s="477"/>
      <c r="J81" s="477"/>
      <c r="K81" s="1671">
        <f t="shared" si="11"/>
        <v>0</v>
      </c>
      <c r="L81" s="466">
        <v>0</v>
      </c>
    </row>
    <row r="82" spans="1:12" x14ac:dyDescent="0.2">
      <c r="A82" s="1504" t="s">
        <v>86</v>
      </c>
      <c r="B82" s="614">
        <v>4170</v>
      </c>
      <c r="C82" s="616"/>
      <c r="D82" s="616"/>
      <c r="E82" s="466"/>
      <c r="F82" s="616"/>
      <c r="G82" s="616"/>
      <c r="H82" s="466"/>
      <c r="I82" s="477"/>
      <c r="J82" s="477"/>
      <c r="K82" s="1671">
        <f t="shared" si="11"/>
        <v>0</v>
      </c>
      <c r="L82" s="466">
        <v>0</v>
      </c>
    </row>
    <row r="83" spans="1:12" x14ac:dyDescent="0.2">
      <c r="A83" s="1508" t="s">
        <v>698</v>
      </c>
      <c r="B83" s="628">
        <v>4190</v>
      </c>
      <c r="C83" s="616"/>
      <c r="D83" s="616"/>
      <c r="E83" s="466"/>
      <c r="F83" s="616"/>
      <c r="G83" s="616"/>
      <c r="H83" s="466"/>
      <c r="I83" s="477"/>
      <c r="J83" s="477"/>
      <c r="K83" s="1671">
        <f t="shared" si="11"/>
        <v>0</v>
      </c>
      <c r="L83" s="466">
        <v>0</v>
      </c>
    </row>
    <row r="84" spans="1:12" ht="13.5" thickBot="1" x14ac:dyDescent="0.25">
      <c r="A84" s="1668" t="s">
        <v>1471</v>
      </c>
      <c r="B84" s="1678">
        <v>4100</v>
      </c>
      <c r="C84" s="616"/>
      <c r="D84" s="616"/>
      <c r="E84" s="1670">
        <f>SUM(E78:E83)</f>
        <v>92793</v>
      </c>
      <c r="F84" s="616"/>
      <c r="G84" s="616"/>
      <c r="H84" s="1670">
        <f>SUM(H78:H83)</f>
        <v>0</v>
      </c>
      <c r="I84" s="477"/>
      <c r="J84" s="477"/>
      <c r="K84" s="1670">
        <f>SUM(K78:K83)</f>
        <v>92793</v>
      </c>
      <c r="L84" s="1670">
        <f>SUM(L78:L83)</f>
        <v>140000</v>
      </c>
    </row>
    <row r="85" spans="1:12" ht="13.15" customHeight="1" thickTop="1" thickBot="1" x14ac:dyDescent="0.25">
      <c r="A85" s="1511" t="s">
        <v>255</v>
      </c>
      <c r="B85" s="635">
        <v>4210</v>
      </c>
      <c r="C85" s="616"/>
      <c r="D85" s="616"/>
      <c r="E85" s="636"/>
      <c r="F85" s="616"/>
      <c r="G85" s="616"/>
      <c r="H85" s="535"/>
      <c r="I85" s="477"/>
      <c r="J85" s="477"/>
      <c r="K85" s="1677">
        <f>H85</f>
        <v>0</v>
      </c>
      <c r="L85" s="530">
        <v>0</v>
      </c>
    </row>
    <row r="86" spans="1:12" ht="13.15" customHeight="1" thickTop="1" thickBot="1" x14ac:dyDescent="0.25">
      <c r="A86" s="1512" t="s">
        <v>699</v>
      </c>
      <c r="B86" s="637">
        <v>4220</v>
      </c>
      <c r="C86" s="616"/>
      <c r="D86" s="616"/>
      <c r="E86" s="638"/>
      <c r="F86" s="616"/>
      <c r="G86" s="616"/>
      <c r="H86" s="467">
        <v>166339</v>
      </c>
      <c r="I86" s="477"/>
      <c r="J86" s="477"/>
      <c r="K86" s="1677">
        <f t="shared" ref="K86:K98" si="12">H86</f>
        <v>166339</v>
      </c>
      <c r="L86" s="530">
        <v>146516</v>
      </c>
    </row>
    <row r="87" spans="1:12" ht="14.25" thickTop="1" thickBot="1" x14ac:dyDescent="0.25">
      <c r="A87" s="1513" t="s">
        <v>700</v>
      </c>
      <c r="B87" s="639">
        <v>4230</v>
      </c>
      <c r="C87" s="616"/>
      <c r="D87" s="616"/>
      <c r="E87" s="638"/>
      <c r="F87" s="616"/>
      <c r="G87" s="616"/>
      <c r="H87" s="467"/>
      <c r="I87" s="477"/>
      <c r="J87" s="477"/>
      <c r="K87" s="1677">
        <f t="shared" si="12"/>
        <v>0</v>
      </c>
      <c r="L87" s="530">
        <v>0</v>
      </c>
    </row>
    <row r="88" spans="1:12" ht="13.15" customHeight="1" thickTop="1" thickBot="1" x14ac:dyDescent="0.25">
      <c r="A88" s="1513" t="s">
        <v>765</v>
      </c>
      <c r="B88" s="639">
        <v>4240</v>
      </c>
      <c r="C88" s="616"/>
      <c r="D88" s="616"/>
      <c r="E88" s="638"/>
      <c r="F88" s="616"/>
      <c r="G88" s="616"/>
      <c r="H88" s="467"/>
      <c r="I88" s="477"/>
      <c r="J88" s="477"/>
      <c r="K88" s="1677">
        <f t="shared" si="12"/>
        <v>0</v>
      </c>
      <c r="L88" s="530">
        <v>0</v>
      </c>
    </row>
    <row r="89" spans="1:12" ht="13.15" customHeight="1" thickTop="1" thickBot="1" x14ac:dyDescent="0.25">
      <c r="A89" s="1513" t="s">
        <v>701</v>
      </c>
      <c r="B89" s="639">
        <v>4270</v>
      </c>
      <c r="C89" s="616"/>
      <c r="D89" s="616"/>
      <c r="E89" s="638"/>
      <c r="F89" s="616"/>
      <c r="G89" s="616"/>
      <c r="H89" s="467"/>
      <c r="I89" s="477"/>
      <c r="J89" s="477"/>
      <c r="K89" s="1677">
        <f t="shared" si="12"/>
        <v>0</v>
      </c>
      <c r="L89" s="530">
        <v>0</v>
      </c>
    </row>
    <row r="90" spans="1:12" ht="13.15" customHeight="1" thickTop="1" thickBot="1" x14ac:dyDescent="0.25">
      <c r="A90" s="1513" t="s">
        <v>686</v>
      </c>
      <c r="B90" s="639">
        <v>4280</v>
      </c>
      <c r="C90" s="616"/>
      <c r="D90" s="616"/>
      <c r="E90" s="638"/>
      <c r="F90" s="616"/>
      <c r="G90" s="616"/>
      <c r="H90" s="467"/>
      <c r="I90" s="477"/>
      <c r="J90" s="477"/>
      <c r="K90" s="1677">
        <f t="shared" si="12"/>
        <v>0</v>
      </c>
      <c r="L90" s="530">
        <v>0</v>
      </c>
    </row>
    <row r="91" spans="1:12" ht="13.15" customHeight="1" thickTop="1" thickBot="1" x14ac:dyDescent="0.25">
      <c r="A91" s="1513" t="s">
        <v>687</v>
      </c>
      <c r="B91" s="639">
        <v>4290</v>
      </c>
      <c r="C91" s="616"/>
      <c r="D91" s="616"/>
      <c r="E91" s="638"/>
      <c r="F91" s="616"/>
      <c r="G91" s="616"/>
      <c r="H91" s="467"/>
      <c r="I91" s="477"/>
      <c r="J91" s="477"/>
      <c r="K91" s="1677">
        <f t="shared" si="12"/>
        <v>0</v>
      </c>
      <c r="L91" s="530">
        <v>0</v>
      </c>
    </row>
    <row r="92" spans="1:12" ht="14.25" thickTop="1" thickBot="1" x14ac:dyDescent="0.25">
      <c r="A92" s="1680" t="s">
        <v>1529</v>
      </c>
      <c r="B92" s="1678">
        <v>4200</v>
      </c>
      <c r="C92" s="616"/>
      <c r="D92" s="616"/>
      <c r="E92" s="638"/>
      <c r="F92" s="616"/>
      <c r="G92" s="616"/>
      <c r="H92" s="1670">
        <f>SUM(H85:H91)</f>
        <v>166339</v>
      </c>
      <c r="I92" s="477"/>
      <c r="J92" s="477"/>
      <c r="K92" s="1677">
        <f t="shared" si="12"/>
        <v>166339</v>
      </c>
      <c r="L92" s="1670">
        <f>SUM(L85:L91)</f>
        <v>146516</v>
      </c>
    </row>
    <row r="93" spans="1:12" ht="14.25" thickTop="1" thickBot="1" x14ac:dyDescent="0.25">
      <c r="A93" s="1512" t="s">
        <v>688</v>
      </c>
      <c r="B93" s="640">
        <v>4310</v>
      </c>
      <c r="C93" s="616"/>
      <c r="D93" s="616"/>
      <c r="E93" s="638"/>
      <c r="F93" s="616"/>
      <c r="G93" s="616"/>
      <c r="H93" s="641"/>
      <c r="I93" s="477"/>
      <c r="J93" s="477"/>
      <c r="K93" s="1677">
        <f t="shared" si="12"/>
        <v>0</v>
      </c>
      <c r="L93" s="532">
        <v>0</v>
      </c>
    </row>
    <row r="94" spans="1:12" ht="13.15" customHeight="1" thickTop="1" thickBot="1" x14ac:dyDescent="0.25">
      <c r="A94" s="1513" t="s">
        <v>689</v>
      </c>
      <c r="B94" s="639">
        <v>4320</v>
      </c>
      <c r="C94" s="616"/>
      <c r="D94" s="616"/>
      <c r="E94" s="638"/>
      <c r="F94" s="616"/>
      <c r="G94" s="616"/>
      <c r="H94" s="467"/>
      <c r="I94" s="477"/>
      <c r="J94" s="477"/>
      <c r="K94" s="1677">
        <f t="shared" si="12"/>
        <v>0</v>
      </c>
      <c r="L94" s="530">
        <v>0</v>
      </c>
    </row>
    <row r="95" spans="1:12" ht="15" customHeight="1" thickTop="1" thickBot="1" x14ac:dyDescent="0.25">
      <c r="A95" s="1513" t="s">
        <v>1474</v>
      </c>
      <c r="B95" s="639">
        <v>4330</v>
      </c>
      <c r="C95" s="616"/>
      <c r="D95" s="616"/>
      <c r="E95" s="638"/>
      <c r="F95" s="616"/>
      <c r="G95" s="616"/>
      <c r="H95" s="467"/>
      <c r="I95" s="477"/>
      <c r="J95" s="477"/>
      <c r="K95" s="1677">
        <f t="shared" si="12"/>
        <v>0</v>
      </c>
      <c r="L95" s="530">
        <v>0</v>
      </c>
    </row>
    <row r="96" spans="1:12" ht="14.25" thickTop="1" thickBot="1" x14ac:dyDescent="0.25">
      <c r="A96" s="1513" t="s">
        <v>690</v>
      </c>
      <c r="B96" s="639">
        <v>4340</v>
      </c>
      <c r="C96" s="616"/>
      <c r="D96" s="616"/>
      <c r="E96" s="638"/>
      <c r="F96" s="616"/>
      <c r="G96" s="616"/>
      <c r="H96" s="467"/>
      <c r="I96" s="477"/>
      <c r="J96" s="477"/>
      <c r="K96" s="1677">
        <f t="shared" si="12"/>
        <v>0</v>
      </c>
      <c r="L96" s="530">
        <v>0</v>
      </c>
    </row>
    <row r="97" spans="1:14" ht="13.15" customHeight="1" thickTop="1" thickBot="1" x14ac:dyDescent="0.25">
      <c r="A97" s="1513" t="s">
        <v>763</v>
      </c>
      <c r="B97" s="639">
        <v>4370</v>
      </c>
      <c r="C97" s="616"/>
      <c r="D97" s="616"/>
      <c r="E97" s="638"/>
      <c r="F97" s="616"/>
      <c r="G97" s="616"/>
      <c r="H97" s="467"/>
      <c r="I97" s="477"/>
      <c r="J97" s="477"/>
      <c r="K97" s="1677">
        <f t="shared" si="12"/>
        <v>0</v>
      </c>
      <c r="L97" s="530">
        <v>0</v>
      </c>
    </row>
    <row r="98" spans="1:14" ht="14.25" thickTop="1" thickBot="1" x14ac:dyDescent="0.25">
      <c r="A98" s="1513" t="s">
        <v>764</v>
      </c>
      <c r="B98" s="639">
        <v>4380</v>
      </c>
      <c r="C98" s="616"/>
      <c r="D98" s="616"/>
      <c r="E98" s="642"/>
      <c r="F98" s="616"/>
      <c r="G98" s="616"/>
      <c r="H98" s="467"/>
      <c r="I98" s="477"/>
      <c r="J98" s="477"/>
      <c r="K98" s="1677">
        <f t="shared" si="12"/>
        <v>0</v>
      </c>
      <c r="L98" s="530">
        <v>0</v>
      </c>
    </row>
    <row r="99" spans="1:14" ht="14.25" thickTop="1" thickBot="1" x14ac:dyDescent="0.25">
      <c r="A99" s="1513" t="s">
        <v>367</v>
      </c>
      <c r="B99" s="639">
        <v>4390</v>
      </c>
      <c r="C99" s="616"/>
      <c r="D99" s="616"/>
      <c r="E99" s="532"/>
      <c r="F99" s="616"/>
      <c r="G99" s="616"/>
      <c r="H99" s="467"/>
      <c r="I99" s="477"/>
      <c r="J99" s="477"/>
      <c r="K99" s="1677">
        <f>SUM(E99,H99)</f>
        <v>0</v>
      </c>
      <c r="L99" s="530">
        <v>0</v>
      </c>
    </row>
    <row r="100" spans="1:14" ht="14.25" thickTop="1" thickBot="1" x14ac:dyDescent="0.25">
      <c r="A100" s="1680" t="s">
        <v>1472</v>
      </c>
      <c r="B100" s="1681">
        <v>4300</v>
      </c>
      <c r="C100" s="616"/>
      <c r="D100" s="616"/>
      <c r="E100" s="1677">
        <f>SUM(E93:E99)</f>
        <v>0</v>
      </c>
      <c r="F100" s="616"/>
      <c r="G100" s="616"/>
      <c r="H100" s="1677">
        <f>SUM(H93:H99)</f>
        <v>0</v>
      </c>
      <c r="I100" s="477"/>
      <c r="J100" s="477"/>
      <c r="K100" s="1677">
        <f>SUM(K93:K99)</f>
        <v>0</v>
      </c>
      <c r="L100" s="1677">
        <f>SUM(L93:L99)</f>
        <v>0</v>
      </c>
    </row>
    <row r="101" spans="1:14" ht="13.15" customHeight="1" thickTop="1" thickBot="1" x14ac:dyDescent="0.25">
      <c r="A101" s="1510" t="s">
        <v>1475</v>
      </c>
      <c r="B101" s="643" t="s">
        <v>931</v>
      </c>
      <c r="C101" s="616"/>
      <c r="D101" s="616"/>
      <c r="E101" s="531"/>
      <c r="F101" s="616"/>
      <c r="G101" s="616"/>
      <c r="H101" s="531"/>
      <c r="I101" s="477"/>
      <c r="J101" s="477"/>
      <c r="K101" s="1679">
        <f>SUM(C101:J101)</f>
        <v>0</v>
      </c>
      <c r="L101" s="530">
        <v>0</v>
      </c>
    </row>
    <row r="102" spans="1:14" ht="13.15" customHeight="1" thickTop="1" thickBot="1" x14ac:dyDescent="0.25">
      <c r="A102" s="1668" t="s">
        <v>1473</v>
      </c>
      <c r="B102" s="1678">
        <v>4000</v>
      </c>
      <c r="C102" s="616"/>
      <c r="D102" s="616"/>
      <c r="E102" s="1677">
        <f>SUM(E84,E92,E100,E101)</f>
        <v>92793</v>
      </c>
      <c r="F102" s="616"/>
      <c r="G102" s="616"/>
      <c r="H102" s="1677">
        <f>SUM(H84,H92,H100,H101)</f>
        <v>166339</v>
      </c>
      <c r="I102" s="477"/>
      <c r="J102" s="477"/>
      <c r="K102" s="1677">
        <f>SUM(K84,K92,K100,K101)</f>
        <v>259132</v>
      </c>
      <c r="L102" s="1677">
        <f>SUM(L84,L92,L100,L101)</f>
        <v>286516</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c r="I106" s="468"/>
      <c r="J106" s="468"/>
      <c r="K106" s="1671">
        <f>H106</f>
        <v>0</v>
      </c>
      <c r="L106" s="466">
        <v>0</v>
      </c>
      <c r="M106" s="210"/>
      <c r="N106" s="210"/>
    </row>
    <row r="107" spans="1:14" s="597" customFormat="1" ht="13.15" customHeight="1" x14ac:dyDescent="0.2">
      <c r="A107" s="1504" t="s">
        <v>1170</v>
      </c>
      <c r="B107" s="614">
        <v>5130</v>
      </c>
      <c r="C107" s="616"/>
      <c r="D107" s="616"/>
      <c r="E107" s="616"/>
      <c r="F107" s="616"/>
      <c r="G107" s="616"/>
      <c r="H107" s="466"/>
      <c r="I107" s="468"/>
      <c r="J107" s="468"/>
      <c r="K107" s="1671">
        <f>H107</f>
        <v>0</v>
      </c>
      <c r="L107" s="466">
        <v>0</v>
      </c>
      <c r="M107" s="210"/>
      <c r="N107" s="210"/>
    </row>
    <row r="108" spans="1:14" s="597" customFormat="1" x14ac:dyDescent="0.2">
      <c r="A108" s="1504" t="s">
        <v>89</v>
      </c>
      <c r="B108" s="614" t="s">
        <v>589</v>
      </c>
      <c r="C108" s="616"/>
      <c r="D108" s="616"/>
      <c r="E108" s="616"/>
      <c r="F108" s="616"/>
      <c r="G108" s="616"/>
      <c r="H108" s="466"/>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c r="I109" s="468"/>
      <c r="J109" s="468"/>
      <c r="K109" s="1671">
        <f>H109</f>
        <v>0</v>
      </c>
      <c r="L109" s="466">
        <v>7165</v>
      </c>
      <c r="M109" s="210"/>
      <c r="N109" s="210"/>
    </row>
    <row r="110" spans="1:14" s="597" customFormat="1" ht="13.1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7165</v>
      </c>
      <c r="M110" s="210"/>
      <c r="N110" s="210"/>
    </row>
    <row r="111" spans="1:14" s="597" customFormat="1" ht="13.15" customHeight="1" thickTop="1" thickBot="1" x14ac:dyDescent="0.25">
      <c r="A111" s="1514" t="s">
        <v>368</v>
      </c>
      <c r="B111" s="647" t="s">
        <v>38</v>
      </c>
      <c r="C111" s="616"/>
      <c r="D111" s="616"/>
      <c r="E111" s="616"/>
      <c r="F111" s="616"/>
      <c r="G111" s="616"/>
      <c r="H111" s="535"/>
      <c r="I111" s="468"/>
      <c r="J111" s="468"/>
      <c r="K111" s="1683">
        <f>H111</f>
        <v>0</v>
      </c>
      <c r="L111" s="532">
        <v>0</v>
      </c>
      <c r="M111" s="210"/>
      <c r="N111" s="210"/>
    </row>
    <row r="112" spans="1:14" s="597" customFormat="1" ht="13.1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7165</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0</v>
      </c>
      <c r="M113" s="613"/>
      <c r="N113" s="613"/>
    </row>
    <row r="114" spans="1:14" ht="13.15" customHeight="1" thickTop="1" thickBot="1" x14ac:dyDescent="0.25">
      <c r="A114" s="1668" t="s">
        <v>48</v>
      </c>
      <c r="B114" s="1682"/>
      <c r="C114" s="1670">
        <f>SUM(C33,C74,C75,C102,C112,C113)</f>
        <v>2687795</v>
      </c>
      <c r="D114" s="1670">
        <f t="shared" ref="D114:K114" si="13">SUM(D33,D74,D75,D102,D112,D113)</f>
        <v>435661</v>
      </c>
      <c r="E114" s="1670">
        <f t="shared" si="13"/>
        <v>605506</v>
      </c>
      <c r="F114" s="1670">
        <f t="shared" si="13"/>
        <v>174982</v>
      </c>
      <c r="G114" s="1670">
        <f t="shared" si="13"/>
        <v>110161</v>
      </c>
      <c r="H114" s="1670">
        <f>SUM(H33,H74,H75,H102,H112,H113)</f>
        <v>180436</v>
      </c>
      <c r="I114" s="1670">
        <f t="shared" si="13"/>
        <v>0</v>
      </c>
      <c r="J114" s="1670">
        <f t="shared" si="13"/>
        <v>0</v>
      </c>
      <c r="K114" s="1670">
        <f t="shared" si="13"/>
        <v>4194541</v>
      </c>
      <c r="L114" s="1670">
        <f>SUM(L33,L74,L75,L102,L112,L113)</f>
        <v>4237401</v>
      </c>
    </row>
    <row r="115" spans="1:14" ht="13.5" thickTop="1" x14ac:dyDescent="0.2">
      <c r="A115" s="2116" t="s">
        <v>996</v>
      </c>
      <c r="B115" s="2117"/>
      <c r="C115" s="618"/>
      <c r="D115" s="618"/>
      <c r="E115" s="618"/>
      <c r="F115" s="618"/>
      <c r="G115" s="618"/>
      <c r="H115" s="618"/>
      <c r="I115" s="618"/>
      <c r="J115" s="618"/>
      <c r="K115" s="1684">
        <f>'Revenues 9-14'!C268-'Expenditures 15-22'!K114</f>
        <v>68743</v>
      </c>
      <c r="L115" s="618"/>
    </row>
    <row r="116" spans="1:14" s="180" customFormat="1" ht="9.4"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21" t="s">
        <v>296</v>
      </c>
      <c r="B117" s="2122"/>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3.15" customHeight="1" x14ac:dyDescent="0.2">
      <c r="A120" s="1508" t="s">
        <v>2022</v>
      </c>
      <c r="B120" s="628" t="s">
        <v>716</v>
      </c>
      <c r="C120" s="466"/>
      <c r="D120" s="466"/>
      <c r="E120" s="466"/>
      <c r="F120" s="466"/>
      <c r="G120" s="466"/>
      <c r="H120" s="466"/>
      <c r="I120" s="467"/>
      <c r="J120" s="467"/>
      <c r="K120" s="1671">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v>0</v>
      </c>
    </row>
    <row r="123" spans="1:14" ht="14.25" thickTop="1" thickBot="1" x14ac:dyDescent="0.25">
      <c r="A123" s="1504" t="s">
        <v>4</v>
      </c>
      <c r="B123" s="614">
        <v>2530</v>
      </c>
      <c r="C123" s="466"/>
      <c r="D123" s="466"/>
      <c r="E123" s="466"/>
      <c r="F123" s="466"/>
      <c r="G123" s="466"/>
      <c r="H123" s="466"/>
      <c r="I123" s="467"/>
      <c r="J123" s="467"/>
      <c r="K123" s="1670">
        <f>SUM(C123:J123)</f>
        <v>0</v>
      </c>
      <c r="L123" s="466">
        <v>0</v>
      </c>
    </row>
    <row r="124" spans="1:14" ht="14.25" thickTop="1" thickBot="1" x14ac:dyDescent="0.25">
      <c r="A124" s="1504" t="s">
        <v>197</v>
      </c>
      <c r="B124" s="614">
        <v>2540</v>
      </c>
      <c r="C124" s="466">
        <v>182184</v>
      </c>
      <c r="D124" s="466">
        <v>29542</v>
      </c>
      <c r="E124" s="466">
        <v>63098</v>
      </c>
      <c r="F124" s="466">
        <v>98150</v>
      </c>
      <c r="G124" s="466">
        <v>53345</v>
      </c>
      <c r="H124" s="466"/>
      <c r="I124" s="467"/>
      <c r="J124" s="467"/>
      <c r="K124" s="1670">
        <f>SUM(C124:J124)</f>
        <v>426319</v>
      </c>
      <c r="L124" s="466">
        <v>399126</v>
      </c>
    </row>
    <row r="125" spans="1:14" ht="14.25" thickTop="1" thickBot="1" x14ac:dyDescent="0.25">
      <c r="A125" s="1504" t="s">
        <v>953</v>
      </c>
      <c r="B125" s="614">
        <v>2550</v>
      </c>
      <c r="C125" s="466"/>
      <c r="D125" s="466"/>
      <c r="E125" s="466"/>
      <c r="F125" s="466"/>
      <c r="G125" s="466"/>
      <c r="H125" s="466"/>
      <c r="I125" s="467"/>
      <c r="J125" s="467"/>
      <c r="K125" s="1670">
        <f>SUM(C125:J125)</f>
        <v>0</v>
      </c>
      <c r="L125" s="466">
        <v>0</v>
      </c>
    </row>
    <row r="126" spans="1:14" ht="14.25" thickTop="1" thickBot="1" x14ac:dyDescent="0.25">
      <c r="A126" s="1504" t="s">
        <v>100</v>
      </c>
      <c r="B126" s="614">
        <v>2560</v>
      </c>
      <c r="C126" s="654"/>
      <c r="D126" s="654"/>
      <c r="E126" s="654"/>
      <c r="F126" s="654"/>
      <c r="G126" s="466"/>
      <c r="H126" s="654"/>
      <c r="I126" s="474"/>
      <c r="J126" s="616"/>
      <c r="K126" s="1670">
        <f>SUM(C126:J126)</f>
        <v>0</v>
      </c>
      <c r="L126" s="466">
        <v>0</v>
      </c>
    </row>
    <row r="127" spans="1:14" ht="13.15" customHeight="1" thickTop="1" thickBot="1" x14ac:dyDescent="0.25">
      <c r="A127" s="1668" t="s">
        <v>719</v>
      </c>
      <c r="B127" s="1669" t="s">
        <v>35</v>
      </c>
      <c r="C127" s="1670">
        <f>SUM(C122:C126)</f>
        <v>182184</v>
      </c>
      <c r="D127" s="1670">
        <f t="shared" ref="D127:L127" si="14">SUM(D122:D126)</f>
        <v>29542</v>
      </c>
      <c r="E127" s="1670">
        <f t="shared" si="14"/>
        <v>63098</v>
      </c>
      <c r="F127" s="1670">
        <f t="shared" si="14"/>
        <v>98150</v>
      </c>
      <c r="G127" s="1670">
        <f t="shared" si="14"/>
        <v>53345</v>
      </c>
      <c r="H127" s="1670">
        <f t="shared" si="14"/>
        <v>0</v>
      </c>
      <c r="I127" s="1670">
        <f t="shared" si="14"/>
        <v>0</v>
      </c>
      <c r="J127" s="1670">
        <f t="shared" si="14"/>
        <v>0</v>
      </c>
      <c r="K127" s="1670">
        <f t="shared" si="14"/>
        <v>426319</v>
      </c>
      <c r="L127" s="1670">
        <f t="shared" si="14"/>
        <v>399126</v>
      </c>
    </row>
    <row r="128" spans="1:14" ht="13.15" customHeight="1" thickTop="1" x14ac:dyDescent="0.2">
      <c r="A128" s="1511" t="s">
        <v>980</v>
      </c>
      <c r="B128" s="655" t="s">
        <v>574</v>
      </c>
      <c r="C128" s="656"/>
      <c r="D128" s="656"/>
      <c r="E128" s="656"/>
      <c r="F128" s="656"/>
      <c r="G128" s="656"/>
      <c r="H128" s="656"/>
      <c r="I128" s="535"/>
      <c r="J128" s="535"/>
      <c r="K128" s="1685">
        <f>SUM(C128:J128)</f>
        <v>0</v>
      </c>
      <c r="L128" s="656">
        <v>0</v>
      </c>
    </row>
    <row r="129" spans="1:14" ht="13.15" customHeight="1" thickBot="1" x14ac:dyDescent="0.25">
      <c r="A129" s="1686" t="s">
        <v>811</v>
      </c>
      <c r="B129" s="1687" t="s">
        <v>569</v>
      </c>
      <c r="C129" s="1677">
        <f>SUM(C120,C127,C128)</f>
        <v>182184</v>
      </c>
      <c r="D129" s="1677">
        <f t="shared" ref="D129:L129" si="15">SUM(D120,D127,D128)</f>
        <v>29542</v>
      </c>
      <c r="E129" s="1677">
        <f t="shared" si="15"/>
        <v>63098</v>
      </c>
      <c r="F129" s="1677">
        <f t="shared" si="15"/>
        <v>98150</v>
      </c>
      <c r="G129" s="1677">
        <f t="shared" si="15"/>
        <v>53345</v>
      </c>
      <c r="H129" s="1677">
        <f t="shared" si="15"/>
        <v>0</v>
      </c>
      <c r="I129" s="1677">
        <f t="shared" si="15"/>
        <v>0</v>
      </c>
      <c r="J129" s="1677">
        <f t="shared" si="15"/>
        <v>0</v>
      </c>
      <c r="K129" s="1677">
        <f t="shared" si="15"/>
        <v>426319</v>
      </c>
      <c r="L129" s="1677">
        <f t="shared" si="15"/>
        <v>399126</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1810</v>
      </c>
      <c r="C133" s="468"/>
      <c r="D133" s="468"/>
      <c r="E133" s="641"/>
      <c r="F133" s="468"/>
      <c r="G133" s="468"/>
      <c r="H133" s="641"/>
      <c r="I133" s="468"/>
      <c r="J133" s="468"/>
      <c r="K133" s="1821">
        <f>SUM(E133,H133)</f>
        <v>0</v>
      </c>
      <c r="L133" s="641">
        <v>0</v>
      </c>
      <c r="M133" s="206"/>
      <c r="N133" s="206"/>
    </row>
    <row r="134" spans="1:14" x14ac:dyDescent="0.2">
      <c r="A134" s="1504" t="s">
        <v>304</v>
      </c>
      <c r="B134" s="614">
        <v>4120</v>
      </c>
      <c r="C134" s="616"/>
      <c r="D134" s="616"/>
      <c r="E134" s="478"/>
      <c r="F134" s="616"/>
      <c r="G134" s="616"/>
      <c r="H134" s="481"/>
      <c r="I134" s="477"/>
      <c r="J134" s="616"/>
      <c r="K134" s="1672">
        <f>SUM(E134,H134)</f>
        <v>0</v>
      </c>
      <c r="L134" s="481">
        <v>0</v>
      </c>
    </row>
    <row r="135" spans="1:14" x14ac:dyDescent="0.2">
      <c r="A135" s="1504" t="s">
        <v>697</v>
      </c>
      <c r="B135" s="614">
        <v>4140</v>
      </c>
      <c r="C135" s="616"/>
      <c r="D135" s="616"/>
      <c r="E135" s="467"/>
      <c r="F135" s="616"/>
      <c r="G135" s="616"/>
      <c r="H135" s="466"/>
      <c r="I135" s="477"/>
      <c r="J135" s="616"/>
      <c r="K135" s="1672">
        <f>SUM(E135,H135)</f>
        <v>0</v>
      </c>
      <c r="L135" s="466">
        <v>0</v>
      </c>
    </row>
    <row r="136" spans="1:14" x14ac:dyDescent="0.2">
      <c r="A136" s="1508" t="s">
        <v>698</v>
      </c>
      <c r="B136" s="628">
        <v>4190</v>
      </c>
      <c r="C136" s="616"/>
      <c r="D136" s="616"/>
      <c r="E136" s="467"/>
      <c r="F136" s="616"/>
      <c r="G136" s="616"/>
      <c r="H136" s="466"/>
      <c r="I136" s="477"/>
      <c r="J136" s="616"/>
      <c r="K136" s="1672">
        <f>SUM(E136,H136)</f>
        <v>0</v>
      </c>
      <c r="L136" s="466">
        <v>0</v>
      </c>
    </row>
    <row r="137" spans="1:14" ht="13.1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3.15" customHeight="1" thickTop="1" thickBot="1" x14ac:dyDescent="0.25">
      <c r="A138" s="1510" t="s">
        <v>96</v>
      </c>
      <c r="B138" s="643" t="s">
        <v>931</v>
      </c>
      <c r="C138" s="616"/>
      <c r="D138" s="616"/>
      <c r="E138" s="479"/>
      <c r="F138" s="616"/>
      <c r="G138" s="616"/>
      <c r="H138" s="576"/>
      <c r="I138" s="477"/>
      <c r="J138" s="616"/>
      <c r="K138" s="1672">
        <f>SUM(E138,H138)</f>
        <v>0</v>
      </c>
      <c r="L138" s="576">
        <v>0</v>
      </c>
    </row>
    <row r="139" spans="1:14" ht="13.15" customHeight="1" thickTop="1" thickBot="1" x14ac:dyDescent="0.25">
      <c r="A139" s="1668" t="s">
        <v>1473</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v>0</v>
      </c>
    </row>
    <row r="143" spans="1:14" x14ac:dyDescent="0.2">
      <c r="A143" s="1504" t="s">
        <v>88</v>
      </c>
      <c r="B143" s="614">
        <v>5120</v>
      </c>
      <c r="C143" s="616"/>
      <c r="D143" s="616"/>
      <c r="E143" s="616"/>
      <c r="F143" s="616"/>
      <c r="G143" s="616"/>
      <c r="H143" s="466"/>
      <c r="I143" s="468"/>
      <c r="J143" s="616"/>
      <c r="K143" s="1672">
        <f>SUM(H143)</f>
        <v>0</v>
      </c>
      <c r="L143" s="466">
        <v>0</v>
      </c>
    </row>
    <row r="144" spans="1:14" ht="13.15" customHeight="1" x14ac:dyDescent="0.2">
      <c r="A144" s="1504" t="s">
        <v>1170</v>
      </c>
      <c r="B144" s="628" t="s">
        <v>617</v>
      </c>
      <c r="C144" s="616"/>
      <c r="D144" s="616"/>
      <c r="E144" s="616"/>
      <c r="F144" s="616"/>
      <c r="G144" s="616"/>
      <c r="H144" s="466"/>
      <c r="I144" s="468"/>
      <c r="J144" s="616"/>
      <c r="K144" s="1672">
        <f>SUM(H144)</f>
        <v>0</v>
      </c>
      <c r="L144" s="466">
        <v>0</v>
      </c>
    </row>
    <row r="145" spans="1:14" x14ac:dyDescent="0.2">
      <c r="A145" s="1504" t="s">
        <v>89</v>
      </c>
      <c r="B145" s="614" t="s">
        <v>589</v>
      </c>
      <c r="C145" s="616"/>
      <c r="D145" s="616"/>
      <c r="E145" s="616"/>
      <c r="F145" s="616"/>
      <c r="G145" s="616"/>
      <c r="H145" s="466"/>
      <c r="I145" s="468"/>
      <c r="J145" s="616"/>
      <c r="K145" s="1672">
        <f>SUM(H145)</f>
        <v>0</v>
      </c>
      <c r="L145" s="466">
        <v>0</v>
      </c>
    </row>
    <row r="146" spans="1:14" ht="13.15" customHeight="1" x14ac:dyDescent="0.2">
      <c r="A146" s="1504" t="s">
        <v>619</v>
      </c>
      <c r="B146" s="614" t="s">
        <v>618</v>
      </c>
      <c r="C146" s="616"/>
      <c r="D146" s="616"/>
      <c r="E146" s="616"/>
      <c r="F146" s="616"/>
      <c r="G146" s="616"/>
      <c r="H146" s="466">
        <v>350</v>
      </c>
      <c r="I146" s="468"/>
      <c r="J146" s="616"/>
      <c r="K146" s="1672">
        <f>SUM(H146)</f>
        <v>350</v>
      </c>
      <c r="L146" s="466">
        <v>350</v>
      </c>
    </row>
    <row r="147" spans="1:14" ht="13.15" customHeight="1" thickBot="1" x14ac:dyDescent="0.25">
      <c r="A147" s="1515" t="s">
        <v>626</v>
      </c>
      <c r="B147" s="659" t="s">
        <v>718</v>
      </c>
      <c r="C147" s="616"/>
      <c r="D147" s="616"/>
      <c r="E147" s="616"/>
      <c r="F147" s="616"/>
      <c r="G147" s="616"/>
      <c r="H147" s="1688">
        <f>SUM(H142:H146)</f>
        <v>350</v>
      </c>
      <c r="I147" s="468"/>
      <c r="J147" s="616"/>
      <c r="K147" s="1670">
        <f>SUM(K142:K146)</f>
        <v>350</v>
      </c>
      <c r="L147" s="1688">
        <f>SUM(L142:L146)</f>
        <v>350</v>
      </c>
    </row>
    <row r="148" spans="1:14" ht="15.75" customHeight="1" thickTop="1" x14ac:dyDescent="0.2">
      <c r="A148" s="660" t="s">
        <v>1103</v>
      </c>
      <c r="B148" s="661" t="s">
        <v>38</v>
      </c>
      <c r="C148" s="616"/>
      <c r="D148" s="616"/>
      <c r="E148" s="616"/>
      <c r="F148" s="616"/>
      <c r="G148" s="616"/>
      <c r="H148" s="479"/>
      <c r="I148" s="468"/>
      <c r="J148" s="616"/>
      <c r="K148" s="1672">
        <f>SUM(H148)</f>
        <v>0</v>
      </c>
      <c r="L148" s="492">
        <v>0</v>
      </c>
    </row>
    <row r="149" spans="1:14" ht="13.15" customHeight="1" thickBot="1" x14ac:dyDescent="0.25">
      <c r="A149" s="1507" t="s">
        <v>638</v>
      </c>
      <c r="B149" s="617" t="s">
        <v>492</v>
      </c>
      <c r="C149" s="616"/>
      <c r="D149" s="616"/>
      <c r="E149" s="616"/>
      <c r="F149" s="616"/>
      <c r="G149" s="616"/>
      <c r="H149" s="1670">
        <f>SUM(H147,H148)</f>
        <v>350</v>
      </c>
      <c r="I149" s="468"/>
      <c r="J149" s="616"/>
      <c r="K149" s="1670">
        <f>SUM(K147:K148)</f>
        <v>350</v>
      </c>
      <c r="L149" s="1670">
        <f>SUM(L142:L146,L148)</f>
        <v>350</v>
      </c>
    </row>
    <row r="150" spans="1:14" ht="15.75" customHeight="1" thickTop="1" thickBot="1" x14ac:dyDescent="0.25">
      <c r="A150" s="1606" t="s">
        <v>1038</v>
      </c>
      <c r="B150" s="1613" t="s">
        <v>861</v>
      </c>
      <c r="C150" s="616"/>
      <c r="D150" s="616"/>
      <c r="E150" s="616"/>
      <c r="F150" s="616"/>
      <c r="G150" s="616"/>
      <c r="H150" s="662"/>
      <c r="I150" s="521"/>
      <c r="J150" s="616"/>
      <c r="K150" s="623"/>
      <c r="L150" s="573">
        <v>0</v>
      </c>
    </row>
    <row r="151" spans="1:14" ht="13.15" customHeight="1" thickTop="1" thickBot="1" x14ac:dyDescent="0.25">
      <c r="A151" s="2133" t="s">
        <v>620</v>
      </c>
      <c r="B151" s="2113"/>
      <c r="C151" s="1670">
        <f>SUM(C129,C130,C139,C149,C150)</f>
        <v>182184</v>
      </c>
      <c r="D151" s="1670">
        <f t="shared" ref="D151:K151" si="16">SUM(D129,D130,D139,D149,D150)</f>
        <v>29542</v>
      </c>
      <c r="E151" s="1670">
        <f t="shared" si="16"/>
        <v>63098</v>
      </c>
      <c r="F151" s="1670">
        <f t="shared" si="16"/>
        <v>98150</v>
      </c>
      <c r="G151" s="1670">
        <f t="shared" si="16"/>
        <v>53345</v>
      </c>
      <c r="H151" s="1670">
        <f t="shared" si="16"/>
        <v>350</v>
      </c>
      <c r="I151" s="1670">
        <f t="shared" si="16"/>
        <v>0</v>
      </c>
      <c r="J151" s="1670">
        <f t="shared" si="16"/>
        <v>0</v>
      </c>
      <c r="K151" s="1670">
        <f t="shared" si="16"/>
        <v>426669</v>
      </c>
      <c r="L151" s="1670">
        <f>SUM(L129,L130,L139,L149,L150)</f>
        <v>399476</v>
      </c>
    </row>
    <row r="152" spans="1:14" ht="13.15" customHeight="1" thickTop="1" x14ac:dyDescent="0.2">
      <c r="A152" s="2136" t="s">
        <v>1178</v>
      </c>
      <c r="B152" s="2137"/>
      <c r="C152" s="618"/>
      <c r="D152" s="618"/>
      <c r="E152" s="618"/>
      <c r="F152" s="618"/>
      <c r="G152" s="618"/>
      <c r="H152" s="618"/>
      <c r="I152" s="618"/>
      <c r="J152" s="616"/>
      <c r="K152" s="1684">
        <f>'Revenues 9-14'!D268-'Expenditures 15-22'!K151</f>
        <v>-25027</v>
      </c>
      <c r="L152" s="618"/>
    </row>
    <row r="153" spans="1:14" s="666" customFormat="1" ht="9.4"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21" t="s">
        <v>621</v>
      </c>
      <c r="B154" s="2123"/>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1811</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1810</v>
      </c>
      <c r="C157" s="616"/>
      <c r="D157" s="616"/>
      <c r="E157" s="616"/>
      <c r="F157" s="616"/>
      <c r="G157" s="616"/>
      <c r="H157" s="641"/>
      <c r="I157" s="616"/>
      <c r="J157" s="616"/>
      <c r="K157" s="1671">
        <f>H157</f>
        <v>0</v>
      </c>
      <c r="L157" s="467">
        <v>0</v>
      </c>
      <c r="M157" s="619"/>
      <c r="N157" s="619"/>
    </row>
    <row r="158" spans="1:14" s="620" customFormat="1" ht="12" x14ac:dyDescent="0.2">
      <c r="A158" s="1826" t="s">
        <v>304</v>
      </c>
      <c r="B158" s="1827" t="s">
        <v>1812</v>
      </c>
      <c r="C158" s="616"/>
      <c r="D158" s="616"/>
      <c r="E158" s="616"/>
      <c r="F158" s="616"/>
      <c r="G158" s="616"/>
      <c r="H158" s="467"/>
      <c r="I158" s="616"/>
      <c r="J158" s="616"/>
      <c r="K158" s="1671">
        <f>H158</f>
        <v>0</v>
      </c>
      <c r="L158" s="467">
        <v>0</v>
      </c>
      <c r="M158" s="619"/>
      <c r="N158" s="619"/>
    </row>
    <row r="159" spans="1:14" s="620" customFormat="1" ht="12" x14ac:dyDescent="0.2">
      <c r="A159" s="1826" t="s">
        <v>1813</v>
      </c>
      <c r="B159" s="1827" t="s">
        <v>558</v>
      </c>
      <c r="C159" s="616"/>
      <c r="D159" s="616"/>
      <c r="E159" s="616"/>
      <c r="F159" s="616"/>
      <c r="G159" s="616"/>
      <c r="H159" s="467"/>
      <c r="I159" s="616"/>
      <c r="J159" s="616"/>
      <c r="K159" s="1671">
        <f>H159</f>
        <v>0</v>
      </c>
      <c r="L159" s="467">
        <v>0</v>
      </c>
      <c r="M159" s="619"/>
      <c r="N159" s="619"/>
    </row>
    <row r="160" spans="1:14" s="620" customFormat="1" ht="15.75" customHeight="1" thickBot="1" x14ac:dyDescent="0.25">
      <c r="A160" s="1828" t="s">
        <v>1814</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v>0</v>
      </c>
    </row>
    <row r="164" spans="1:14" x14ac:dyDescent="0.2">
      <c r="A164" s="1504" t="s">
        <v>88</v>
      </c>
      <c r="B164" s="614">
        <v>5120</v>
      </c>
      <c r="C164" s="616"/>
      <c r="D164" s="616"/>
      <c r="E164" s="616"/>
      <c r="F164" s="616"/>
      <c r="G164" s="616"/>
      <c r="H164" s="466"/>
      <c r="I164" s="616"/>
      <c r="J164" s="616"/>
      <c r="K164" s="1671">
        <f>SUM(C164:J164)</f>
        <v>0</v>
      </c>
      <c r="L164" s="466">
        <v>0</v>
      </c>
    </row>
    <row r="165" spans="1:14" ht="13.15" customHeight="1" x14ac:dyDescent="0.2">
      <c r="A165" s="1504" t="s">
        <v>1170</v>
      </c>
      <c r="B165" s="614" t="s">
        <v>617</v>
      </c>
      <c r="C165" s="616"/>
      <c r="D165" s="616"/>
      <c r="E165" s="616"/>
      <c r="F165" s="616"/>
      <c r="G165" s="616"/>
      <c r="H165" s="466"/>
      <c r="I165" s="616"/>
      <c r="J165" s="616"/>
      <c r="K165" s="1671">
        <f>SUM(C165:J165)</f>
        <v>0</v>
      </c>
      <c r="L165" s="466">
        <v>0</v>
      </c>
    </row>
    <row r="166" spans="1:14" x14ac:dyDescent="0.2">
      <c r="A166" s="1504" t="s">
        <v>89</v>
      </c>
      <c r="B166" s="628" t="s">
        <v>589</v>
      </c>
      <c r="C166" s="616"/>
      <c r="D166" s="616"/>
      <c r="E166" s="616"/>
      <c r="F166" s="616"/>
      <c r="G166" s="616"/>
      <c r="H166" s="466"/>
      <c r="I166" s="616"/>
      <c r="J166" s="616"/>
      <c r="K166" s="1671">
        <f>SUM(C166:J166)</f>
        <v>0</v>
      </c>
      <c r="L166" s="466">
        <v>0</v>
      </c>
    </row>
    <row r="167" spans="1:14" ht="13.15" customHeight="1" x14ac:dyDescent="0.2">
      <c r="A167" s="1504" t="s">
        <v>619</v>
      </c>
      <c r="B167" s="614" t="s">
        <v>618</v>
      </c>
      <c r="C167" s="616"/>
      <c r="D167" s="616"/>
      <c r="E167" s="616"/>
      <c r="F167" s="616"/>
      <c r="G167" s="616"/>
      <c r="H167" s="466"/>
      <c r="I167" s="616"/>
      <c r="J167" s="616"/>
      <c r="K167" s="1671">
        <f>SUM(C167:J167)</f>
        <v>0</v>
      </c>
      <c r="L167" s="466">
        <v>0</v>
      </c>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13005</v>
      </c>
      <c r="I169" s="616"/>
      <c r="J169" s="616"/>
      <c r="K169" s="1671">
        <f>SUM(C169:H169)</f>
        <v>13005</v>
      </c>
      <c r="L169" s="656">
        <v>13005</v>
      </c>
    </row>
    <row r="170" spans="1:14" ht="33.75" customHeight="1" x14ac:dyDescent="0.2">
      <c r="A170" s="669" t="s">
        <v>1639</v>
      </c>
      <c r="B170" s="671" t="s">
        <v>31</v>
      </c>
      <c r="C170" s="616"/>
      <c r="D170" s="616"/>
      <c r="E170" s="616"/>
      <c r="F170" s="616"/>
      <c r="G170" s="616"/>
      <c r="H170" s="569">
        <v>200000</v>
      </c>
      <c r="I170" s="616"/>
      <c r="J170" s="616"/>
      <c r="K170" s="1671">
        <f>SUM(C170:J170)</f>
        <v>200000</v>
      </c>
      <c r="L170" s="569">
        <v>200000</v>
      </c>
    </row>
    <row r="171" spans="1:14" ht="15.75" customHeight="1" x14ac:dyDescent="0.2">
      <c r="A171" s="621" t="s">
        <v>766</v>
      </c>
      <c r="B171" s="672" t="s">
        <v>84</v>
      </c>
      <c r="C171" s="616"/>
      <c r="D171" s="616"/>
      <c r="E171" s="466"/>
      <c r="F171" s="616"/>
      <c r="G171" s="616"/>
      <c r="H171" s="569"/>
      <c r="I171" s="477"/>
      <c r="J171" s="616"/>
      <c r="K171" s="1671">
        <f>SUM(C171:J171)</f>
        <v>0</v>
      </c>
      <c r="L171" s="569">
        <v>0</v>
      </c>
    </row>
    <row r="172" spans="1:14" ht="13.15" customHeight="1" thickBot="1" x14ac:dyDescent="0.25">
      <c r="A172" s="1668" t="s">
        <v>638</v>
      </c>
      <c r="B172" s="1669" t="s">
        <v>492</v>
      </c>
      <c r="C172" s="616"/>
      <c r="D172" s="616"/>
      <c r="E172" s="1677">
        <f>SUM(E168,E169,E170,E171)</f>
        <v>0</v>
      </c>
      <c r="F172" s="616"/>
      <c r="G172" s="616"/>
      <c r="H172" s="1677">
        <f>SUM(H168,H169,H170,H171)</f>
        <v>213005</v>
      </c>
      <c r="I172" s="638"/>
      <c r="J172" s="616"/>
      <c r="K172" s="1677">
        <f>SUM(K168,K169,K170,K171)</f>
        <v>213005</v>
      </c>
      <c r="L172" s="1677">
        <f>SUM(L168,L169,L170,L171)</f>
        <v>213005</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3.15" customHeight="1" thickTop="1" thickBot="1" x14ac:dyDescent="0.25">
      <c r="A174" s="1689" t="s">
        <v>90</v>
      </c>
      <c r="B174" s="1690"/>
      <c r="C174" s="616"/>
      <c r="D174" s="616"/>
      <c r="E174" s="1677">
        <f>SUM(E172,E173)</f>
        <v>0</v>
      </c>
      <c r="F174" s="616"/>
      <c r="G174" s="616"/>
      <c r="H174" s="1677">
        <f>SUM(H160,H172,H173)</f>
        <v>213005</v>
      </c>
      <c r="I174" s="638"/>
      <c r="J174" s="616"/>
      <c r="K174" s="1677">
        <f>SUM(K160,K172,K173)</f>
        <v>213005</v>
      </c>
      <c r="L174" s="1677">
        <f>SUM(L160,L172,L173)</f>
        <v>213005</v>
      </c>
    </row>
    <row r="175" spans="1:14" ht="13.5" thickTop="1" x14ac:dyDescent="0.2">
      <c r="A175" s="2116" t="s">
        <v>996</v>
      </c>
      <c r="B175" s="2117"/>
      <c r="C175" s="616"/>
      <c r="D175" s="616"/>
      <c r="E175" s="616"/>
      <c r="F175" s="616"/>
      <c r="G175" s="616"/>
      <c r="H175" s="618"/>
      <c r="I175" s="616"/>
      <c r="J175" s="616"/>
      <c r="K175" s="1684">
        <f>'Revenues 9-14'!E268-'Expenditures 15-22'!K174</f>
        <v>-2200</v>
      </c>
      <c r="L175" s="618"/>
    </row>
    <row r="176" spans="1:14" s="666" customFormat="1" ht="9.4"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3.15" customHeight="1" x14ac:dyDescent="0.2">
      <c r="A180" s="1504" t="s">
        <v>2022</v>
      </c>
      <c r="B180" s="614" t="s">
        <v>716</v>
      </c>
      <c r="C180" s="466"/>
      <c r="D180" s="466"/>
      <c r="E180" s="466"/>
      <c r="F180" s="466"/>
      <c r="G180" s="466"/>
      <c r="H180" s="466"/>
      <c r="I180" s="467"/>
      <c r="J180" s="467"/>
      <c r="K180" s="1671">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3.15" customHeight="1" x14ac:dyDescent="0.2">
      <c r="A182" s="1504" t="s">
        <v>953</v>
      </c>
      <c r="B182" s="614">
        <v>2550</v>
      </c>
      <c r="C182" s="466">
        <v>2122</v>
      </c>
      <c r="D182" s="466"/>
      <c r="E182" s="466">
        <v>189965</v>
      </c>
      <c r="F182" s="466"/>
      <c r="G182" s="466"/>
      <c r="H182" s="466"/>
      <c r="I182" s="467"/>
      <c r="J182" s="467"/>
      <c r="K182" s="1671">
        <f>SUM(C182:J182)</f>
        <v>192087</v>
      </c>
      <c r="L182" s="466">
        <v>202122</v>
      </c>
    </row>
    <row r="183" spans="1:14" ht="13.15" customHeight="1" thickBot="1" x14ac:dyDescent="0.25">
      <c r="A183" s="1509" t="s">
        <v>980</v>
      </c>
      <c r="B183" s="677">
        <v>2900</v>
      </c>
      <c r="C183" s="573"/>
      <c r="D183" s="573"/>
      <c r="E183" s="573"/>
      <c r="F183" s="573"/>
      <c r="G183" s="573"/>
      <c r="H183" s="573"/>
      <c r="I183" s="532"/>
      <c r="J183" s="532"/>
      <c r="K183" s="1677">
        <f>SUM(C183:J183)</f>
        <v>0</v>
      </c>
      <c r="L183" s="573">
        <v>0</v>
      </c>
    </row>
    <row r="184" spans="1:14" ht="13.15" customHeight="1" thickTop="1" thickBot="1" x14ac:dyDescent="0.25">
      <c r="A184" s="1691" t="s">
        <v>811</v>
      </c>
      <c r="B184" s="1669" t="s">
        <v>569</v>
      </c>
      <c r="C184" s="1677">
        <f>SUM(C180,C182,C183)</f>
        <v>2122</v>
      </c>
      <c r="D184" s="1677">
        <f t="shared" ref="D184:J184" si="17">SUM(D180,D182,D183)</f>
        <v>0</v>
      </c>
      <c r="E184" s="1677">
        <f t="shared" si="17"/>
        <v>189965</v>
      </c>
      <c r="F184" s="1677">
        <f t="shared" si="17"/>
        <v>0</v>
      </c>
      <c r="G184" s="1677">
        <f t="shared" si="17"/>
        <v>0</v>
      </c>
      <c r="H184" s="1677">
        <f t="shared" si="17"/>
        <v>0</v>
      </c>
      <c r="I184" s="1677">
        <f t="shared" si="17"/>
        <v>0</v>
      </c>
      <c r="J184" s="1677">
        <f t="shared" si="17"/>
        <v>0</v>
      </c>
      <c r="K184" s="1677">
        <f>SUM(K180,K182,K183)</f>
        <v>192087</v>
      </c>
      <c r="L184" s="1677">
        <f>SUM(L180, L182:L183)</f>
        <v>202122</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v>0</v>
      </c>
    </row>
    <row r="189" spans="1:14" x14ac:dyDescent="0.2">
      <c r="A189" s="1504" t="s">
        <v>304</v>
      </c>
      <c r="B189" s="614">
        <v>4120</v>
      </c>
      <c r="C189" s="616"/>
      <c r="D189" s="616"/>
      <c r="E189" s="466"/>
      <c r="F189" s="616"/>
      <c r="G189" s="616"/>
      <c r="H189" s="466"/>
      <c r="I189" s="477"/>
      <c r="J189" s="616"/>
      <c r="K189" s="1671">
        <f t="shared" si="18"/>
        <v>0</v>
      </c>
      <c r="L189" s="466">
        <v>0</v>
      </c>
    </row>
    <row r="190" spans="1:14" x14ac:dyDescent="0.2">
      <c r="A190" s="1504" t="s">
        <v>305</v>
      </c>
      <c r="B190" s="628">
        <v>4130</v>
      </c>
      <c r="C190" s="616"/>
      <c r="D190" s="616"/>
      <c r="E190" s="466"/>
      <c r="F190" s="616"/>
      <c r="G190" s="616"/>
      <c r="H190" s="466"/>
      <c r="I190" s="477"/>
      <c r="J190" s="616"/>
      <c r="K190" s="1671">
        <f t="shared" si="18"/>
        <v>0</v>
      </c>
      <c r="L190" s="466">
        <v>0</v>
      </c>
    </row>
    <row r="191" spans="1:14" x14ac:dyDescent="0.2">
      <c r="A191" s="1504" t="s">
        <v>697</v>
      </c>
      <c r="B191" s="614">
        <v>4140</v>
      </c>
      <c r="C191" s="616"/>
      <c r="D191" s="616"/>
      <c r="E191" s="466"/>
      <c r="F191" s="616"/>
      <c r="G191" s="616"/>
      <c r="H191" s="466"/>
      <c r="I191" s="477"/>
      <c r="J191" s="616"/>
      <c r="K191" s="1671">
        <f t="shared" si="18"/>
        <v>0</v>
      </c>
      <c r="L191" s="466">
        <v>0</v>
      </c>
    </row>
    <row r="192" spans="1:14" x14ac:dyDescent="0.2">
      <c r="A192" s="1504" t="s">
        <v>86</v>
      </c>
      <c r="B192" s="614">
        <v>4170</v>
      </c>
      <c r="C192" s="616"/>
      <c r="D192" s="616"/>
      <c r="E192" s="466"/>
      <c r="F192" s="616"/>
      <c r="G192" s="616"/>
      <c r="H192" s="466"/>
      <c r="I192" s="477"/>
      <c r="J192" s="616"/>
      <c r="K192" s="1671">
        <f t="shared" si="18"/>
        <v>0</v>
      </c>
      <c r="L192" s="466">
        <v>0</v>
      </c>
    </row>
    <row r="193" spans="1:14" x14ac:dyDescent="0.2">
      <c r="A193" s="1508" t="s">
        <v>698</v>
      </c>
      <c r="B193" s="628">
        <v>4190</v>
      </c>
      <c r="C193" s="616"/>
      <c r="D193" s="616"/>
      <c r="E193" s="466"/>
      <c r="F193" s="616"/>
      <c r="G193" s="616"/>
      <c r="H193" s="466"/>
      <c r="I193" s="477"/>
      <c r="J193" s="616"/>
      <c r="K193" s="1671">
        <f t="shared" si="18"/>
        <v>0</v>
      </c>
      <c r="L193" s="466">
        <v>0</v>
      </c>
    </row>
    <row r="194" spans="1:14" ht="13.1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v>0</v>
      </c>
    </row>
    <row r="196" spans="1:14" ht="13.15" customHeight="1" thickBot="1" x14ac:dyDescent="0.25">
      <c r="A196" s="1668" t="s">
        <v>1473</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v>0</v>
      </c>
    </row>
    <row r="200" spans="1:14" x14ac:dyDescent="0.2">
      <c r="A200" s="1504" t="s">
        <v>88</v>
      </c>
      <c r="B200" s="614">
        <v>5120</v>
      </c>
      <c r="C200" s="616"/>
      <c r="D200" s="616"/>
      <c r="E200" s="616"/>
      <c r="F200" s="616"/>
      <c r="G200" s="616"/>
      <c r="H200" s="466"/>
      <c r="I200" s="616"/>
      <c r="J200" s="616"/>
      <c r="K200" s="1671">
        <f>SUM(H200)</f>
        <v>0</v>
      </c>
      <c r="L200" s="466">
        <v>0</v>
      </c>
    </row>
    <row r="201" spans="1:14" ht="13.15" customHeight="1" x14ac:dyDescent="0.2">
      <c r="A201" s="1504" t="s">
        <v>1170</v>
      </c>
      <c r="B201" s="628" t="s">
        <v>617</v>
      </c>
      <c r="C201" s="616"/>
      <c r="D201" s="616"/>
      <c r="E201" s="616"/>
      <c r="F201" s="616"/>
      <c r="G201" s="616"/>
      <c r="H201" s="466"/>
      <c r="I201" s="616"/>
      <c r="J201" s="616"/>
      <c r="K201" s="1671">
        <f>SUM(H201)</f>
        <v>0</v>
      </c>
      <c r="L201" s="466">
        <v>0</v>
      </c>
    </row>
    <row r="202" spans="1:14" x14ac:dyDescent="0.2">
      <c r="A202" s="1504" t="s">
        <v>89</v>
      </c>
      <c r="B202" s="614" t="s">
        <v>589</v>
      </c>
      <c r="C202" s="616"/>
      <c r="D202" s="616"/>
      <c r="E202" s="616"/>
      <c r="F202" s="616"/>
      <c r="G202" s="616"/>
      <c r="H202" s="466"/>
      <c r="I202" s="616"/>
      <c r="J202" s="616"/>
      <c r="K202" s="1671">
        <f>SUM(H202)</f>
        <v>0</v>
      </c>
      <c r="L202" s="466">
        <v>0</v>
      </c>
    </row>
    <row r="203" spans="1:14" x14ac:dyDescent="0.2">
      <c r="A203" s="1516" t="s">
        <v>619</v>
      </c>
      <c r="B203" s="614" t="s">
        <v>618</v>
      </c>
      <c r="C203" s="616"/>
      <c r="D203" s="616"/>
      <c r="E203" s="616"/>
      <c r="F203" s="616"/>
      <c r="G203" s="616"/>
      <c r="H203" s="471"/>
      <c r="I203" s="616"/>
      <c r="J203" s="616"/>
      <c r="K203" s="1671">
        <f>SUM(H203)</f>
        <v>0</v>
      </c>
      <c r="L203" s="471">
        <v>0</v>
      </c>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v>0</v>
      </c>
    </row>
    <row r="206" spans="1:14" ht="30" customHeight="1" x14ac:dyDescent="0.2">
      <c r="A206" s="681" t="s">
        <v>1640</v>
      </c>
      <c r="B206" s="672" t="s">
        <v>31</v>
      </c>
      <c r="C206" s="616"/>
      <c r="D206" s="616"/>
      <c r="E206" s="616"/>
      <c r="F206" s="616"/>
      <c r="G206" s="616"/>
      <c r="H206" s="466"/>
      <c r="I206" s="616"/>
      <c r="J206" s="616"/>
      <c r="K206" s="1671">
        <f>SUM(H206)</f>
        <v>0</v>
      </c>
      <c r="L206" s="466">
        <v>0</v>
      </c>
    </row>
    <row r="207" spans="1:14" ht="15.75" customHeight="1" x14ac:dyDescent="0.2">
      <c r="A207" s="621" t="s">
        <v>766</v>
      </c>
      <c r="B207" s="672" t="s">
        <v>84</v>
      </c>
      <c r="C207" s="616"/>
      <c r="D207" s="616"/>
      <c r="E207" s="616"/>
      <c r="F207" s="616"/>
      <c r="G207" s="616"/>
      <c r="H207" s="467"/>
      <c r="I207" s="616"/>
      <c r="J207" s="616"/>
      <c r="K207" s="1671">
        <f>H207</f>
        <v>0</v>
      </c>
      <c r="L207" s="466">
        <v>0</v>
      </c>
    </row>
    <row r="208" spans="1:14" ht="13.1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0</v>
      </c>
    </row>
    <row r="210" spans="1:14" ht="13.15" customHeight="1" thickTop="1" thickBot="1" x14ac:dyDescent="0.25">
      <c r="A210" s="1692" t="s">
        <v>277</v>
      </c>
      <c r="B210" s="1693"/>
      <c r="C210" s="1670">
        <f>SUM(C184,C185)</f>
        <v>2122</v>
      </c>
      <c r="D210" s="1670">
        <f>SUM(D184,D185)</f>
        <v>0</v>
      </c>
      <c r="E210" s="1670">
        <f>SUM(E184,E185,E196)</f>
        <v>189965</v>
      </c>
      <c r="F210" s="1670">
        <f>SUM(F184,F185)</f>
        <v>0</v>
      </c>
      <c r="G210" s="1670">
        <f>SUM(G184,G185)</f>
        <v>0</v>
      </c>
      <c r="H210" s="1670">
        <f>SUM(H184,H185,H196,H208,H209)</f>
        <v>0</v>
      </c>
      <c r="I210" s="1670">
        <f>SUM(I184,I185)</f>
        <v>0</v>
      </c>
      <c r="J210" s="1670">
        <f>SUM(J184,J185)</f>
        <v>0</v>
      </c>
      <c r="K210" s="1671">
        <f>SUM(K184,K185,K196,K208,K209)</f>
        <v>192087</v>
      </c>
      <c r="L210" s="1670">
        <f>SUM(L184,L185,L196,L208,L209)</f>
        <v>202122</v>
      </c>
    </row>
    <row r="211" spans="1:14" ht="13.5" thickTop="1" x14ac:dyDescent="0.2">
      <c r="A211" s="2116" t="s">
        <v>996</v>
      </c>
      <c r="B211" s="2117"/>
      <c r="C211" s="618"/>
      <c r="D211" s="618"/>
      <c r="E211" s="618"/>
      <c r="F211" s="618"/>
      <c r="G211" s="618"/>
      <c r="H211" s="618"/>
      <c r="I211" s="616"/>
      <c r="J211" s="616"/>
      <c r="K211" s="1684">
        <f>'Revenues 9-14'!F268-'Expenditures 15-22'!K210</f>
        <v>-6320</v>
      </c>
      <c r="L211" s="618"/>
    </row>
    <row r="212" spans="1:14" s="666" customFormat="1" ht="9.4"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38" t="s">
        <v>965</v>
      </c>
      <c r="B213" s="2139"/>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19642</v>
      </c>
      <c r="E215" s="616"/>
      <c r="F215" s="616"/>
      <c r="G215" s="616"/>
      <c r="H215" s="616"/>
      <c r="I215" s="616"/>
      <c r="J215" s="616"/>
      <c r="K215" s="1671">
        <f>D215</f>
        <v>19642</v>
      </c>
      <c r="L215" s="466">
        <v>20626</v>
      </c>
    </row>
    <row r="216" spans="1:14" x14ac:dyDescent="0.2">
      <c r="A216" s="1504" t="s">
        <v>163</v>
      </c>
      <c r="B216" s="614" t="s">
        <v>967</v>
      </c>
      <c r="C216" s="616"/>
      <c r="D216" s="467">
        <v>5975</v>
      </c>
      <c r="E216" s="616"/>
      <c r="F216" s="616"/>
      <c r="G216" s="616"/>
      <c r="H216" s="616"/>
      <c r="I216" s="616"/>
      <c r="J216" s="616"/>
      <c r="K216" s="1671">
        <f t="shared" ref="K216:K228" si="19">D216</f>
        <v>5975</v>
      </c>
      <c r="L216" s="466">
        <v>6395</v>
      </c>
    </row>
    <row r="217" spans="1:14" x14ac:dyDescent="0.2">
      <c r="A217" s="1504" t="s">
        <v>164</v>
      </c>
      <c r="B217" s="614">
        <v>1200</v>
      </c>
      <c r="C217" s="616"/>
      <c r="D217" s="466">
        <v>44206</v>
      </c>
      <c r="E217" s="616"/>
      <c r="F217" s="616"/>
      <c r="G217" s="616"/>
      <c r="H217" s="616"/>
      <c r="I217" s="616"/>
      <c r="J217" s="616"/>
      <c r="K217" s="1671">
        <f t="shared" si="19"/>
        <v>44206</v>
      </c>
      <c r="L217" s="466">
        <v>44853</v>
      </c>
    </row>
    <row r="218" spans="1:14" x14ac:dyDescent="0.2">
      <c r="A218" s="1504" t="s">
        <v>278</v>
      </c>
      <c r="B218" s="614" t="s">
        <v>968</v>
      </c>
      <c r="C218" s="616"/>
      <c r="D218" s="467">
        <v>5695</v>
      </c>
      <c r="E218" s="616"/>
      <c r="F218" s="616"/>
      <c r="G218" s="616"/>
      <c r="H218" s="616"/>
      <c r="I218" s="616"/>
      <c r="J218" s="616"/>
      <c r="K218" s="1671">
        <f t="shared" si="19"/>
        <v>5695</v>
      </c>
      <c r="L218" s="466">
        <v>5768</v>
      </c>
    </row>
    <row r="219" spans="1:14" x14ac:dyDescent="0.2">
      <c r="A219" s="1504" t="s">
        <v>279</v>
      </c>
      <c r="B219" s="614">
        <v>1250</v>
      </c>
      <c r="C219" s="616"/>
      <c r="D219" s="466">
        <v>4598</v>
      </c>
      <c r="E219" s="616"/>
      <c r="F219" s="616"/>
      <c r="G219" s="616"/>
      <c r="H219" s="616"/>
      <c r="I219" s="616"/>
      <c r="J219" s="616"/>
      <c r="K219" s="1671">
        <f t="shared" si="19"/>
        <v>4598</v>
      </c>
      <c r="L219" s="466">
        <v>4598</v>
      </c>
    </row>
    <row r="220" spans="1:14" x14ac:dyDescent="0.2">
      <c r="A220" s="1504" t="s">
        <v>280</v>
      </c>
      <c r="B220" s="614" t="s">
        <v>161</v>
      </c>
      <c r="C220" s="616"/>
      <c r="D220" s="467"/>
      <c r="E220" s="616"/>
      <c r="F220" s="616"/>
      <c r="G220" s="616"/>
      <c r="H220" s="616"/>
      <c r="I220" s="616"/>
      <c r="J220" s="616"/>
      <c r="K220" s="1671">
        <f t="shared" si="19"/>
        <v>0</v>
      </c>
      <c r="L220" s="466">
        <v>0</v>
      </c>
    </row>
    <row r="221" spans="1:14" x14ac:dyDescent="0.2">
      <c r="A221" s="1504" t="s">
        <v>962</v>
      </c>
      <c r="B221" s="614">
        <v>1300</v>
      </c>
      <c r="C221" s="616"/>
      <c r="D221" s="466"/>
      <c r="E221" s="616"/>
      <c r="F221" s="616"/>
      <c r="G221" s="616"/>
      <c r="H221" s="616"/>
      <c r="I221" s="616"/>
      <c r="J221" s="616"/>
      <c r="K221" s="1671">
        <f t="shared" si="19"/>
        <v>0</v>
      </c>
      <c r="L221" s="466">
        <v>0</v>
      </c>
    </row>
    <row r="222" spans="1:14" x14ac:dyDescent="0.2">
      <c r="A222" s="1504" t="s">
        <v>723</v>
      </c>
      <c r="B222" s="614">
        <v>1400</v>
      </c>
      <c r="C222" s="616"/>
      <c r="D222" s="466"/>
      <c r="E222" s="616"/>
      <c r="F222" s="616"/>
      <c r="G222" s="616"/>
      <c r="H222" s="616"/>
      <c r="I222" s="616"/>
      <c r="J222" s="616"/>
      <c r="K222" s="1671">
        <f t="shared" si="19"/>
        <v>0</v>
      </c>
      <c r="L222" s="466">
        <v>0</v>
      </c>
    </row>
    <row r="223" spans="1:14" x14ac:dyDescent="0.2">
      <c r="A223" s="1504" t="s">
        <v>963</v>
      </c>
      <c r="B223" s="614">
        <v>1500</v>
      </c>
      <c r="C223" s="616"/>
      <c r="D223" s="466">
        <v>3838</v>
      </c>
      <c r="E223" s="616"/>
      <c r="F223" s="616"/>
      <c r="G223" s="616"/>
      <c r="H223" s="616"/>
      <c r="I223" s="616"/>
      <c r="J223" s="616"/>
      <c r="K223" s="1671">
        <f t="shared" si="19"/>
        <v>3838</v>
      </c>
      <c r="L223" s="466">
        <v>4474</v>
      </c>
    </row>
    <row r="224" spans="1:14" x14ac:dyDescent="0.2">
      <c r="A224" s="1504" t="s">
        <v>964</v>
      </c>
      <c r="B224" s="614">
        <v>1600</v>
      </c>
      <c r="C224" s="616"/>
      <c r="D224" s="466">
        <v>22</v>
      </c>
      <c r="E224" s="616"/>
      <c r="F224" s="616"/>
      <c r="G224" s="616"/>
      <c r="H224" s="616"/>
      <c r="I224" s="616"/>
      <c r="J224" s="616"/>
      <c r="K224" s="1671">
        <f t="shared" si="19"/>
        <v>22</v>
      </c>
      <c r="L224" s="466">
        <v>28</v>
      </c>
    </row>
    <row r="225" spans="1:12" x14ac:dyDescent="0.2">
      <c r="A225" s="1504" t="s">
        <v>987</v>
      </c>
      <c r="B225" s="614">
        <v>1650</v>
      </c>
      <c r="C225" s="616"/>
      <c r="D225" s="466"/>
      <c r="E225" s="616"/>
      <c r="F225" s="616"/>
      <c r="G225" s="616"/>
      <c r="H225" s="616"/>
      <c r="I225" s="616"/>
      <c r="J225" s="616"/>
      <c r="K225" s="1671">
        <f t="shared" si="19"/>
        <v>0</v>
      </c>
      <c r="L225" s="466">
        <v>0</v>
      </c>
    </row>
    <row r="226" spans="1:12" x14ac:dyDescent="0.2">
      <c r="A226" s="1504" t="s">
        <v>724</v>
      </c>
      <c r="B226" s="614" t="s">
        <v>162</v>
      </c>
      <c r="C226" s="616"/>
      <c r="D226" s="467"/>
      <c r="E226" s="616"/>
      <c r="F226" s="616"/>
      <c r="G226" s="616"/>
      <c r="H226" s="616"/>
      <c r="I226" s="616"/>
      <c r="J226" s="616"/>
      <c r="K226" s="1671">
        <f t="shared" si="19"/>
        <v>0</v>
      </c>
      <c r="L226" s="466">
        <v>0</v>
      </c>
    </row>
    <row r="227" spans="1:12" x14ac:dyDescent="0.2">
      <c r="A227" s="1504" t="s">
        <v>1087</v>
      </c>
      <c r="B227" s="614">
        <v>1800</v>
      </c>
      <c r="C227" s="616"/>
      <c r="D227" s="466"/>
      <c r="E227" s="616"/>
      <c r="F227" s="616"/>
      <c r="G227" s="616"/>
      <c r="H227" s="616"/>
      <c r="I227" s="616"/>
      <c r="J227" s="616"/>
      <c r="K227" s="1671">
        <f t="shared" si="19"/>
        <v>0</v>
      </c>
      <c r="L227" s="466">
        <v>0</v>
      </c>
    </row>
    <row r="228" spans="1:12" x14ac:dyDescent="0.2">
      <c r="A228" s="1504" t="s">
        <v>1088</v>
      </c>
      <c r="B228" s="614">
        <v>1900</v>
      </c>
      <c r="C228" s="616"/>
      <c r="D228" s="466"/>
      <c r="E228" s="616"/>
      <c r="F228" s="616"/>
      <c r="G228" s="616"/>
      <c r="H228" s="616"/>
      <c r="I228" s="616"/>
      <c r="J228" s="616"/>
      <c r="K228" s="1671">
        <f t="shared" si="19"/>
        <v>0</v>
      </c>
      <c r="L228" s="466">
        <v>0</v>
      </c>
    </row>
    <row r="229" spans="1:12" ht="13.15" customHeight="1" thickBot="1" x14ac:dyDescent="0.25">
      <c r="A229" s="1668" t="s">
        <v>715</v>
      </c>
      <c r="B229" s="1675" t="s">
        <v>570</v>
      </c>
      <c r="C229" s="616"/>
      <c r="D229" s="1670">
        <f>SUM(D215:D228)</f>
        <v>83976</v>
      </c>
      <c r="E229" s="616"/>
      <c r="F229" s="616"/>
      <c r="G229" s="616"/>
      <c r="H229" s="616"/>
      <c r="I229" s="616"/>
      <c r="J229" s="616"/>
      <c r="K229" s="1670">
        <f>SUM(K215:K228)</f>
        <v>83976</v>
      </c>
      <c r="L229" s="1670">
        <f>SUM(L215:L228)</f>
        <v>86742</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216</v>
      </c>
      <c r="E232" s="616"/>
      <c r="F232" s="616"/>
      <c r="G232" s="616"/>
      <c r="H232" s="616"/>
      <c r="I232" s="616"/>
      <c r="J232" s="616"/>
      <c r="K232" s="1671">
        <f t="shared" ref="K232:K237" si="20">D232</f>
        <v>216</v>
      </c>
      <c r="L232" s="466">
        <v>279</v>
      </c>
    </row>
    <row r="233" spans="1:12" x14ac:dyDescent="0.2">
      <c r="A233" s="1504" t="s">
        <v>1090</v>
      </c>
      <c r="B233" s="614">
        <v>2120</v>
      </c>
      <c r="C233" s="616"/>
      <c r="D233" s="466"/>
      <c r="E233" s="616"/>
      <c r="F233" s="616"/>
      <c r="G233" s="616"/>
      <c r="H233" s="616"/>
      <c r="I233" s="616"/>
      <c r="J233" s="616"/>
      <c r="K233" s="1671">
        <f t="shared" si="20"/>
        <v>0</v>
      </c>
      <c r="L233" s="466">
        <v>0</v>
      </c>
    </row>
    <row r="234" spans="1:12" x14ac:dyDescent="0.2">
      <c r="A234" s="1504" t="s">
        <v>198</v>
      </c>
      <c r="B234" s="614">
        <v>2130</v>
      </c>
      <c r="C234" s="616"/>
      <c r="D234" s="466">
        <v>2417</v>
      </c>
      <c r="E234" s="616"/>
      <c r="F234" s="616"/>
      <c r="G234" s="616"/>
      <c r="H234" s="616"/>
      <c r="I234" s="616"/>
      <c r="J234" s="616"/>
      <c r="K234" s="1671">
        <f t="shared" si="20"/>
        <v>2417</v>
      </c>
      <c r="L234" s="466">
        <v>2484</v>
      </c>
    </row>
    <row r="235" spans="1:12" x14ac:dyDescent="0.2">
      <c r="A235" s="1504" t="s">
        <v>199</v>
      </c>
      <c r="B235" s="614">
        <v>2140</v>
      </c>
      <c r="C235" s="616"/>
      <c r="D235" s="466"/>
      <c r="E235" s="616"/>
      <c r="F235" s="616"/>
      <c r="G235" s="616"/>
      <c r="H235" s="616"/>
      <c r="I235" s="616"/>
      <c r="J235" s="616"/>
      <c r="K235" s="1671">
        <f t="shared" si="20"/>
        <v>0</v>
      </c>
      <c r="L235" s="466">
        <v>0</v>
      </c>
    </row>
    <row r="236" spans="1:12" x14ac:dyDescent="0.2">
      <c r="A236" s="1504" t="s">
        <v>200</v>
      </c>
      <c r="B236" s="614">
        <v>2150</v>
      </c>
      <c r="C236" s="616"/>
      <c r="D236" s="466"/>
      <c r="E236" s="616"/>
      <c r="F236" s="616"/>
      <c r="G236" s="616"/>
      <c r="H236" s="616"/>
      <c r="I236" s="616"/>
      <c r="J236" s="616"/>
      <c r="K236" s="1671">
        <f t="shared" si="20"/>
        <v>0</v>
      </c>
      <c r="L236" s="466">
        <v>0</v>
      </c>
    </row>
    <row r="237" spans="1:12" x14ac:dyDescent="0.2">
      <c r="A237" s="1504" t="s">
        <v>165</v>
      </c>
      <c r="B237" s="614">
        <v>2190</v>
      </c>
      <c r="C237" s="616"/>
      <c r="D237" s="466"/>
      <c r="E237" s="616"/>
      <c r="F237" s="616"/>
      <c r="G237" s="616"/>
      <c r="H237" s="616"/>
      <c r="I237" s="616"/>
      <c r="J237" s="616"/>
      <c r="K237" s="1671">
        <f t="shared" si="20"/>
        <v>0</v>
      </c>
      <c r="L237" s="466">
        <v>0</v>
      </c>
    </row>
    <row r="238" spans="1:12" ht="13.15" customHeight="1" thickBot="1" x14ac:dyDescent="0.25">
      <c r="A238" s="1668" t="s">
        <v>560</v>
      </c>
      <c r="B238" s="1675" t="s">
        <v>716</v>
      </c>
      <c r="C238" s="616"/>
      <c r="D238" s="1670">
        <f>SUM(D232:D237)</f>
        <v>2633</v>
      </c>
      <c r="E238" s="616"/>
      <c r="F238" s="616"/>
      <c r="G238" s="616"/>
      <c r="H238" s="616"/>
      <c r="I238" s="616"/>
      <c r="J238" s="616"/>
      <c r="K238" s="1670">
        <f>SUM(K232:K237)</f>
        <v>2633</v>
      </c>
      <c r="L238" s="1670">
        <f>SUM(L232:L237)</f>
        <v>2763</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111</v>
      </c>
      <c r="E240" s="616"/>
      <c r="F240" s="616"/>
      <c r="G240" s="616"/>
      <c r="H240" s="616"/>
      <c r="I240" s="616"/>
      <c r="J240" s="616"/>
      <c r="K240" s="1672">
        <f>D240</f>
        <v>111</v>
      </c>
      <c r="L240" s="481">
        <v>0</v>
      </c>
    </row>
    <row r="241" spans="1:12" x14ac:dyDescent="0.2">
      <c r="A241" s="1504" t="s">
        <v>815</v>
      </c>
      <c r="B241" s="614">
        <v>2220</v>
      </c>
      <c r="C241" s="616"/>
      <c r="D241" s="466">
        <v>9878</v>
      </c>
      <c r="E241" s="616"/>
      <c r="F241" s="616"/>
      <c r="G241" s="616"/>
      <c r="H241" s="616"/>
      <c r="I241" s="616"/>
      <c r="J241" s="616"/>
      <c r="K241" s="1672">
        <f>D241</f>
        <v>9878</v>
      </c>
      <c r="L241" s="466">
        <v>9976</v>
      </c>
    </row>
    <row r="242" spans="1:12" x14ac:dyDescent="0.2">
      <c r="A242" s="1504" t="s">
        <v>816</v>
      </c>
      <c r="B242" s="614">
        <v>2230</v>
      </c>
      <c r="C242" s="616"/>
      <c r="D242" s="466"/>
      <c r="E242" s="616"/>
      <c r="F242" s="616"/>
      <c r="G242" s="616"/>
      <c r="H242" s="616"/>
      <c r="I242" s="616"/>
      <c r="J242" s="616"/>
      <c r="K242" s="1672">
        <f>D242</f>
        <v>0</v>
      </c>
      <c r="L242" s="466">
        <v>0</v>
      </c>
    </row>
    <row r="243" spans="1:12" ht="13.15" customHeight="1" thickBot="1" x14ac:dyDescent="0.25">
      <c r="A243" s="1694" t="s">
        <v>561</v>
      </c>
      <c r="B243" s="1695">
        <v>2200</v>
      </c>
      <c r="C243" s="616"/>
      <c r="D243" s="1670">
        <f>SUM(D240:D242)</f>
        <v>9989</v>
      </c>
      <c r="E243" s="616"/>
      <c r="F243" s="616"/>
      <c r="G243" s="616"/>
      <c r="H243" s="616"/>
      <c r="I243" s="616"/>
      <c r="J243" s="616"/>
      <c r="K243" s="1670">
        <f>SUM(K240:K242)</f>
        <v>9989</v>
      </c>
      <c r="L243" s="1670">
        <f>SUM(L240:L242)</f>
        <v>9976</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217</v>
      </c>
      <c r="E245" s="616"/>
      <c r="F245" s="616"/>
      <c r="G245" s="616"/>
      <c r="H245" s="616"/>
      <c r="I245" s="616"/>
      <c r="J245" s="616"/>
      <c r="K245" s="1672">
        <f>D245</f>
        <v>217</v>
      </c>
      <c r="L245" s="481">
        <v>217</v>
      </c>
    </row>
    <row r="246" spans="1:12" x14ac:dyDescent="0.2">
      <c r="A246" s="1504" t="s">
        <v>818</v>
      </c>
      <c r="B246" s="614">
        <v>2320</v>
      </c>
      <c r="C246" s="616"/>
      <c r="D246" s="466">
        <v>866</v>
      </c>
      <c r="E246" s="616"/>
      <c r="F246" s="616"/>
      <c r="G246" s="616"/>
      <c r="H246" s="616"/>
      <c r="I246" s="616"/>
      <c r="J246" s="616"/>
      <c r="K246" s="1672">
        <f t="shared" ref="K246:K256" si="21">D246</f>
        <v>866</v>
      </c>
      <c r="L246" s="466">
        <v>866</v>
      </c>
    </row>
    <row r="247" spans="1:12" x14ac:dyDescent="0.2">
      <c r="A247" s="1504" t="s">
        <v>819</v>
      </c>
      <c r="B247" s="614">
        <v>2330</v>
      </c>
      <c r="C247" s="616"/>
      <c r="D247" s="466"/>
      <c r="E247" s="616"/>
      <c r="F247" s="616"/>
      <c r="G247" s="616"/>
      <c r="H247" s="616"/>
      <c r="I247" s="616"/>
      <c r="J247" s="616"/>
      <c r="K247" s="1672">
        <f t="shared" si="21"/>
        <v>0</v>
      </c>
      <c r="L247" s="466">
        <v>0</v>
      </c>
    </row>
    <row r="248" spans="1:12" x14ac:dyDescent="0.2">
      <c r="A248" s="1505" t="s">
        <v>299</v>
      </c>
      <c r="B248" s="602" t="s">
        <v>281</v>
      </c>
      <c r="C248" s="616"/>
      <c r="D248" s="474"/>
      <c r="E248" s="616"/>
      <c r="F248" s="616"/>
      <c r="G248" s="616"/>
      <c r="H248" s="616"/>
      <c r="I248" s="616"/>
      <c r="J248" s="616"/>
      <c r="K248" s="1672">
        <f t="shared" si="21"/>
        <v>0</v>
      </c>
      <c r="L248" s="466">
        <v>0</v>
      </c>
    </row>
    <row r="249" spans="1:12" x14ac:dyDescent="0.2">
      <c r="A249" s="1506" t="s">
        <v>1770</v>
      </c>
      <c r="B249" s="683" t="s">
        <v>282</v>
      </c>
      <c r="C249" s="616"/>
      <c r="D249" s="474"/>
      <c r="E249" s="616"/>
      <c r="F249" s="616"/>
      <c r="G249" s="616"/>
      <c r="H249" s="616"/>
      <c r="I249" s="616"/>
      <c r="J249" s="616"/>
      <c r="K249" s="1672">
        <f t="shared" si="21"/>
        <v>0</v>
      </c>
      <c r="L249" s="466">
        <v>0</v>
      </c>
    </row>
    <row r="250" spans="1:12" x14ac:dyDescent="0.2">
      <c r="A250" s="1505" t="s">
        <v>1771</v>
      </c>
      <c r="B250" s="602" t="s">
        <v>283</v>
      </c>
      <c r="C250" s="616"/>
      <c r="D250" s="474"/>
      <c r="E250" s="616"/>
      <c r="F250" s="616"/>
      <c r="G250" s="616"/>
      <c r="H250" s="616"/>
      <c r="I250" s="616"/>
      <c r="J250" s="616"/>
      <c r="K250" s="1672">
        <f t="shared" si="21"/>
        <v>0</v>
      </c>
      <c r="L250" s="466">
        <v>0</v>
      </c>
    </row>
    <row r="251" spans="1:12" x14ac:dyDescent="0.2">
      <c r="A251" s="1505" t="s">
        <v>238</v>
      </c>
      <c r="B251" s="602" t="s">
        <v>284</v>
      </c>
      <c r="C251" s="616"/>
      <c r="D251" s="474"/>
      <c r="E251" s="616"/>
      <c r="F251" s="616"/>
      <c r="G251" s="616"/>
      <c r="H251" s="616"/>
      <c r="I251" s="616"/>
      <c r="J251" s="616"/>
      <c r="K251" s="1672">
        <f t="shared" si="21"/>
        <v>0</v>
      </c>
      <c r="L251" s="466">
        <v>0</v>
      </c>
    </row>
    <row r="252" spans="1:12" x14ac:dyDescent="0.2">
      <c r="A252" s="1505" t="s">
        <v>702</v>
      </c>
      <c r="B252" s="602" t="s">
        <v>285</v>
      </c>
      <c r="C252" s="616"/>
      <c r="D252" s="474"/>
      <c r="E252" s="616"/>
      <c r="F252" s="616"/>
      <c r="G252" s="616"/>
      <c r="H252" s="616"/>
      <c r="I252" s="616"/>
      <c r="J252" s="616"/>
      <c r="K252" s="1672">
        <f t="shared" si="21"/>
        <v>0</v>
      </c>
      <c r="L252" s="466">
        <v>0</v>
      </c>
    </row>
    <row r="253" spans="1:12" x14ac:dyDescent="0.2">
      <c r="A253" s="1505" t="s">
        <v>239</v>
      </c>
      <c r="B253" s="602" t="s">
        <v>286</v>
      </c>
      <c r="C253" s="616"/>
      <c r="D253" s="474"/>
      <c r="E253" s="616"/>
      <c r="F253" s="616"/>
      <c r="G253" s="616"/>
      <c r="H253" s="616"/>
      <c r="I253" s="616"/>
      <c r="J253" s="616"/>
      <c r="K253" s="1672">
        <f t="shared" si="21"/>
        <v>0</v>
      </c>
      <c r="L253" s="466">
        <v>0</v>
      </c>
    </row>
    <row r="254" spans="1:12" ht="22.5" x14ac:dyDescent="0.2">
      <c r="A254" s="1505" t="s">
        <v>1029</v>
      </c>
      <c r="B254" s="683" t="s">
        <v>287</v>
      </c>
      <c r="C254" s="616"/>
      <c r="D254" s="474"/>
      <c r="E254" s="616"/>
      <c r="F254" s="616"/>
      <c r="G254" s="616"/>
      <c r="H254" s="616"/>
      <c r="I254" s="616"/>
      <c r="J254" s="616"/>
      <c r="K254" s="1672">
        <f t="shared" si="21"/>
        <v>0</v>
      </c>
      <c r="L254" s="466">
        <v>0</v>
      </c>
    </row>
    <row r="255" spans="1:12" x14ac:dyDescent="0.2">
      <c r="A255" s="1505" t="s">
        <v>1030</v>
      </c>
      <c r="B255" s="602" t="s">
        <v>288</v>
      </c>
      <c r="C255" s="616"/>
      <c r="D255" s="474"/>
      <c r="E255" s="616"/>
      <c r="F255" s="616"/>
      <c r="G255" s="616"/>
      <c r="H255" s="616"/>
      <c r="I255" s="616"/>
      <c r="J255" s="616"/>
      <c r="K255" s="1672">
        <f t="shared" si="21"/>
        <v>0</v>
      </c>
      <c r="L255" s="466">
        <v>0</v>
      </c>
    </row>
    <row r="256" spans="1:12" x14ac:dyDescent="0.2">
      <c r="A256" s="1505" t="s">
        <v>971</v>
      </c>
      <c r="B256" s="614" t="s">
        <v>289</v>
      </c>
      <c r="C256" s="616"/>
      <c r="D256" s="474"/>
      <c r="E256" s="616"/>
      <c r="F256" s="616"/>
      <c r="G256" s="616"/>
      <c r="H256" s="616"/>
      <c r="I256" s="616"/>
      <c r="J256" s="616"/>
      <c r="K256" s="1672">
        <f t="shared" si="21"/>
        <v>0</v>
      </c>
      <c r="L256" s="466">
        <v>0</v>
      </c>
    </row>
    <row r="257" spans="1:14" ht="13.15" customHeight="1" thickBot="1" x14ac:dyDescent="0.25">
      <c r="A257" s="1668" t="s">
        <v>717</v>
      </c>
      <c r="B257" s="1696">
        <v>2300</v>
      </c>
      <c r="C257" s="616"/>
      <c r="D257" s="1670">
        <f>SUM(D245:D256)</f>
        <v>1083</v>
      </c>
      <c r="E257" s="616"/>
      <c r="F257" s="616"/>
      <c r="G257" s="616"/>
      <c r="H257" s="616"/>
      <c r="I257" s="616"/>
      <c r="J257" s="616"/>
      <c r="K257" s="1670">
        <f>SUM(K245:K256)</f>
        <v>1083</v>
      </c>
      <c r="L257" s="1670">
        <f>SUM(L245:L256)</f>
        <v>1083</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11143</v>
      </c>
      <c r="E259" s="616"/>
      <c r="F259" s="616"/>
      <c r="G259" s="616"/>
      <c r="H259" s="616"/>
      <c r="I259" s="616"/>
      <c r="J259" s="616"/>
      <c r="K259" s="1672">
        <f>D259</f>
        <v>11143</v>
      </c>
      <c r="L259" s="481">
        <v>11493</v>
      </c>
    </row>
    <row r="260" spans="1:14" s="597" customFormat="1" x14ac:dyDescent="0.2">
      <c r="A260" s="1522" t="s">
        <v>1769</v>
      </c>
      <c r="B260" s="628">
        <v>2490</v>
      </c>
      <c r="C260" s="616"/>
      <c r="D260" s="466"/>
      <c r="E260" s="616"/>
      <c r="F260" s="616"/>
      <c r="G260" s="616"/>
      <c r="H260" s="616"/>
      <c r="I260" s="616"/>
      <c r="J260" s="616"/>
      <c r="K260" s="1672">
        <f>D260</f>
        <v>0</v>
      </c>
      <c r="L260" s="466">
        <v>0</v>
      </c>
      <c r="M260" s="210"/>
      <c r="N260" s="210"/>
    </row>
    <row r="261" spans="1:14" ht="13.15" customHeight="1" thickBot="1" x14ac:dyDescent="0.25">
      <c r="A261" s="1692" t="s">
        <v>263</v>
      </c>
      <c r="B261" s="1697" t="s">
        <v>34</v>
      </c>
      <c r="C261" s="616"/>
      <c r="D261" s="1670">
        <f>SUM(D259:D260)</f>
        <v>11143</v>
      </c>
      <c r="E261" s="616"/>
      <c r="F261" s="616"/>
      <c r="G261" s="616"/>
      <c r="H261" s="616"/>
      <c r="I261" s="616"/>
      <c r="J261" s="616"/>
      <c r="K261" s="1670">
        <f>SUM(K259:K260)</f>
        <v>11143</v>
      </c>
      <c r="L261" s="1670">
        <f>SUM(L259:L260)</f>
        <v>11493</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v>0</v>
      </c>
    </row>
    <row r="264" spans="1:14" x14ac:dyDescent="0.2">
      <c r="A264" s="1504" t="s">
        <v>463</v>
      </c>
      <c r="B264" s="685">
        <v>2520</v>
      </c>
      <c r="C264" s="616"/>
      <c r="D264" s="466">
        <v>7555</v>
      </c>
      <c r="E264" s="616"/>
      <c r="F264" s="616"/>
      <c r="G264" s="616"/>
      <c r="H264" s="616"/>
      <c r="I264" s="616"/>
      <c r="J264" s="616"/>
      <c r="K264" s="1672">
        <f t="shared" ref="K264:K269" si="22">D264</f>
        <v>7555</v>
      </c>
      <c r="L264" s="466">
        <v>7652</v>
      </c>
    </row>
    <row r="265" spans="1:14" x14ac:dyDescent="0.2">
      <c r="A265" s="1504" t="s">
        <v>4</v>
      </c>
      <c r="B265" s="614">
        <v>2530</v>
      </c>
      <c r="C265" s="616"/>
      <c r="D265" s="466"/>
      <c r="E265" s="616"/>
      <c r="F265" s="616"/>
      <c r="G265" s="616"/>
      <c r="H265" s="616"/>
      <c r="I265" s="616"/>
      <c r="J265" s="616"/>
      <c r="K265" s="1672">
        <f t="shared" si="22"/>
        <v>0</v>
      </c>
      <c r="L265" s="466">
        <v>0</v>
      </c>
    </row>
    <row r="266" spans="1:14" x14ac:dyDescent="0.2">
      <c r="A266" s="1504" t="s">
        <v>197</v>
      </c>
      <c r="B266" s="614">
        <v>2540</v>
      </c>
      <c r="C266" s="616"/>
      <c r="D266" s="466">
        <v>25712</v>
      </c>
      <c r="E266" s="616"/>
      <c r="F266" s="616"/>
      <c r="G266" s="616"/>
      <c r="H266" s="616"/>
      <c r="I266" s="616"/>
      <c r="J266" s="616"/>
      <c r="K266" s="1672">
        <f t="shared" si="22"/>
        <v>25712</v>
      </c>
      <c r="L266" s="466">
        <v>26922</v>
      </c>
    </row>
    <row r="267" spans="1:14" x14ac:dyDescent="0.2">
      <c r="A267" s="1504" t="s">
        <v>953</v>
      </c>
      <c r="B267" s="614">
        <v>2550</v>
      </c>
      <c r="C267" s="616"/>
      <c r="D267" s="466"/>
      <c r="E267" s="616"/>
      <c r="F267" s="616"/>
      <c r="G267" s="616"/>
      <c r="H267" s="616"/>
      <c r="I267" s="616"/>
      <c r="J267" s="616"/>
      <c r="K267" s="1672">
        <f t="shared" si="22"/>
        <v>0</v>
      </c>
      <c r="L267" s="466">
        <v>0</v>
      </c>
    </row>
    <row r="268" spans="1:14" x14ac:dyDescent="0.2">
      <c r="A268" s="1504" t="s">
        <v>100</v>
      </c>
      <c r="B268" s="614">
        <v>2560</v>
      </c>
      <c r="C268" s="616"/>
      <c r="D268" s="466"/>
      <c r="E268" s="616"/>
      <c r="F268" s="616"/>
      <c r="G268" s="616"/>
      <c r="H268" s="616"/>
      <c r="I268" s="616"/>
      <c r="J268" s="616"/>
      <c r="K268" s="1672">
        <f t="shared" si="22"/>
        <v>0</v>
      </c>
      <c r="L268" s="466">
        <v>0</v>
      </c>
    </row>
    <row r="269" spans="1:14" x14ac:dyDescent="0.2">
      <c r="A269" s="1504" t="s">
        <v>101</v>
      </c>
      <c r="B269" s="614">
        <v>2570</v>
      </c>
      <c r="C269" s="616"/>
      <c r="D269" s="466"/>
      <c r="E269" s="616"/>
      <c r="F269" s="616"/>
      <c r="G269" s="616"/>
      <c r="H269" s="616"/>
      <c r="I269" s="616"/>
      <c r="J269" s="616"/>
      <c r="K269" s="1672">
        <f t="shared" si="22"/>
        <v>0</v>
      </c>
      <c r="L269" s="466">
        <v>0</v>
      </c>
    </row>
    <row r="270" spans="1:14" ht="13.15" customHeight="1" thickBot="1" x14ac:dyDescent="0.25">
      <c r="A270" s="1668" t="s">
        <v>719</v>
      </c>
      <c r="B270" s="1675" t="s">
        <v>35</v>
      </c>
      <c r="C270" s="616"/>
      <c r="D270" s="1670">
        <f>SUM(D263:D269)</f>
        <v>33267</v>
      </c>
      <c r="E270" s="616"/>
      <c r="F270" s="616"/>
      <c r="G270" s="616"/>
      <c r="H270" s="616"/>
      <c r="I270" s="616"/>
      <c r="J270" s="616"/>
      <c r="K270" s="1670">
        <f>SUM(K263:K269)</f>
        <v>33267</v>
      </c>
      <c r="L270" s="1670">
        <f>SUM(L263:L269)</f>
        <v>34574</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v>0</v>
      </c>
    </row>
    <row r="273" spans="1:12" x14ac:dyDescent="0.2">
      <c r="A273" s="1504" t="s">
        <v>607</v>
      </c>
      <c r="B273" s="628">
        <v>2620</v>
      </c>
      <c r="C273" s="616"/>
      <c r="D273" s="466"/>
      <c r="E273" s="616"/>
      <c r="F273" s="616"/>
      <c r="G273" s="616"/>
      <c r="H273" s="616"/>
      <c r="I273" s="616"/>
      <c r="J273" s="616"/>
      <c r="K273" s="1672">
        <f>D273</f>
        <v>0</v>
      </c>
      <c r="L273" s="466">
        <v>0</v>
      </c>
    </row>
    <row r="274" spans="1:12" ht="12" customHeight="1" x14ac:dyDescent="0.2">
      <c r="A274" s="1504" t="s">
        <v>1061</v>
      </c>
      <c r="B274" s="614">
        <v>2630</v>
      </c>
      <c r="C274" s="616"/>
      <c r="D274" s="466"/>
      <c r="E274" s="616"/>
      <c r="F274" s="616"/>
      <c r="G274" s="616"/>
      <c r="H274" s="616"/>
      <c r="I274" s="616"/>
      <c r="J274" s="616"/>
      <c r="K274" s="1672">
        <f>D274</f>
        <v>0</v>
      </c>
      <c r="L274" s="466">
        <v>0</v>
      </c>
    </row>
    <row r="275" spans="1:12" x14ac:dyDescent="0.2">
      <c r="A275" s="1504" t="s">
        <v>403</v>
      </c>
      <c r="B275" s="614">
        <v>2640</v>
      </c>
      <c r="C275" s="616"/>
      <c r="D275" s="466"/>
      <c r="E275" s="616"/>
      <c r="F275" s="616"/>
      <c r="G275" s="616"/>
      <c r="H275" s="616"/>
      <c r="I275" s="616"/>
      <c r="J275" s="616"/>
      <c r="K275" s="1672">
        <f>D275</f>
        <v>0</v>
      </c>
      <c r="L275" s="466">
        <v>0</v>
      </c>
    </row>
    <row r="276" spans="1:12" x14ac:dyDescent="0.2">
      <c r="A276" s="1504" t="s">
        <v>404</v>
      </c>
      <c r="B276" s="614">
        <v>2660</v>
      </c>
      <c r="C276" s="616"/>
      <c r="D276" s="466"/>
      <c r="E276" s="616"/>
      <c r="F276" s="616"/>
      <c r="G276" s="616"/>
      <c r="H276" s="616"/>
      <c r="I276" s="616"/>
      <c r="J276" s="616"/>
      <c r="K276" s="1672">
        <f>D276</f>
        <v>0</v>
      </c>
      <c r="L276" s="466">
        <v>0</v>
      </c>
    </row>
    <row r="277" spans="1:12" ht="13.1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v>0</v>
      </c>
    </row>
    <row r="279" spans="1:12" ht="13.15" customHeight="1" thickBot="1" x14ac:dyDescent="0.25">
      <c r="A279" s="1698" t="s">
        <v>811</v>
      </c>
      <c r="B279" s="1681">
        <v>2000</v>
      </c>
      <c r="C279" s="616"/>
      <c r="D279" s="1677">
        <f>SUM(D238,D243,D257,D261,D270,D277,D278)</f>
        <v>58115</v>
      </c>
      <c r="E279" s="616"/>
      <c r="F279" s="616"/>
      <c r="G279" s="616"/>
      <c r="H279" s="616"/>
      <c r="I279" s="616"/>
      <c r="J279" s="616"/>
      <c r="K279" s="1677">
        <f>SUM(K238,K243,K257,K261,K270,K277,K278)</f>
        <v>58115</v>
      </c>
      <c r="L279" s="1677">
        <f>SUM(L238,L243,L257,L261,L270,L277,L278)</f>
        <v>59889</v>
      </c>
    </row>
    <row r="280" spans="1:12" ht="15.75" customHeight="1" thickTop="1" thickBot="1" x14ac:dyDescent="0.25">
      <c r="A280" s="1624" t="s">
        <v>875</v>
      </c>
      <c r="B280" s="1613">
        <v>3000</v>
      </c>
      <c r="C280" s="616"/>
      <c r="D280" s="576">
        <v>124</v>
      </c>
      <c r="E280" s="616"/>
      <c r="F280" s="616"/>
      <c r="G280" s="616"/>
      <c r="H280" s="616"/>
      <c r="I280" s="616"/>
      <c r="J280" s="616"/>
      <c r="K280" s="1679">
        <f>D280</f>
        <v>124</v>
      </c>
      <c r="L280" s="576">
        <v>98</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1810</v>
      </c>
      <c r="C282" s="616"/>
      <c r="D282" s="467"/>
      <c r="E282" s="616"/>
      <c r="F282" s="616"/>
      <c r="G282" s="616"/>
      <c r="H282" s="616"/>
      <c r="I282" s="616"/>
      <c r="J282" s="616"/>
      <c r="K282" s="1671">
        <f>D282</f>
        <v>0</v>
      </c>
      <c r="L282" s="467">
        <v>0</v>
      </c>
    </row>
    <row r="283" spans="1:12" x14ac:dyDescent="0.2">
      <c r="A283" s="1504" t="s">
        <v>304</v>
      </c>
      <c r="B283" s="614">
        <v>4120</v>
      </c>
      <c r="C283" s="616"/>
      <c r="D283" s="466"/>
      <c r="E283" s="616"/>
      <c r="F283" s="616"/>
      <c r="G283" s="616"/>
      <c r="H283" s="616"/>
      <c r="I283" s="616"/>
      <c r="J283" s="616"/>
      <c r="K283" s="1671">
        <f>D283</f>
        <v>0</v>
      </c>
      <c r="L283" s="466">
        <v>0</v>
      </c>
    </row>
    <row r="284" spans="1:12" x14ac:dyDescent="0.2">
      <c r="A284" s="1504" t="s">
        <v>697</v>
      </c>
      <c r="B284" s="614">
        <v>4140</v>
      </c>
      <c r="C284" s="616"/>
      <c r="D284" s="467"/>
      <c r="E284" s="616"/>
      <c r="F284" s="616"/>
      <c r="G284" s="616"/>
      <c r="H284" s="616"/>
      <c r="I284" s="616"/>
      <c r="J284" s="616"/>
      <c r="K284" s="1671">
        <f>D284</f>
        <v>0</v>
      </c>
      <c r="L284" s="466">
        <v>0</v>
      </c>
    </row>
    <row r="285" spans="1:12" ht="13.15" customHeight="1" thickBot="1" x14ac:dyDescent="0.25">
      <c r="A285" s="1668" t="s">
        <v>1473</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v>0</v>
      </c>
    </row>
    <row r="289" spans="1:14" x14ac:dyDescent="0.2">
      <c r="A289" s="1504" t="s">
        <v>88</v>
      </c>
      <c r="B289" s="614">
        <v>5120</v>
      </c>
      <c r="C289" s="616"/>
      <c r="D289" s="616"/>
      <c r="E289" s="616"/>
      <c r="F289" s="616"/>
      <c r="G289" s="616"/>
      <c r="H289" s="466"/>
      <c r="I289" s="616"/>
      <c r="J289" s="616"/>
      <c r="K289" s="1671">
        <f>H289</f>
        <v>0</v>
      </c>
      <c r="L289" s="466">
        <v>0</v>
      </c>
    </row>
    <row r="290" spans="1:14" ht="13.15" customHeight="1" x14ac:dyDescent="0.2">
      <c r="A290" s="1504" t="s">
        <v>1170</v>
      </c>
      <c r="B290" s="628" t="s">
        <v>617</v>
      </c>
      <c r="C290" s="616"/>
      <c r="D290" s="616"/>
      <c r="E290" s="616"/>
      <c r="F290" s="616"/>
      <c r="G290" s="616"/>
      <c r="H290" s="466"/>
      <c r="I290" s="616"/>
      <c r="J290" s="616"/>
      <c r="K290" s="1671">
        <f>H290</f>
        <v>0</v>
      </c>
      <c r="L290" s="466">
        <v>0</v>
      </c>
    </row>
    <row r="291" spans="1:14" x14ac:dyDescent="0.2">
      <c r="A291" s="1504" t="s">
        <v>89</v>
      </c>
      <c r="B291" s="614" t="s">
        <v>589</v>
      </c>
      <c r="C291" s="616"/>
      <c r="D291" s="616"/>
      <c r="E291" s="616"/>
      <c r="F291" s="616"/>
      <c r="G291" s="616"/>
      <c r="H291" s="466"/>
      <c r="I291" s="616"/>
      <c r="J291" s="616"/>
      <c r="K291" s="1671">
        <f>H291</f>
        <v>0</v>
      </c>
      <c r="L291" s="466">
        <v>0</v>
      </c>
    </row>
    <row r="292" spans="1:14" x14ac:dyDescent="0.2">
      <c r="A292" s="1504" t="s">
        <v>762</v>
      </c>
      <c r="B292" s="614" t="s">
        <v>618</v>
      </c>
      <c r="C292" s="616"/>
      <c r="D292" s="616"/>
      <c r="E292" s="616"/>
      <c r="F292" s="616"/>
      <c r="G292" s="616"/>
      <c r="H292" s="466"/>
      <c r="I292" s="616"/>
      <c r="J292" s="616"/>
      <c r="K292" s="1671">
        <f>H292</f>
        <v>0</v>
      </c>
      <c r="L292" s="466">
        <v>0</v>
      </c>
    </row>
    <row r="293" spans="1:14" ht="13.1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3.15" customHeight="1" thickTop="1" thickBot="1" x14ac:dyDescent="0.25">
      <c r="A295" s="2134" t="s">
        <v>505</v>
      </c>
      <c r="B295" s="2135"/>
      <c r="C295" s="616"/>
      <c r="D295" s="1670">
        <f>SUM(D229,D279,D280,D285)</f>
        <v>142215</v>
      </c>
      <c r="E295" s="616"/>
      <c r="F295" s="616"/>
      <c r="G295" s="616"/>
      <c r="H295" s="1670">
        <f>H293</f>
        <v>0</v>
      </c>
      <c r="I295" s="616"/>
      <c r="J295" s="616"/>
      <c r="K295" s="1670">
        <f>SUM(K229,K279,K280,K285,K293,K294)</f>
        <v>142215</v>
      </c>
      <c r="L295" s="1670">
        <f>SUM(L229,L279,L280,L285,L293,L294)</f>
        <v>146729</v>
      </c>
    </row>
    <row r="296" spans="1:14" ht="13.5" thickTop="1" x14ac:dyDescent="0.2">
      <c r="A296" s="2116" t="s">
        <v>996</v>
      </c>
      <c r="B296" s="2117"/>
      <c r="C296" s="616"/>
      <c r="D296" s="618"/>
      <c r="E296" s="616"/>
      <c r="F296" s="616"/>
      <c r="G296" s="616"/>
      <c r="H296" s="687"/>
      <c r="I296" s="616"/>
      <c r="J296" s="616"/>
      <c r="K296" s="1684">
        <f>'Revenues 9-14'!G268-'Expenditures 15-22'!K295</f>
        <v>-1831</v>
      </c>
      <c r="L296" s="687"/>
    </row>
    <row r="297" spans="1:14" s="666" customFormat="1" ht="9.4"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26" t="s">
        <v>143</v>
      </c>
      <c r="B298" s="2120"/>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73913</v>
      </c>
      <c r="F301" s="466"/>
      <c r="G301" s="466">
        <v>282399</v>
      </c>
      <c r="H301" s="466"/>
      <c r="I301" s="467"/>
      <c r="J301" s="467"/>
      <c r="K301" s="1671">
        <f>SUM(C301:J301)</f>
        <v>356312</v>
      </c>
      <c r="L301" s="467">
        <v>134702</v>
      </c>
    </row>
    <row r="302" spans="1:14" ht="13.5" customHeight="1" x14ac:dyDescent="0.2">
      <c r="A302" s="1517" t="s">
        <v>980</v>
      </c>
      <c r="B302" s="614" t="s">
        <v>574</v>
      </c>
      <c r="C302" s="466"/>
      <c r="D302" s="466"/>
      <c r="E302" s="466"/>
      <c r="F302" s="466"/>
      <c r="G302" s="466"/>
      <c r="H302" s="466"/>
      <c r="I302" s="467"/>
      <c r="J302" s="467"/>
      <c r="K302" s="1671">
        <f>SUM(C302:J302)</f>
        <v>0</v>
      </c>
      <c r="L302" s="466">
        <v>0</v>
      </c>
    </row>
    <row r="303" spans="1:14" ht="13.15" customHeight="1" thickBot="1" x14ac:dyDescent="0.25">
      <c r="A303" s="1668" t="s">
        <v>811</v>
      </c>
      <c r="B303" s="1669" t="s">
        <v>569</v>
      </c>
      <c r="C303" s="1677">
        <f>SUM(C301:C302)</f>
        <v>0</v>
      </c>
      <c r="D303" s="1677">
        <f t="shared" ref="D303:L303" si="23">SUM(D301:D302)</f>
        <v>0</v>
      </c>
      <c r="E303" s="1677">
        <f t="shared" si="23"/>
        <v>73913</v>
      </c>
      <c r="F303" s="1677">
        <f t="shared" si="23"/>
        <v>0</v>
      </c>
      <c r="G303" s="1677">
        <f t="shared" si="23"/>
        <v>282399</v>
      </c>
      <c r="H303" s="1677">
        <f t="shared" si="23"/>
        <v>0</v>
      </c>
      <c r="I303" s="1677">
        <f t="shared" si="23"/>
        <v>0</v>
      </c>
      <c r="J303" s="1677">
        <f t="shared" si="23"/>
        <v>0</v>
      </c>
      <c r="K303" s="1677">
        <f t="shared" si="23"/>
        <v>356312</v>
      </c>
      <c r="L303" s="1677">
        <f t="shared" si="23"/>
        <v>134702</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1815</v>
      </c>
      <c r="B306" s="690" t="s">
        <v>1810</v>
      </c>
      <c r="C306" s="616"/>
      <c r="D306" s="616"/>
      <c r="E306" s="467"/>
      <c r="F306" s="616"/>
      <c r="G306" s="616"/>
      <c r="H306" s="467"/>
      <c r="I306" s="616"/>
      <c r="J306" s="616"/>
      <c r="K306" s="1671">
        <f>SUM(E306,H306)</f>
        <v>0</v>
      </c>
      <c r="L306" s="467">
        <v>0</v>
      </c>
    </row>
    <row r="307" spans="1:14" x14ac:dyDescent="0.2">
      <c r="A307" s="1504" t="s">
        <v>304</v>
      </c>
      <c r="B307" s="614">
        <v>4120</v>
      </c>
      <c r="C307" s="616"/>
      <c r="D307" s="616"/>
      <c r="E307" s="467"/>
      <c r="F307" s="616"/>
      <c r="G307" s="616"/>
      <c r="H307" s="467"/>
      <c r="I307" s="477"/>
      <c r="J307" s="616"/>
      <c r="K307" s="1671">
        <f>SUM(E307,H307)</f>
        <v>0</v>
      </c>
      <c r="L307" s="466">
        <v>0</v>
      </c>
    </row>
    <row r="308" spans="1:14" x14ac:dyDescent="0.2">
      <c r="A308" s="1504" t="s">
        <v>697</v>
      </c>
      <c r="B308" s="614">
        <v>4140</v>
      </c>
      <c r="C308" s="616"/>
      <c r="D308" s="616"/>
      <c r="E308" s="467"/>
      <c r="F308" s="616"/>
      <c r="G308" s="616"/>
      <c r="H308" s="467"/>
      <c r="I308" s="477"/>
      <c r="J308" s="616"/>
      <c r="K308" s="1671">
        <f>SUM(E308,H308)</f>
        <v>0</v>
      </c>
      <c r="L308" s="466">
        <v>0</v>
      </c>
    </row>
    <row r="309" spans="1:14" ht="13.15" customHeight="1" x14ac:dyDescent="0.2">
      <c r="A309" s="1508" t="s">
        <v>698</v>
      </c>
      <c r="B309" s="628">
        <v>4190</v>
      </c>
      <c r="C309" s="616"/>
      <c r="D309" s="616"/>
      <c r="E309" s="467"/>
      <c r="F309" s="616"/>
      <c r="G309" s="616"/>
      <c r="H309" s="467"/>
      <c r="I309" s="477"/>
      <c r="J309" s="616"/>
      <c r="K309" s="1671">
        <f>SUM(E309,H309)</f>
        <v>0</v>
      </c>
      <c r="L309" s="466">
        <v>0</v>
      </c>
    </row>
    <row r="310" spans="1:14" ht="13.15" customHeight="1" thickBot="1" x14ac:dyDescent="0.25">
      <c r="A310" s="1668" t="s">
        <v>1473</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3.15" customHeight="1" thickTop="1" thickBot="1" x14ac:dyDescent="0.25">
      <c r="A312" s="2131" t="s">
        <v>277</v>
      </c>
      <c r="B312" s="2132"/>
      <c r="C312" s="1670">
        <f>SUM(C303)</f>
        <v>0</v>
      </c>
      <c r="D312" s="1670">
        <f>SUM(D303)</f>
        <v>0</v>
      </c>
      <c r="E312" s="1670">
        <f>SUM(E303,E310)</f>
        <v>73913</v>
      </c>
      <c r="F312" s="1670">
        <f>SUM(F303)</f>
        <v>0</v>
      </c>
      <c r="G312" s="1670">
        <f>SUM(G303)</f>
        <v>282399</v>
      </c>
      <c r="H312" s="1670">
        <f>SUM(H303,H310)</f>
        <v>0</v>
      </c>
      <c r="I312" s="1670">
        <f>SUM(I303)</f>
        <v>0</v>
      </c>
      <c r="J312" s="1670">
        <f>SUM(J303)</f>
        <v>0</v>
      </c>
      <c r="K312" s="1670">
        <f>SUM(K303,K310,K311)</f>
        <v>356312</v>
      </c>
      <c r="L312" s="1670">
        <f>SUM(L303,L310,L311)</f>
        <v>134702</v>
      </c>
      <c r="M312" s="665"/>
      <c r="N312" s="665"/>
    </row>
    <row r="313" spans="1:14" ht="13.5" thickTop="1" x14ac:dyDescent="0.2">
      <c r="A313" s="2127" t="s">
        <v>996</v>
      </c>
      <c r="B313" s="2128"/>
      <c r="C313" s="626"/>
      <c r="D313" s="626"/>
      <c r="E313" s="626"/>
      <c r="F313" s="626"/>
      <c r="G313" s="626"/>
      <c r="H313" s="626"/>
      <c r="I313" s="626"/>
      <c r="J313" s="626"/>
      <c r="K313" s="1685">
        <f>'Revenues 9-14'!H268-'Expenditures 15-22'!K312</f>
        <v>-94913</v>
      </c>
      <c r="L313" s="626"/>
    </row>
    <row r="314" spans="1:14" s="666" customFormat="1" ht="9.4"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40" t="s">
        <v>149</v>
      </c>
      <c r="B315" s="2141"/>
      <c r="C315" s="1556"/>
      <c r="D315" s="1557"/>
      <c r="E315" s="1557"/>
      <c r="F315" s="1557"/>
      <c r="G315" s="1557"/>
      <c r="H315" s="1557"/>
      <c r="I315" s="1557"/>
      <c r="J315" s="1557"/>
      <c r="K315" s="1557"/>
      <c r="L315" s="1558"/>
    </row>
    <row r="316" spans="1:14" s="674" customFormat="1" ht="9.4"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42" t="s">
        <v>898</v>
      </c>
      <c r="B317" s="2141"/>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v>0</v>
      </c>
      <c r="M319" s="665"/>
      <c r="N319" s="665"/>
    </row>
    <row r="320" spans="1:14" s="674" customFormat="1" x14ac:dyDescent="0.2">
      <c r="A320" s="1523" t="s">
        <v>1770</v>
      </c>
      <c r="B320" s="698" t="s">
        <v>282</v>
      </c>
      <c r="C320" s="467"/>
      <c r="D320" s="467"/>
      <c r="E320" s="467">
        <v>10996</v>
      </c>
      <c r="F320" s="467"/>
      <c r="G320" s="467"/>
      <c r="H320" s="467"/>
      <c r="I320" s="467"/>
      <c r="J320" s="467"/>
      <c r="K320" s="1671">
        <f t="shared" ref="K320:K327" si="24">SUM(C320:J320)</f>
        <v>10996</v>
      </c>
      <c r="L320" s="467">
        <v>12632</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v>1000</v>
      </c>
      <c r="M321" s="665"/>
      <c r="N321" s="665"/>
    </row>
    <row r="322" spans="1:14" s="674" customFormat="1" x14ac:dyDescent="0.2">
      <c r="A322" s="1519" t="s">
        <v>238</v>
      </c>
      <c r="B322" s="697" t="s">
        <v>284</v>
      </c>
      <c r="C322" s="467"/>
      <c r="D322" s="467"/>
      <c r="E322" s="467">
        <v>22150</v>
      </c>
      <c r="F322" s="467"/>
      <c r="G322" s="467"/>
      <c r="H322" s="467"/>
      <c r="I322" s="467"/>
      <c r="J322" s="467"/>
      <c r="K322" s="1671">
        <f t="shared" si="24"/>
        <v>22150</v>
      </c>
      <c r="L322" s="467">
        <v>21229</v>
      </c>
      <c r="M322" s="665"/>
      <c r="N322" s="665"/>
    </row>
    <row r="323" spans="1:14" s="674" customFormat="1" x14ac:dyDescent="0.2">
      <c r="A323" s="1519" t="s">
        <v>702</v>
      </c>
      <c r="B323" s="697" t="s">
        <v>285</v>
      </c>
      <c r="C323" s="467"/>
      <c r="D323" s="467"/>
      <c r="E323" s="467">
        <v>13972</v>
      </c>
      <c r="F323" s="467"/>
      <c r="G323" s="467"/>
      <c r="H323" s="467"/>
      <c r="I323" s="467"/>
      <c r="J323" s="467"/>
      <c r="K323" s="1671">
        <f t="shared" si="24"/>
        <v>13972</v>
      </c>
      <c r="L323" s="467">
        <v>84383</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v>0</v>
      </c>
      <c r="M324" s="665"/>
      <c r="N324" s="665"/>
    </row>
    <row r="325" spans="1:14" s="674" customFormat="1" ht="22.5" x14ac:dyDescent="0.2">
      <c r="A325" s="1519" t="s">
        <v>1029</v>
      </c>
      <c r="B325" s="698" t="s">
        <v>287</v>
      </c>
      <c r="C325" s="467"/>
      <c r="D325" s="467"/>
      <c r="E325" s="467">
        <v>10705</v>
      </c>
      <c r="F325" s="467"/>
      <c r="G325" s="467"/>
      <c r="H325" s="467"/>
      <c r="I325" s="467"/>
      <c r="J325" s="467"/>
      <c r="K325" s="1671">
        <f t="shared" si="24"/>
        <v>10705</v>
      </c>
      <c r="L325" s="467">
        <v>9955</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v>0</v>
      </c>
      <c r="M326" s="665"/>
      <c r="N326" s="665"/>
    </row>
    <row r="327" spans="1:14" s="674" customFormat="1" x14ac:dyDescent="0.2">
      <c r="A327" s="1519" t="s">
        <v>971</v>
      </c>
      <c r="B327" s="697" t="s">
        <v>289</v>
      </c>
      <c r="C327" s="467"/>
      <c r="D327" s="467"/>
      <c r="E327" s="467">
        <v>663</v>
      </c>
      <c r="F327" s="467"/>
      <c r="G327" s="467"/>
      <c r="H327" s="467"/>
      <c r="I327" s="467"/>
      <c r="J327" s="467"/>
      <c r="K327" s="1671">
        <f t="shared" si="24"/>
        <v>663</v>
      </c>
      <c r="L327" s="467">
        <v>5000</v>
      </c>
      <c r="M327" s="665"/>
      <c r="N327" s="665"/>
    </row>
    <row r="328" spans="1:14" s="674" customFormat="1" x14ac:dyDescent="0.2">
      <c r="A328" s="1520" t="s">
        <v>472</v>
      </c>
      <c r="B328" s="690" t="s">
        <v>1132</v>
      </c>
      <c r="C328" s="474"/>
      <c r="D328" s="474"/>
      <c r="E328" s="474">
        <v>6191</v>
      </c>
      <c r="F328" s="474"/>
      <c r="G328" s="474"/>
      <c r="H328" s="474"/>
      <c r="I328" s="474"/>
      <c r="J328" s="474"/>
      <c r="K328" s="1699">
        <f>SUM(C328:J328)</f>
        <v>6191</v>
      </c>
      <c r="L328" s="474">
        <v>6191</v>
      </c>
      <c r="M328" s="665"/>
      <c r="N328" s="665"/>
    </row>
    <row r="329" spans="1:14" s="674" customFormat="1" x14ac:dyDescent="0.2">
      <c r="A329" s="1520" t="s">
        <v>1133</v>
      </c>
      <c r="B329" s="690" t="s">
        <v>1134</v>
      </c>
      <c r="C329" s="474"/>
      <c r="D329" s="474"/>
      <c r="E329" s="474">
        <v>576</v>
      </c>
      <c r="F329" s="474"/>
      <c r="G329" s="474"/>
      <c r="H329" s="474"/>
      <c r="I329" s="474"/>
      <c r="J329" s="474"/>
      <c r="K329" s="1699">
        <f>SUM(C329:J329)</f>
        <v>576</v>
      </c>
      <c r="L329" s="474">
        <v>576</v>
      </c>
      <c r="M329" s="665"/>
      <c r="N329" s="665"/>
    </row>
    <row r="330" spans="1:14" s="674" customFormat="1" ht="13.15" customHeight="1" thickBot="1" x14ac:dyDescent="0.25">
      <c r="A330" s="1700" t="s">
        <v>717</v>
      </c>
      <c r="B330" s="1669" t="s">
        <v>569</v>
      </c>
      <c r="C330" s="1670">
        <f>SUM(C319:C329)</f>
        <v>0</v>
      </c>
      <c r="D330" s="1670">
        <f t="shared" ref="D330:J330" si="25">SUM(D319:D329)</f>
        <v>0</v>
      </c>
      <c r="E330" s="1670">
        <f t="shared" si="25"/>
        <v>65253</v>
      </c>
      <c r="F330" s="1670">
        <f t="shared" si="25"/>
        <v>0</v>
      </c>
      <c r="G330" s="1670">
        <f t="shared" si="25"/>
        <v>0</v>
      </c>
      <c r="H330" s="1670">
        <f t="shared" si="25"/>
        <v>0</v>
      </c>
      <c r="I330" s="1670">
        <f t="shared" si="25"/>
        <v>0</v>
      </c>
      <c r="J330" s="1670">
        <f t="shared" si="25"/>
        <v>0</v>
      </c>
      <c r="K330" s="1670">
        <f>SUM(K319:K329)</f>
        <v>65253</v>
      </c>
      <c r="L330" s="1670">
        <f>SUM(L319:L329)</f>
        <v>140966</v>
      </c>
      <c r="M330" s="665"/>
      <c r="N330" s="665"/>
    </row>
    <row r="331" spans="1:14" s="674" customFormat="1" ht="13.15" customHeight="1" thickTop="1" x14ac:dyDescent="0.2">
      <c r="A331" s="1831" t="s">
        <v>1816</v>
      </c>
      <c r="B331" s="647" t="s">
        <v>860</v>
      </c>
      <c r="C331" s="1833"/>
      <c r="D331" s="1833"/>
      <c r="E331" s="1833"/>
      <c r="F331" s="1833"/>
      <c r="G331" s="1833"/>
      <c r="H331" s="1833"/>
      <c r="I331" s="1833"/>
      <c r="J331" s="1833"/>
      <c r="K331" s="1833"/>
      <c r="L331" s="1833"/>
      <c r="M331" s="665"/>
      <c r="N331" s="665"/>
    </row>
    <row r="332" spans="1:14" s="674" customFormat="1" ht="13.15" customHeight="1" x14ac:dyDescent="0.2">
      <c r="A332" s="1832" t="s">
        <v>496</v>
      </c>
      <c r="B332" s="1827" t="s">
        <v>1810</v>
      </c>
      <c r="C332" s="1833"/>
      <c r="D332" s="1833"/>
      <c r="E332" s="1833"/>
      <c r="F332" s="1833"/>
      <c r="G332" s="1833"/>
      <c r="H332" s="467"/>
      <c r="I332" s="1833"/>
      <c r="J332" s="1833"/>
      <c r="K332" s="1671">
        <f>H332</f>
        <v>0</v>
      </c>
      <c r="L332" s="467">
        <v>0</v>
      </c>
      <c r="M332" s="665"/>
      <c r="N332" s="665"/>
    </row>
    <row r="333" spans="1:14" s="674" customFormat="1" ht="13.15" customHeight="1" x14ac:dyDescent="0.2">
      <c r="A333" s="1832" t="s">
        <v>304</v>
      </c>
      <c r="B333" s="1827" t="s">
        <v>1812</v>
      </c>
      <c r="C333" s="1833"/>
      <c r="D333" s="1833"/>
      <c r="E333" s="1833"/>
      <c r="F333" s="1833"/>
      <c r="G333" s="1833"/>
      <c r="H333" s="467"/>
      <c r="I333" s="1833"/>
      <c r="J333" s="1833"/>
      <c r="K333" s="1671">
        <f>H333</f>
        <v>0</v>
      </c>
      <c r="L333" s="467">
        <v>0</v>
      </c>
      <c r="M333" s="665"/>
      <c r="N333" s="665"/>
    </row>
    <row r="334" spans="1:14" s="674" customFormat="1" ht="13.15" customHeight="1" thickBot="1" x14ac:dyDescent="0.25">
      <c r="A334" s="1832" t="s">
        <v>1817</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v>0</v>
      </c>
    </row>
    <row r="338" spans="1:14" ht="13.15" customHeight="1" x14ac:dyDescent="0.2">
      <c r="A338" s="1518" t="s">
        <v>1170</v>
      </c>
      <c r="B338" s="690" t="s">
        <v>617</v>
      </c>
      <c r="C338" s="638"/>
      <c r="D338" s="638"/>
      <c r="E338" s="638"/>
      <c r="F338" s="638"/>
      <c r="G338" s="638"/>
      <c r="H338" s="478"/>
      <c r="I338" s="638"/>
      <c r="J338" s="638"/>
      <c r="K338" s="1671">
        <f>H338</f>
        <v>0</v>
      </c>
      <c r="L338" s="478">
        <v>0</v>
      </c>
    </row>
    <row r="339" spans="1:14" x14ac:dyDescent="0.2">
      <c r="A339" s="1504" t="s">
        <v>901</v>
      </c>
      <c r="B339" s="628">
        <v>5150</v>
      </c>
      <c r="C339" s="638"/>
      <c r="D339" s="638"/>
      <c r="E339" s="638"/>
      <c r="F339" s="638"/>
      <c r="G339" s="638"/>
      <c r="H339" s="467"/>
      <c r="I339" s="638"/>
      <c r="J339" s="638"/>
      <c r="K339" s="1671">
        <f>H339</f>
        <v>0</v>
      </c>
      <c r="L339" s="467">
        <v>0</v>
      </c>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3.15" customHeight="1" thickTop="1" thickBot="1" x14ac:dyDescent="0.25">
      <c r="A342" s="1686" t="s">
        <v>505</v>
      </c>
      <c r="B342" s="1701"/>
      <c r="C342" s="1670">
        <f>SUM(C330)</f>
        <v>0</v>
      </c>
      <c r="D342" s="1670">
        <f>SUM(D330)</f>
        <v>0</v>
      </c>
      <c r="E342" s="1670">
        <f>SUM(E330)</f>
        <v>65253</v>
      </c>
      <c r="F342" s="1670">
        <f>SUM(F330)</f>
        <v>0</v>
      </c>
      <c r="G342" s="1670">
        <f>SUM(G330)</f>
        <v>0</v>
      </c>
      <c r="H342" s="1670">
        <f>SUM(H330,H334,H340)</f>
        <v>0</v>
      </c>
      <c r="I342" s="1670">
        <f>SUM(I330)</f>
        <v>0</v>
      </c>
      <c r="J342" s="1670">
        <f>SUM(J330)</f>
        <v>0</v>
      </c>
      <c r="K342" s="1670">
        <f>SUM(K330,K334,K340)</f>
        <v>65253</v>
      </c>
      <c r="L342" s="1677">
        <f>SUM(L330,L340,L341)</f>
        <v>140966</v>
      </c>
    </row>
    <row r="343" spans="1:14" ht="13.15" customHeight="1" thickTop="1" x14ac:dyDescent="0.2">
      <c r="A343" s="2129" t="s">
        <v>996</v>
      </c>
      <c r="B343" s="2130"/>
      <c r="C343" s="616"/>
      <c r="D343" s="616"/>
      <c r="E343" s="616"/>
      <c r="F343" s="616"/>
      <c r="G343" s="616"/>
      <c r="H343" s="616"/>
      <c r="I343" s="616"/>
      <c r="J343" s="616"/>
      <c r="K343" s="1684">
        <f>'Revenues 9-14'!J268-'Expenditures 15-22'!K342</f>
        <v>247978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19" t="s">
        <v>966</v>
      </c>
      <c r="B345" s="2120"/>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v>0</v>
      </c>
    </row>
    <row r="349" spans="1:14" x14ac:dyDescent="0.2">
      <c r="A349" s="1504" t="s">
        <v>197</v>
      </c>
      <c r="B349" s="614">
        <v>2540</v>
      </c>
      <c r="C349" s="466"/>
      <c r="D349" s="466"/>
      <c r="E349" s="466"/>
      <c r="F349" s="466"/>
      <c r="G349" s="466"/>
      <c r="H349" s="466"/>
      <c r="I349" s="467"/>
      <c r="J349" s="467"/>
      <c r="K349" s="1671">
        <f>SUM(C349:J349)</f>
        <v>0</v>
      </c>
      <c r="L349" s="466">
        <v>0</v>
      </c>
    </row>
    <row r="350" spans="1:14" ht="13.1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3.15" customHeight="1" thickTop="1" x14ac:dyDescent="0.2">
      <c r="A351" s="1510" t="s">
        <v>980</v>
      </c>
      <c r="B351" s="643" t="s">
        <v>574</v>
      </c>
      <c r="C351" s="481"/>
      <c r="D351" s="481"/>
      <c r="E351" s="481"/>
      <c r="F351" s="481"/>
      <c r="G351" s="481"/>
      <c r="H351" s="481"/>
      <c r="I351" s="478"/>
      <c r="J351" s="478"/>
      <c r="K351" s="615">
        <f>SUM(C351:J351)</f>
        <v>0</v>
      </c>
      <c r="L351" s="481">
        <v>0</v>
      </c>
    </row>
    <row r="352" spans="1:14" ht="13.1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1818</v>
      </c>
      <c r="B354" s="683" t="s">
        <v>1810</v>
      </c>
      <c r="C354" s="616"/>
      <c r="D354" s="616"/>
      <c r="E354" s="616"/>
      <c r="F354" s="616"/>
      <c r="G354" s="616"/>
      <c r="H354" s="474"/>
      <c r="I354" s="701"/>
      <c r="J354" s="616"/>
      <c r="K354" s="1699">
        <f>H354</f>
        <v>0</v>
      </c>
      <c r="L354" s="471">
        <v>0</v>
      </c>
    </row>
    <row r="355" spans="1:14" ht="13.15" customHeight="1" x14ac:dyDescent="0.2">
      <c r="A355" s="1513" t="s">
        <v>1819</v>
      </c>
      <c r="B355" s="690" t="s">
        <v>1812</v>
      </c>
      <c r="C355" s="616"/>
      <c r="D355" s="616"/>
      <c r="E355" s="616"/>
      <c r="F355" s="616"/>
      <c r="G355" s="616"/>
      <c r="H355" s="467"/>
      <c r="I355" s="701"/>
      <c r="J355" s="616"/>
      <c r="K355" s="1743">
        <f>H355</f>
        <v>0</v>
      </c>
      <c r="L355" s="467">
        <v>0</v>
      </c>
    </row>
    <row r="356" spans="1:14" ht="13.15" customHeight="1" x14ac:dyDescent="0.2">
      <c r="A356" s="1834" t="s">
        <v>698</v>
      </c>
      <c r="B356" s="683" t="s">
        <v>558</v>
      </c>
      <c r="C356" s="616"/>
      <c r="D356" s="616"/>
      <c r="E356" s="616"/>
      <c r="F356" s="616"/>
      <c r="G356" s="616"/>
      <c r="H356" s="479"/>
      <c r="I356" s="701"/>
      <c r="J356" s="616"/>
      <c r="K356" s="1740">
        <f>H356</f>
        <v>0</v>
      </c>
      <c r="L356" s="479">
        <v>0</v>
      </c>
    </row>
    <row r="357" spans="1:14" ht="13.15" customHeight="1" thickBot="1" x14ac:dyDescent="0.25">
      <c r="A357" s="1668" t="s">
        <v>1473</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v>0</v>
      </c>
    </row>
    <row r="361" spans="1:14" ht="13.15" customHeight="1" x14ac:dyDescent="0.2">
      <c r="A361" s="1505" t="s">
        <v>619</v>
      </c>
      <c r="B361" s="602" t="s">
        <v>618</v>
      </c>
      <c r="C361" s="616"/>
      <c r="D361" s="616"/>
      <c r="E361" s="616"/>
      <c r="F361" s="616"/>
      <c r="G361" s="616"/>
      <c r="H361" s="467"/>
      <c r="I361" s="616"/>
      <c r="J361" s="616"/>
      <c r="K361" s="1671">
        <f>SUM(C361:J361)</f>
        <v>0</v>
      </c>
      <c r="L361" s="466">
        <v>0</v>
      </c>
    </row>
    <row r="362" spans="1:14" ht="13.1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v>0</v>
      </c>
      <c r="M363" s="665"/>
      <c r="N363" s="665"/>
    </row>
    <row r="364" spans="1:14" s="708" customFormat="1" ht="29.25" customHeight="1" x14ac:dyDescent="0.2">
      <c r="A364" s="702" t="s">
        <v>1641</v>
      </c>
      <c r="B364" s="703">
        <v>5300</v>
      </c>
      <c r="C364" s="704"/>
      <c r="D364" s="705"/>
      <c r="E364" s="705"/>
      <c r="F364" s="704"/>
      <c r="G364" s="705"/>
      <c r="H364" s="706"/>
      <c r="I364" s="705"/>
      <c r="J364" s="705"/>
      <c r="K364" s="1671">
        <f>SUM(C364:J364)</f>
        <v>0</v>
      </c>
      <c r="L364" s="707">
        <v>0</v>
      </c>
    </row>
    <row r="365" spans="1:14" s="674" customFormat="1" ht="13.1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3.1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16" t="s">
        <v>996</v>
      </c>
      <c r="B368" s="2117"/>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 BUDGET TO ACTUAL
FOR THE YEAR ENDING JUNE 30, 2019&amp;R&amp;8Page &amp;P</oddHeader>
    <oddFooter>&amp;L&amp;8Print Date: &amp;D
&amp;F&amp;CSee Notes to the Accompanying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F36"/>
  <sheetViews>
    <sheetView showGridLines="0" defaultGridColor="0" colorId="8" zoomScale="110" zoomScaleNormal="110" workbookViewId="0">
      <selection activeCell="H14" sqref="H14"/>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0" t="s">
        <v>104</v>
      </c>
    </row>
    <row r="2" spans="1:6" ht="39.75" customHeight="1" x14ac:dyDescent="0.2">
      <c r="A2" s="2143" t="s">
        <v>1767</v>
      </c>
      <c r="B2" s="1528" t="s">
        <v>1914</v>
      </c>
      <c r="C2" s="714" t="s">
        <v>1915</v>
      </c>
      <c r="D2" s="714" t="s">
        <v>1916</v>
      </c>
      <c r="E2" s="714" t="s">
        <v>1917</v>
      </c>
      <c r="F2" s="714" t="s">
        <v>1918</v>
      </c>
    </row>
    <row r="3" spans="1:6" ht="12" customHeight="1" x14ac:dyDescent="0.2">
      <c r="A3" s="2144"/>
      <c r="B3" s="1525"/>
      <c r="C3" s="1526"/>
      <c r="D3" s="1527" t="s">
        <v>256</v>
      </c>
      <c r="E3" s="1526"/>
      <c r="F3" s="1527" t="s">
        <v>257</v>
      </c>
    </row>
    <row r="4" spans="1:6" ht="13.7" customHeight="1" x14ac:dyDescent="0.2">
      <c r="A4" s="715" t="s">
        <v>1155</v>
      </c>
      <c r="B4" s="1749">
        <f>'Revenues 9-14'!C5</f>
        <v>2594183</v>
      </c>
      <c r="C4" s="1524"/>
      <c r="D4" s="1752">
        <f>B4-C4</f>
        <v>2594183</v>
      </c>
      <c r="E4" s="1524">
        <f>2820151+42041</f>
        <v>2862192</v>
      </c>
      <c r="F4" s="1752">
        <f>E4-C4</f>
        <v>2862192</v>
      </c>
    </row>
    <row r="5" spans="1:6" ht="13.7" customHeight="1" x14ac:dyDescent="0.2">
      <c r="A5" s="715" t="s">
        <v>870</v>
      </c>
      <c r="B5" s="1750">
        <f>'Revenues 9-14'!D5</f>
        <v>272501</v>
      </c>
      <c r="C5" s="585"/>
      <c r="D5" s="1753">
        <f t="shared" ref="D5:D18" si="0">B5-C5</f>
        <v>272501</v>
      </c>
      <c r="E5" s="585">
        <v>296234</v>
      </c>
      <c r="F5" s="1753">
        <f>E5-C5</f>
        <v>296234</v>
      </c>
    </row>
    <row r="6" spans="1:6" ht="13.7" customHeight="1" x14ac:dyDescent="0.2">
      <c r="A6" s="715" t="s">
        <v>411</v>
      </c>
      <c r="B6" s="1750">
        <f>'Revenues 9-14'!E5</f>
        <v>210548</v>
      </c>
      <c r="C6" s="585"/>
      <c r="D6" s="1753">
        <f t="shared" si="0"/>
        <v>210548</v>
      </c>
      <c r="E6" s="585">
        <v>213870</v>
      </c>
      <c r="F6" s="1753">
        <f t="shared" ref="F6:F18" si="1">E6-C6</f>
        <v>213870</v>
      </c>
    </row>
    <row r="7" spans="1:6" ht="13.7" customHeight="1" x14ac:dyDescent="0.2">
      <c r="A7" s="715" t="s">
        <v>155</v>
      </c>
      <c r="B7" s="1750">
        <f>'Revenues 9-14'!F5</f>
        <v>130802</v>
      </c>
      <c r="C7" s="585"/>
      <c r="D7" s="1753">
        <f t="shared" si="0"/>
        <v>130802</v>
      </c>
      <c r="E7" s="585">
        <v>142192</v>
      </c>
      <c r="F7" s="1753">
        <f t="shared" si="1"/>
        <v>142192</v>
      </c>
    </row>
    <row r="8" spans="1:6" ht="13.7" customHeight="1" x14ac:dyDescent="0.2">
      <c r="A8" s="715" t="s">
        <v>1179</v>
      </c>
      <c r="B8" s="1750">
        <f>'Revenues 9-14'!G5</f>
        <v>49338</v>
      </c>
      <c r="C8" s="585"/>
      <c r="D8" s="1753">
        <f t="shared" si="0"/>
        <v>49338</v>
      </c>
      <c r="E8" s="585">
        <v>50107</v>
      </c>
      <c r="F8" s="1753">
        <f t="shared" si="1"/>
        <v>50107</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54502</v>
      </c>
      <c r="C10" s="585"/>
      <c r="D10" s="1753">
        <f t="shared" si="0"/>
        <v>54502</v>
      </c>
      <c r="E10" s="585">
        <v>59247</v>
      </c>
      <c r="F10" s="1753">
        <f t="shared" si="1"/>
        <v>59247</v>
      </c>
    </row>
    <row r="11" spans="1:6" x14ac:dyDescent="0.2">
      <c r="A11" s="715" t="s">
        <v>409</v>
      </c>
      <c r="B11" s="1750">
        <f>'Revenues 9-14'!J5</f>
        <v>310787</v>
      </c>
      <c r="C11" s="585"/>
      <c r="D11" s="1753">
        <f t="shared" si="0"/>
        <v>310787</v>
      </c>
      <c r="E11" s="585">
        <v>225451</v>
      </c>
      <c r="F11" s="1753">
        <f t="shared" si="1"/>
        <v>225451</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21800</v>
      </c>
      <c r="C14" s="585"/>
      <c r="D14" s="1753">
        <f t="shared" si="0"/>
        <v>21800</v>
      </c>
      <c r="E14" s="585">
        <v>23699</v>
      </c>
      <c r="F14" s="1753">
        <f t="shared" si="1"/>
        <v>23699</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49338</v>
      </c>
      <c r="C16" s="585"/>
      <c r="D16" s="1753">
        <f t="shared" si="0"/>
        <v>49338</v>
      </c>
      <c r="E16" s="585">
        <v>50107</v>
      </c>
      <c r="F16" s="1753">
        <f t="shared" si="1"/>
        <v>50107</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3693799</v>
      </c>
      <c r="C19" s="1751">
        <f>SUM(C4:C18)</f>
        <v>0</v>
      </c>
      <c r="D19" s="1751">
        <f>SUM(D4:D18)</f>
        <v>3693799</v>
      </c>
      <c r="E19" s="1751">
        <f>SUM(E4:E18)</f>
        <v>3923099</v>
      </c>
      <c r="F19" s="1751">
        <f>SUM(F4:F18)</f>
        <v>3923099</v>
      </c>
    </row>
    <row r="20" spans="1:6" ht="13.5" thickTop="1" x14ac:dyDescent="0.2">
      <c r="B20" s="713"/>
      <c r="F20" s="716"/>
    </row>
    <row r="21" spans="1:6" x14ac:dyDescent="0.2">
      <c r="A21" s="717" t="s">
        <v>1773</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A19" colorId="8" zoomScale="110" zoomScaleNormal="110" workbookViewId="0">
      <selection activeCell="J32" sqref="J3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4" customHeight="1" x14ac:dyDescent="0.2">
      <c r="A1" s="2165" t="s">
        <v>629</v>
      </c>
      <c r="B1" s="2163"/>
      <c r="C1" s="721"/>
    </row>
    <row r="2" spans="1:7" ht="33.75" x14ac:dyDescent="0.2">
      <c r="A2" s="2170" t="s">
        <v>1767</v>
      </c>
      <c r="B2" s="2171"/>
      <c r="C2" s="1851" t="s">
        <v>1919</v>
      </c>
      <c r="D2" s="723" t="s">
        <v>1920</v>
      </c>
      <c r="E2" s="723" t="s">
        <v>1921</v>
      </c>
      <c r="F2" s="1851" t="s">
        <v>1922</v>
      </c>
    </row>
    <row r="3" spans="1:7" ht="15.75" customHeight="1" x14ac:dyDescent="0.2">
      <c r="A3" s="2172" t="s">
        <v>1114</v>
      </c>
      <c r="B3" s="2173"/>
      <c r="C3" s="2166"/>
      <c r="D3" s="2167"/>
      <c r="E3" s="2167"/>
      <c r="F3" s="2168"/>
    </row>
    <row r="4" spans="1:7" ht="13.15" customHeight="1" thickBot="1" x14ac:dyDescent="0.25">
      <c r="A4" s="2160" t="s">
        <v>630</v>
      </c>
      <c r="B4" s="2161"/>
      <c r="C4" s="581"/>
      <c r="D4" s="581"/>
      <c r="E4" s="581"/>
      <c r="F4" s="1755">
        <f>SUM(C4+D4)-E4</f>
        <v>0</v>
      </c>
    </row>
    <row r="5" spans="1:7" ht="15.75" customHeight="1" thickTop="1" x14ac:dyDescent="0.2">
      <c r="A5" s="2164" t="s">
        <v>1110</v>
      </c>
      <c r="B5" s="2159"/>
      <c r="C5" s="2153"/>
      <c r="D5" s="2154"/>
      <c r="E5" s="2154"/>
      <c r="F5" s="2155"/>
    </row>
    <row r="6" spans="1:7" ht="13.15" customHeight="1" thickBot="1" x14ac:dyDescent="0.25">
      <c r="A6" s="724" t="s">
        <v>64</v>
      </c>
      <c r="B6" s="725"/>
      <c r="C6" s="726"/>
      <c r="D6" s="585"/>
      <c r="E6" s="726"/>
      <c r="F6" s="1755">
        <f t="shared" ref="F6:F14" si="0">SUM(C6+D6)-E6</f>
        <v>0</v>
      </c>
    </row>
    <row r="7" spans="1:7" ht="13.15" customHeight="1" thickTop="1" thickBot="1" x14ac:dyDescent="0.25">
      <c r="A7" s="724" t="s">
        <v>6</v>
      </c>
      <c r="B7" s="725"/>
      <c r="C7" s="726"/>
      <c r="D7" s="585"/>
      <c r="E7" s="726"/>
      <c r="F7" s="1755">
        <f t="shared" si="0"/>
        <v>0</v>
      </c>
    </row>
    <row r="8" spans="1:7" ht="13.15" customHeight="1" thickTop="1" thickBot="1" x14ac:dyDescent="0.25">
      <c r="A8" s="724" t="s">
        <v>508</v>
      </c>
      <c r="B8" s="725"/>
      <c r="C8" s="726"/>
      <c r="D8" s="585"/>
      <c r="E8" s="726"/>
      <c r="F8" s="1755">
        <f t="shared" si="0"/>
        <v>0</v>
      </c>
    </row>
    <row r="9" spans="1:7" ht="13.15" customHeight="1" thickTop="1" thickBot="1" x14ac:dyDescent="0.25">
      <c r="A9" s="724" t="s">
        <v>509</v>
      </c>
      <c r="B9" s="725"/>
      <c r="C9" s="726"/>
      <c r="D9" s="585"/>
      <c r="E9" s="726"/>
      <c r="F9" s="1755">
        <f t="shared" si="0"/>
        <v>0</v>
      </c>
    </row>
    <row r="10" spans="1:7" ht="13.15" customHeight="1" thickTop="1" thickBot="1" x14ac:dyDescent="0.25">
      <c r="A10" s="724" t="s">
        <v>510</v>
      </c>
      <c r="B10" s="725"/>
      <c r="C10" s="726"/>
      <c r="D10" s="585"/>
      <c r="E10" s="726"/>
      <c r="F10" s="1755">
        <f t="shared" si="0"/>
        <v>0</v>
      </c>
    </row>
    <row r="11" spans="1:7" ht="13.15" customHeight="1" thickTop="1" thickBot="1" x14ac:dyDescent="0.25">
      <c r="A11" s="724" t="s">
        <v>341</v>
      </c>
      <c r="B11" s="725"/>
      <c r="C11" s="726"/>
      <c r="D11" s="585"/>
      <c r="E11" s="726"/>
      <c r="F11" s="1755">
        <f t="shared" si="0"/>
        <v>0</v>
      </c>
    </row>
    <row r="12" spans="1:7" ht="13.15" customHeight="1" thickTop="1" thickBot="1" x14ac:dyDescent="0.25">
      <c r="A12" s="724" t="s">
        <v>1157</v>
      </c>
      <c r="B12" s="725"/>
      <c r="C12" s="726"/>
      <c r="D12" s="585"/>
      <c r="E12" s="726"/>
      <c r="F12" s="1755">
        <f t="shared" si="0"/>
        <v>0</v>
      </c>
    </row>
    <row r="13" spans="1:7" ht="13.15" customHeight="1" thickTop="1" thickBot="1" x14ac:dyDescent="0.25">
      <c r="A13" s="724" t="s">
        <v>388</v>
      </c>
      <c r="B13" s="725"/>
      <c r="C13" s="726"/>
      <c r="D13" s="585"/>
      <c r="E13" s="726"/>
      <c r="F13" s="1755">
        <f t="shared" si="0"/>
        <v>0</v>
      </c>
    </row>
    <row r="14" spans="1:7" ht="13.15" customHeight="1" thickTop="1" thickBot="1" x14ac:dyDescent="0.25">
      <c r="A14" s="724" t="s">
        <v>448</v>
      </c>
      <c r="B14" s="725"/>
      <c r="C14" s="726"/>
      <c r="D14" s="585"/>
      <c r="E14" s="726"/>
      <c r="F14" s="1755">
        <f t="shared" si="0"/>
        <v>0</v>
      </c>
    </row>
    <row r="15" spans="1:7" ht="14.25" thickTop="1" thickBot="1" x14ac:dyDescent="0.25">
      <c r="A15" s="2156" t="s">
        <v>631</v>
      </c>
      <c r="B15" s="2157"/>
      <c r="C15" s="1755">
        <f>SUM(C6:C14)</f>
        <v>0</v>
      </c>
      <c r="D15" s="1755">
        <f>SUM(D6:D14)</f>
        <v>0</v>
      </c>
      <c r="E15" s="1755">
        <f>SUM(E6:E14)</f>
        <v>0</v>
      </c>
      <c r="F15" s="1755">
        <f>SUM(F6:F14)</f>
        <v>0</v>
      </c>
      <c r="G15" s="552"/>
    </row>
    <row r="16" spans="1:7" s="202" customFormat="1" ht="15.75" customHeight="1" thickTop="1" x14ac:dyDescent="0.2">
      <c r="A16" s="2169" t="s">
        <v>1111</v>
      </c>
      <c r="B16" s="2159"/>
      <c r="C16" s="2153"/>
      <c r="D16" s="2154"/>
      <c r="E16" s="2154"/>
      <c r="F16" s="2155"/>
    </row>
    <row r="17" spans="1:11" ht="13.15" customHeight="1" thickBot="1" x14ac:dyDescent="0.25">
      <c r="A17" s="2151" t="s">
        <v>64</v>
      </c>
      <c r="B17" s="2152"/>
      <c r="C17" s="726"/>
      <c r="D17" s="585"/>
      <c r="E17" s="726"/>
      <c r="F17" s="1755">
        <f>SUM(C17+D17)-E17</f>
        <v>0</v>
      </c>
    </row>
    <row r="18" spans="1:11" ht="13.15" customHeight="1" thickTop="1" thickBot="1" x14ac:dyDescent="0.25">
      <c r="A18" s="2151" t="s">
        <v>6</v>
      </c>
      <c r="B18" s="2152"/>
      <c r="C18" s="726"/>
      <c r="D18" s="585"/>
      <c r="E18" s="726"/>
      <c r="F18" s="1755">
        <f>SUM(C18+D18)-E18</f>
        <v>0</v>
      </c>
    </row>
    <row r="19" spans="1:11" ht="13.15" customHeight="1" thickTop="1" thickBot="1" x14ac:dyDescent="0.25">
      <c r="A19" s="2151" t="s">
        <v>388</v>
      </c>
      <c r="B19" s="2152"/>
      <c r="C19" s="726"/>
      <c r="D19" s="585"/>
      <c r="E19" s="726"/>
      <c r="F19" s="1755">
        <f>SUM(C19+D19)-E19</f>
        <v>0</v>
      </c>
    </row>
    <row r="20" spans="1:11" ht="13.15" customHeight="1" thickTop="1" thickBot="1" x14ac:dyDescent="0.25">
      <c r="A20" s="2151" t="s">
        <v>448</v>
      </c>
      <c r="B20" s="2152"/>
      <c r="C20" s="726"/>
      <c r="D20" s="585"/>
      <c r="E20" s="726"/>
      <c r="F20" s="1755">
        <f>SUM(C20+D20)-E20</f>
        <v>0</v>
      </c>
    </row>
    <row r="21" spans="1:11" ht="14.25" thickTop="1" thickBot="1" x14ac:dyDescent="0.25">
      <c r="A21" s="2156" t="s">
        <v>632</v>
      </c>
      <c r="B21" s="2157"/>
      <c r="C21" s="1755">
        <f>SUM(C17:C20)</f>
        <v>0</v>
      </c>
      <c r="D21" s="1755">
        <f>SUM(D17:D20)</f>
        <v>0</v>
      </c>
      <c r="E21" s="1755">
        <f>SUM(E17:E20)</f>
        <v>0</v>
      </c>
      <c r="F21" s="1755">
        <f>SUM(F17:F20)</f>
        <v>0</v>
      </c>
      <c r="G21" s="552"/>
    </row>
    <row r="22" spans="1:11" ht="15.75" customHeight="1" thickTop="1" x14ac:dyDescent="0.2">
      <c r="A22" s="2158" t="s">
        <v>1112</v>
      </c>
      <c r="B22" s="2159"/>
      <c r="C22" s="2153"/>
      <c r="D22" s="2154"/>
      <c r="E22" s="2154"/>
      <c r="F22" s="2155"/>
    </row>
    <row r="23" spans="1:11" ht="13.5" thickBot="1" x14ac:dyDescent="0.25">
      <c r="A23" s="2160" t="s">
        <v>633</v>
      </c>
      <c r="B23" s="2161"/>
      <c r="C23" s="581"/>
      <c r="D23" s="581"/>
      <c r="E23" s="581"/>
      <c r="F23" s="1755">
        <f>SUM(C23+D23)-E23</f>
        <v>0</v>
      </c>
      <c r="G23" s="552"/>
    </row>
    <row r="24" spans="1:11" ht="15.75" customHeight="1" thickTop="1" x14ac:dyDescent="0.2">
      <c r="A24" s="2158" t="s">
        <v>1113</v>
      </c>
      <c r="B24" s="2159"/>
      <c r="C24" s="2153"/>
      <c r="D24" s="2154"/>
      <c r="E24" s="2154"/>
      <c r="F24" s="2155"/>
    </row>
    <row r="25" spans="1:11" ht="13.5" thickBot="1" x14ac:dyDescent="0.25">
      <c r="A25" s="2160" t="s">
        <v>634</v>
      </c>
      <c r="B25" s="2161"/>
      <c r="C25" s="581"/>
      <c r="D25" s="581"/>
      <c r="E25" s="581"/>
      <c r="F25" s="1755">
        <f>SUM(C25+D25)-E25</f>
        <v>0</v>
      </c>
      <c r="G25" s="552"/>
    </row>
    <row r="26" spans="1:11" ht="15.75" customHeight="1" thickTop="1" x14ac:dyDescent="0.2">
      <c r="A26" s="2164" t="s">
        <v>657</v>
      </c>
      <c r="B26" s="2159"/>
      <c r="C26" s="727"/>
      <c r="D26" s="727"/>
      <c r="E26" s="727"/>
      <c r="F26" s="728"/>
    </row>
    <row r="27" spans="1:11" ht="13.5" thickBot="1" x14ac:dyDescent="0.25">
      <c r="A27" s="2156" t="s">
        <v>1070</v>
      </c>
      <c r="B27" s="2157"/>
      <c r="C27" s="585"/>
      <c r="D27" s="585"/>
      <c r="E27" s="585"/>
      <c r="F27" s="1755">
        <f>SUM(C27+D27)-E27</f>
        <v>0</v>
      </c>
      <c r="G27" s="552"/>
    </row>
    <row r="28" spans="1:11" ht="7.5" customHeight="1" thickTop="1" x14ac:dyDescent="0.2">
      <c r="A28" s="593"/>
    </row>
    <row r="29" spans="1:11" ht="23.25" customHeight="1" x14ac:dyDescent="0.2">
      <c r="A29" s="2162" t="s">
        <v>582</v>
      </c>
      <c r="B29" s="2163"/>
      <c r="C29" s="729"/>
      <c r="D29" s="729"/>
      <c r="E29" s="729"/>
      <c r="F29" s="729"/>
      <c r="G29" s="729"/>
      <c r="H29" s="729"/>
      <c r="I29" s="729"/>
      <c r="J29" s="729"/>
    </row>
    <row r="30" spans="1:11" ht="33.75" x14ac:dyDescent="0.2">
      <c r="A30" s="1529" t="s">
        <v>1071</v>
      </c>
      <c r="B30" s="730" t="s">
        <v>1124</v>
      </c>
      <c r="C30" s="1852" t="s">
        <v>583</v>
      </c>
      <c r="D30" s="1852" t="s">
        <v>1642</v>
      </c>
      <c r="E30" s="1852" t="s">
        <v>1923</v>
      </c>
      <c r="F30" s="1852" t="s">
        <v>1924</v>
      </c>
      <c r="G30" s="1852" t="s">
        <v>1875</v>
      </c>
      <c r="H30" s="1852" t="s">
        <v>1925</v>
      </c>
      <c r="I30" s="1852" t="s">
        <v>1926</v>
      </c>
      <c r="J30" s="1853" t="s">
        <v>2</v>
      </c>
      <c r="K30" s="731"/>
    </row>
    <row r="31" spans="1:11" ht="12" customHeight="1" x14ac:dyDescent="0.2">
      <c r="A31" s="732" t="s">
        <v>2044</v>
      </c>
      <c r="B31" s="733">
        <v>42405</v>
      </c>
      <c r="C31" s="734">
        <v>1000000</v>
      </c>
      <c r="D31" s="735">
        <v>1</v>
      </c>
      <c r="E31" s="734">
        <v>615000</v>
      </c>
      <c r="F31" s="734"/>
      <c r="G31" s="734"/>
      <c r="H31" s="734">
        <v>200000</v>
      </c>
      <c r="I31" s="1756">
        <f>((E31+F31)-H31)+G31</f>
        <v>415000</v>
      </c>
      <c r="J31" s="734">
        <v>412370</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1000000</v>
      </c>
      <c r="D49" s="745"/>
      <c r="E49" s="1756">
        <f t="shared" ref="E49:J49" si="2">SUM(E31:E48)</f>
        <v>615000</v>
      </c>
      <c r="F49" s="1756">
        <f t="shared" si="2"/>
        <v>0</v>
      </c>
      <c r="G49" s="1756">
        <f t="shared" si="2"/>
        <v>0</v>
      </c>
      <c r="H49" s="1756">
        <f t="shared" si="2"/>
        <v>200000</v>
      </c>
      <c r="I49" s="1756">
        <f t="shared" si="2"/>
        <v>415000</v>
      </c>
      <c r="J49" s="1756">
        <f t="shared" si="2"/>
        <v>412370</v>
      </c>
      <c r="K49" s="737"/>
    </row>
    <row r="50" spans="1:11" ht="6" customHeight="1" x14ac:dyDescent="0.2">
      <c r="A50" s="746"/>
      <c r="B50" s="736"/>
      <c r="C50" s="736"/>
      <c r="D50" s="736"/>
      <c r="E50" s="736"/>
      <c r="F50" s="736"/>
      <c r="G50" s="736"/>
      <c r="H50" s="736"/>
      <c r="I50" s="736"/>
      <c r="J50" s="746"/>
    </row>
    <row r="51" spans="1:11" x14ac:dyDescent="0.2">
      <c r="A51" s="747" t="s">
        <v>1772</v>
      </c>
      <c r="B51" s="746"/>
      <c r="C51" s="737"/>
      <c r="D51" s="737"/>
      <c r="E51" s="737"/>
      <c r="F51" s="737"/>
      <c r="G51" s="737"/>
      <c r="H51" s="736"/>
      <c r="I51" s="736"/>
      <c r="J51" s="746"/>
    </row>
    <row r="52" spans="1:11" ht="11.25" customHeight="1" x14ac:dyDescent="0.2">
      <c r="A52" s="748" t="s">
        <v>912</v>
      </c>
      <c r="B52" s="2145" t="s">
        <v>584</v>
      </c>
      <c r="C52" s="2146"/>
      <c r="D52" s="2146"/>
      <c r="E52" s="749" t="s">
        <v>845</v>
      </c>
      <c r="F52" s="2147"/>
      <c r="G52" s="2148"/>
      <c r="H52" s="736"/>
      <c r="I52" s="736"/>
      <c r="J52" s="746"/>
    </row>
    <row r="53" spans="1:11" ht="11.25" customHeight="1" x14ac:dyDescent="0.2">
      <c r="A53" s="750" t="s">
        <v>913</v>
      </c>
      <c r="B53" s="751" t="s">
        <v>951</v>
      </c>
      <c r="C53" s="746"/>
      <c r="D53" s="737"/>
      <c r="E53" s="749" t="s">
        <v>497</v>
      </c>
      <c r="F53" s="2149"/>
      <c r="G53" s="2150"/>
      <c r="H53" s="736"/>
      <c r="I53" s="736"/>
      <c r="J53" s="746"/>
    </row>
    <row r="54" spans="1:11" ht="11.25" customHeight="1" x14ac:dyDescent="0.2">
      <c r="A54" s="752" t="s">
        <v>914</v>
      </c>
      <c r="B54" s="747" t="s">
        <v>952</v>
      </c>
      <c r="C54" s="746"/>
      <c r="D54" s="737"/>
      <c r="E54" s="749" t="s">
        <v>498</v>
      </c>
      <c r="F54" s="2149"/>
      <c r="G54" s="215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K48"/>
  <sheetViews>
    <sheetView showGridLines="0" defaultGridColor="0" topLeftCell="A10" colorId="8" zoomScale="110" zoomScaleNormal="110" workbookViewId="0">
      <selection activeCell="J3" sqref="J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74" t="s">
        <v>856</v>
      </c>
      <c r="B1" s="2175"/>
      <c r="C1" s="2175"/>
      <c r="D1" s="2175"/>
      <c r="E1" s="2175"/>
      <c r="F1" s="2175"/>
      <c r="G1" s="2176"/>
      <c r="H1" s="1530"/>
      <c r="I1" s="760"/>
      <c r="J1" s="433"/>
    </row>
    <row r="2" spans="1:11" ht="26.25" x14ac:dyDescent="0.2">
      <c r="A2" s="2193" t="s">
        <v>1646</v>
      </c>
      <c r="B2" s="2194"/>
      <c r="C2" s="2194"/>
      <c r="D2" s="2194"/>
      <c r="E2" s="2195"/>
      <c r="F2" s="761" t="s">
        <v>904</v>
      </c>
      <c r="G2" s="762" t="s">
        <v>1643</v>
      </c>
      <c r="H2" s="762" t="s">
        <v>410</v>
      </c>
      <c r="I2" s="762" t="s">
        <v>1158</v>
      </c>
      <c r="J2" s="762" t="s">
        <v>1777</v>
      </c>
      <c r="K2" s="762" t="s">
        <v>138</v>
      </c>
    </row>
    <row r="3" spans="1:11" x14ac:dyDescent="0.2">
      <c r="A3" s="2196" t="s">
        <v>1927</v>
      </c>
      <c r="B3" s="2197"/>
      <c r="C3" s="2197"/>
      <c r="D3" s="2197"/>
      <c r="E3" s="2198"/>
      <c r="F3" s="763"/>
      <c r="G3" s="764"/>
      <c r="H3" s="764"/>
      <c r="I3" s="764"/>
      <c r="J3" s="765">
        <v>219726</v>
      </c>
      <c r="K3" s="765"/>
    </row>
    <row r="4" spans="1:11" x14ac:dyDescent="0.2">
      <c r="A4" s="2199" t="s">
        <v>369</v>
      </c>
      <c r="B4" s="2200"/>
      <c r="C4" s="2200"/>
      <c r="D4" s="2200"/>
      <c r="E4" s="2146"/>
      <c r="F4" s="766"/>
      <c r="G4" s="767"/>
      <c r="H4" s="768"/>
      <c r="I4" s="767"/>
      <c r="J4" s="769"/>
      <c r="K4" s="769"/>
    </row>
    <row r="5" spans="1:11" x14ac:dyDescent="0.2">
      <c r="A5" s="2177" t="s">
        <v>1069</v>
      </c>
      <c r="B5" s="2178"/>
      <c r="C5" s="2178"/>
      <c r="D5" s="2178"/>
      <c r="E5" s="2179"/>
      <c r="F5" s="770" t="s">
        <v>848</v>
      </c>
      <c r="G5" s="771"/>
      <c r="H5" s="764">
        <v>21800</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v>259539</v>
      </c>
      <c r="K8" s="769"/>
    </row>
    <row r="9" spans="1:11" x14ac:dyDescent="0.2">
      <c r="A9" s="778" t="s">
        <v>138</v>
      </c>
      <c r="B9" s="779"/>
      <c r="C9" s="779"/>
      <c r="D9" s="779"/>
      <c r="E9" s="780"/>
      <c r="F9" s="777" t="s">
        <v>853</v>
      </c>
      <c r="G9" s="782"/>
      <c r="H9" s="771"/>
      <c r="I9" s="771"/>
      <c r="J9" s="781"/>
      <c r="K9" s="765"/>
    </row>
    <row r="10" spans="1:11" x14ac:dyDescent="0.2">
      <c r="A10" s="2177" t="s">
        <v>1778</v>
      </c>
      <c r="B10" s="2178"/>
      <c r="C10" s="2178"/>
      <c r="D10" s="2178"/>
      <c r="E10" s="2180"/>
      <c r="F10" s="783" t="s">
        <v>862</v>
      </c>
      <c r="G10" s="782"/>
      <c r="H10" s="784"/>
      <c r="I10" s="764"/>
      <c r="J10" s="765"/>
      <c r="K10" s="765"/>
    </row>
    <row r="11" spans="1:11" x14ac:dyDescent="0.2">
      <c r="A11" s="2177" t="s">
        <v>160</v>
      </c>
      <c r="B11" s="2178"/>
      <c r="C11" s="2178"/>
      <c r="D11" s="2178"/>
      <c r="E11" s="2179"/>
      <c r="F11" s="770" t="s">
        <v>852</v>
      </c>
      <c r="G11" s="771"/>
      <c r="H11" s="764"/>
      <c r="I11" s="764"/>
      <c r="J11" s="765"/>
      <c r="K11" s="773"/>
    </row>
    <row r="12" spans="1:11" ht="13.5" thickBot="1" x14ac:dyDescent="0.25">
      <c r="A12" s="2204" t="s">
        <v>905</v>
      </c>
      <c r="B12" s="2205"/>
      <c r="C12" s="2205"/>
      <c r="D12" s="2205"/>
      <c r="E12" s="2206"/>
      <c r="F12" s="1757"/>
      <c r="G12" s="1758">
        <f>SUM(G5:G11)</f>
        <v>0</v>
      </c>
      <c r="H12" s="1758">
        <f>SUM(H5:H11)</f>
        <v>21800</v>
      </c>
      <c r="I12" s="1758">
        <f>SUM(I5:I11)</f>
        <v>0</v>
      </c>
      <c r="J12" s="1758">
        <f>SUM(J5:J11)</f>
        <v>259539</v>
      </c>
      <c r="K12" s="1758">
        <f>SUM(K5:K11)</f>
        <v>0</v>
      </c>
    </row>
    <row r="13" spans="1:11" ht="13.5" thickTop="1" x14ac:dyDescent="0.2">
      <c r="A13" s="2201" t="s">
        <v>370</v>
      </c>
      <c r="B13" s="2202"/>
      <c r="C13" s="2202"/>
      <c r="D13" s="2202"/>
      <c r="E13" s="2203"/>
      <c r="F13" s="785"/>
      <c r="G13" s="786"/>
      <c r="H13" s="787"/>
      <c r="I13" s="788"/>
      <c r="J13" s="788"/>
      <c r="K13" s="788"/>
    </row>
    <row r="14" spans="1:11" x14ac:dyDescent="0.2">
      <c r="A14" s="2184" t="s">
        <v>456</v>
      </c>
      <c r="B14" s="2184"/>
      <c r="C14" s="2184"/>
      <c r="D14" s="2184"/>
      <c r="E14" s="2185"/>
      <c r="F14" s="789" t="s">
        <v>854</v>
      </c>
      <c r="G14" s="782"/>
      <c r="H14" s="764">
        <v>21800</v>
      </c>
      <c r="I14" s="771"/>
      <c r="J14" s="773"/>
      <c r="K14" s="765"/>
    </row>
    <row r="15" spans="1:11" x14ac:dyDescent="0.2">
      <c r="A15" s="2178" t="s">
        <v>4</v>
      </c>
      <c r="B15" s="2178"/>
      <c r="C15" s="2178"/>
      <c r="D15" s="2178"/>
      <c r="E15" s="2179"/>
      <c r="F15" s="789" t="s">
        <v>855</v>
      </c>
      <c r="G15" s="771"/>
      <c r="H15" s="764"/>
      <c r="I15" s="764"/>
      <c r="J15" s="765">
        <v>282399</v>
      </c>
      <c r="K15" s="765"/>
    </row>
    <row r="16" spans="1:11" x14ac:dyDescent="0.2">
      <c r="A16" s="2178" t="s">
        <v>298</v>
      </c>
      <c r="B16" s="2178"/>
      <c r="C16" s="2178"/>
      <c r="D16" s="2178"/>
      <c r="E16" s="2179"/>
      <c r="F16" s="789" t="s">
        <v>923</v>
      </c>
      <c r="G16" s="772"/>
      <c r="H16" s="767"/>
      <c r="I16" s="767"/>
      <c r="J16" s="769"/>
      <c r="K16" s="769"/>
    </row>
    <row r="17" spans="1:11" x14ac:dyDescent="0.2">
      <c r="A17" s="2209" t="s">
        <v>935</v>
      </c>
      <c r="B17" s="2209"/>
      <c r="C17" s="2209"/>
      <c r="D17" s="2209"/>
      <c r="E17" s="2210"/>
      <c r="F17" s="790"/>
      <c r="G17" s="791"/>
      <c r="H17" s="792"/>
      <c r="I17" s="792"/>
      <c r="J17" s="793"/>
      <c r="K17" s="794"/>
    </row>
    <row r="18" spans="1:11" x14ac:dyDescent="0.2">
      <c r="A18" s="2188" t="s">
        <v>368</v>
      </c>
      <c r="B18" s="2189"/>
      <c r="C18" s="2189"/>
      <c r="D18" s="2189"/>
      <c r="E18" s="2190"/>
      <c r="F18" s="789" t="s">
        <v>932</v>
      </c>
      <c r="G18" s="782"/>
      <c r="H18" s="782"/>
      <c r="I18" s="782"/>
      <c r="J18" s="765"/>
      <c r="K18" s="795"/>
    </row>
    <row r="19" spans="1:11" ht="21.75" customHeight="1" x14ac:dyDescent="0.2">
      <c r="A19" s="2186" t="s">
        <v>1774</v>
      </c>
      <c r="B19" s="2186"/>
      <c r="C19" s="2186"/>
      <c r="D19" s="2186"/>
      <c r="E19" s="2187"/>
      <c r="F19" s="789" t="s">
        <v>933</v>
      </c>
      <c r="G19" s="782"/>
      <c r="H19" s="782"/>
      <c r="I19" s="782"/>
      <c r="J19" s="765"/>
      <c r="K19" s="795"/>
    </row>
    <row r="20" spans="1:11" x14ac:dyDescent="0.2">
      <c r="A20" s="2188" t="s">
        <v>1779</v>
      </c>
      <c r="B20" s="2189"/>
      <c r="C20" s="2189"/>
      <c r="D20" s="2189"/>
      <c r="E20" s="2190"/>
      <c r="F20" s="789" t="s">
        <v>934</v>
      </c>
      <c r="G20" s="782"/>
      <c r="H20" s="782"/>
      <c r="I20" s="782"/>
      <c r="J20" s="765"/>
      <c r="K20" s="795"/>
    </row>
    <row r="21" spans="1:11" ht="13.5" thickBot="1" x14ac:dyDescent="0.25">
      <c r="A21" s="2207" t="s">
        <v>638</v>
      </c>
      <c r="B21" s="2207"/>
      <c r="C21" s="2207"/>
      <c r="D21" s="2207"/>
      <c r="E21" s="2207"/>
      <c r="F21" s="1759"/>
      <c r="G21" s="792"/>
      <c r="H21" s="796"/>
      <c r="I21" s="796"/>
      <c r="J21" s="1760">
        <f>SUM(J18:J20)</f>
        <v>0</v>
      </c>
      <c r="K21" s="793"/>
    </row>
    <row r="22" spans="1:11" ht="13.5" thickTop="1" x14ac:dyDescent="0.2">
      <c r="A22" s="2178" t="s">
        <v>1780</v>
      </c>
      <c r="B22" s="2178"/>
      <c r="C22" s="2178"/>
      <c r="D22" s="2178"/>
      <c r="E22" s="2179"/>
      <c r="F22" s="789" t="s">
        <v>862</v>
      </c>
      <c r="G22" s="782"/>
      <c r="H22" s="764"/>
      <c r="I22" s="764"/>
      <c r="J22" s="797"/>
      <c r="K22" s="765"/>
    </row>
    <row r="23" spans="1:11" ht="13.5" thickBot="1" x14ac:dyDescent="0.25">
      <c r="A23" s="2208" t="s">
        <v>906</v>
      </c>
      <c r="B23" s="2207"/>
      <c r="C23" s="2207"/>
      <c r="D23" s="2207"/>
      <c r="E23" s="2207"/>
      <c r="F23" s="1761"/>
      <c r="G23" s="1758">
        <f>SUM(G14:G16,G21,G22)</f>
        <v>0</v>
      </c>
      <c r="H23" s="1758">
        <f>SUM(H14:H16,H21,H22)</f>
        <v>21800</v>
      </c>
      <c r="I23" s="1758">
        <f>SUM(I14:I16,I21,I22)</f>
        <v>0</v>
      </c>
      <c r="J23" s="1758">
        <f>SUM(J14:J16,J21,J22)</f>
        <v>282399</v>
      </c>
      <c r="K23" s="1758">
        <f>SUM(K14:K16,K21,K22)</f>
        <v>0</v>
      </c>
    </row>
    <row r="24" spans="1:11" ht="14.25" thickTop="1" thickBot="1" x14ac:dyDescent="0.25">
      <c r="A24" s="2208" t="s">
        <v>1928</v>
      </c>
      <c r="B24" s="2207"/>
      <c r="C24" s="2207"/>
      <c r="D24" s="2207"/>
      <c r="E24" s="2207"/>
      <c r="F24" s="1762"/>
      <c r="G24" s="1763">
        <f>SUM(G3,G12)-G23</f>
        <v>0</v>
      </c>
      <c r="H24" s="1763">
        <f>SUM(H3,H12)-H23</f>
        <v>0</v>
      </c>
      <c r="I24" s="1763">
        <f>SUM(I3,I12)-I23</f>
        <v>0</v>
      </c>
      <c r="J24" s="1763">
        <f>SUM(J3,J12)-J23</f>
        <v>196866</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196866</v>
      </c>
      <c r="K26" s="1758">
        <f>K24-K25</f>
        <v>0</v>
      </c>
    </row>
    <row r="27" spans="1:11" ht="5.25" customHeight="1" thickTop="1" x14ac:dyDescent="0.2">
      <c r="I27" s="202"/>
      <c r="J27" s="202"/>
    </row>
    <row r="28" spans="1:11" ht="29.25" customHeight="1" x14ac:dyDescent="0.2">
      <c r="A28" s="1847" t="s">
        <v>1874</v>
      </c>
      <c r="B28" s="1848"/>
      <c r="C28" s="1848"/>
      <c r="D28" s="1848"/>
      <c r="E28" s="1849"/>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181"/>
      <c r="I31" s="2182"/>
      <c r="J31" s="2182"/>
      <c r="K31" s="2182"/>
    </row>
    <row r="32" spans="1:11" x14ac:dyDescent="0.2">
      <c r="A32" s="809"/>
      <c r="B32" s="237"/>
      <c r="C32" s="237"/>
      <c r="D32" s="237"/>
      <c r="E32" s="805"/>
      <c r="F32" s="811" t="s">
        <v>540</v>
      </c>
      <c r="G32" s="764"/>
      <c r="H32" s="2183"/>
      <c r="I32" s="2182"/>
      <c r="J32" s="2182"/>
      <c r="K32" s="2182"/>
    </row>
    <row r="33" spans="1:11" ht="1.5" customHeight="1" x14ac:dyDescent="0.2">
      <c r="A33" s="812" t="s">
        <v>1169</v>
      </c>
      <c r="B33" s="364"/>
      <c r="C33" s="364"/>
      <c r="D33" s="364"/>
      <c r="E33" s="364"/>
      <c r="F33" s="364"/>
      <c r="G33" s="813"/>
      <c r="H33" s="2183"/>
      <c r="I33" s="2182"/>
      <c r="J33" s="2182"/>
      <c r="K33" s="2182"/>
    </row>
    <row r="34" spans="1:11" x14ac:dyDescent="0.2">
      <c r="A34" s="814" t="s">
        <v>1781</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178" t="s">
        <v>541</v>
      </c>
      <c r="B41" s="2191"/>
      <c r="C41" s="2191"/>
      <c r="D41" s="2191"/>
      <c r="E41" s="2191"/>
      <c r="F41" s="2192"/>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1775</v>
      </c>
      <c r="B46" s="408" t="s">
        <v>1644</v>
      </c>
    </row>
    <row r="47" spans="1:11" s="823" customFormat="1" ht="13.15" customHeight="1" x14ac:dyDescent="0.2">
      <c r="A47" s="821"/>
      <c r="B47" s="822" t="s">
        <v>1645</v>
      </c>
      <c r="E47" s="822"/>
      <c r="K47" s="824"/>
    </row>
    <row r="48" spans="1:11" ht="13.15" customHeight="1" x14ac:dyDescent="0.2">
      <c r="A48" s="1532" t="s">
        <v>1776</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110" zoomScaleNormal="110" workbookViewId="0">
      <selection activeCell="J13" sqref="J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13" t="s">
        <v>1873</v>
      </c>
      <c r="B1" s="2214"/>
      <c r="C1" s="2215"/>
      <c r="D1" s="826"/>
      <c r="E1" s="827"/>
      <c r="F1" s="827"/>
      <c r="G1" s="828"/>
      <c r="H1" s="829"/>
      <c r="I1" s="830"/>
      <c r="J1" s="2211"/>
      <c r="K1" s="2212"/>
      <c r="L1" s="2212"/>
    </row>
    <row r="2" spans="1:14" ht="69.75" customHeight="1" x14ac:dyDescent="0.2">
      <c r="A2" s="831" t="s">
        <v>1647</v>
      </c>
      <c r="B2" s="832" t="s">
        <v>378</v>
      </c>
      <c r="C2" s="833" t="s">
        <v>1929</v>
      </c>
      <c r="D2" s="833" t="s">
        <v>1930</v>
      </c>
      <c r="E2" s="833" t="s">
        <v>1931</v>
      </c>
      <c r="F2" s="833" t="s">
        <v>1932</v>
      </c>
      <c r="G2" s="833" t="s">
        <v>605</v>
      </c>
      <c r="H2" s="833" t="s">
        <v>1933</v>
      </c>
      <c r="I2" s="833" t="s">
        <v>1934</v>
      </c>
      <c r="J2" s="833" t="s">
        <v>1935</v>
      </c>
      <c r="K2" s="833" t="s">
        <v>1936</v>
      </c>
      <c r="L2" s="833" t="s">
        <v>1937</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73250</v>
      </c>
      <c r="D5" s="841"/>
      <c r="E5" s="841"/>
      <c r="F5" s="1760">
        <f>(C5+D5)-E5</f>
        <v>73250</v>
      </c>
      <c r="G5" s="837"/>
      <c r="H5" s="842"/>
      <c r="I5" s="842"/>
      <c r="J5" s="842"/>
      <c r="K5" s="793"/>
      <c r="L5" s="1769">
        <f>F5-K5</f>
        <v>73250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2512924</v>
      </c>
      <c r="D8" s="844"/>
      <c r="E8" s="844"/>
      <c r="F8" s="1760">
        <f>(C8+D8)-E8</f>
        <v>2512924</v>
      </c>
      <c r="G8" s="843">
        <v>50</v>
      </c>
      <c r="H8" s="765">
        <v>1617383</v>
      </c>
      <c r="I8" s="765">
        <v>50258</v>
      </c>
      <c r="J8" s="765"/>
      <c r="K8" s="1769">
        <f>(H8+I8)-J8</f>
        <v>1667641</v>
      </c>
      <c r="L8" s="1769">
        <f>F8-K8</f>
        <v>845283</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372760</v>
      </c>
      <c r="D10" s="846">
        <v>397339</v>
      </c>
      <c r="E10" s="846"/>
      <c r="F10" s="1764">
        <f>(C10+D10)-E10</f>
        <v>770099</v>
      </c>
      <c r="G10" s="843">
        <v>20</v>
      </c>
      <c r="H10" s="847">
        <v>107452</v>
      </c>
      <c r="I10" s="847">
        <v>8713</v>
      </c>
      <c r="J10" s="847"/>
      <c r="K10" s="1769">
        <f>(H10+I10)-J10</f>
        <v>116165</v>
      </c>
      <c r="L10" s="1769">
        <f>F10-K10</f>
        <v>653934</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1065552</v>
      </c>
      <c r="D12" s="844">
        <v>110161</v>
      </c>
      <c r="E12" s="844">
        <v>470950</v>
      </c>
      <c r="F12" s="1760">
        <f>(C12+D12)-E12</f>
        <v>704763</v>
      </c>
      <c r="G12" s="843">
        <v>10</v>
      </c>
      <c r="H12" s="765">
        <v>682146</v>
      </c>
      <c r="I12" s="765">
        <v>60335</v>
      </c>
      <c r="J12" s="765">
        <v>470950</v>
      </c>
      <c r="K12" s="1769">
        <f>(H12+I12)-J12</f>
        <v>271531</v>
      </c>
      <c r="L12" s="1769">
        <f>F12-K12</f>
        <v>433232</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4024486</v>
      </c>
      <c r="D16" s="1760">
        <f>SUM(D3,D5:D6,D8:D10,D12:D15)</f>
        <v>507500</v>
      </c>
      <c r="E16" s="1760">
        <f>SUM(E3,E5:E6,E8:E10,E12:E15)</f>
        <v>470950</v>
      </c>
      <c r="F16" s="1760">
        <f>SUM(F3,F5:F6,F8:F10,F12:F15)</f>
        <v>4061036</v>
      </c>
      <c r="G16" s="843"/>
      <c r="H16" s="1760">
        <f>SUM(H3,H6,H8:H10,H12:H14,)</f>
        <v>2406981</v>
      </c>
      <c r="I16" s="1760">
        <f>SUM(I3,I6,I8:I10,I12:I14,)</f>
        <v>119306</v>
      </c>
      <c r="J16" s="1760">
        <f>SUM(J3,J6,J8:J10,J12:J14,)</f>
        <v>470950</v>
      </c>
      <c r="K16" s="1760">
        <f>(H16+I16)-J16</f>
        <v>2055337</v>
      </c>
      <c r="L16" s="1760">
        <f>F16-K16</f>
        <v>2005699</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119306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H141"/>
  <sheetViews>
    <sheetView showGridLines="0" topLeftCell="A13" zoomScaleNormal="100" workbookViewId="0">
      <selection activeCell="D18" sqref="D18"/>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1797</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19" t="s">
        <v>1783</v>
      </c>
      <c r="B4" s="2220"/>
      <c r="C4" s="2220"/>
      <c r="D4" s="2220"/>
      <c r="E4" s="2220"/>
      <c r="F4" s="2220"/>
      <c r="G4" s="2221"/>
    </row>
    <row r="5" spans="1:7" x14ac:dyDescent="0.25">
      <c r="A5" s="2222"/>
      <c r="B5" s="2223"/>
      <c r="C5" s="2223"/>
      <c r="D5" s="2223"/>
      <c r="E5" s="2223"/>
      <c r="F5" s="2223"/>
      <c r="G5" s="2224"/>
    </row>
    <row r="6" spans="1:7" ht="18.75" x14ac:dyDescent="0.25">
      <c r="A6" s="1534" t="s">
        <v>1784</v>
      </c>
      <c r="B6" s="1535"/>
      <c r="C6" s="1535"/>
      <c r="D6" s="1535"/>
      <c r="E6" s="1535"/>
      <c r="F6" s="1535"/>
      <c r="G6" s="1536"/>
    </row>
    <row r="7" spans="1:7" ht="31.15" customHeight="1" x14ac:dyDescent="0.25">
      <c r="A7" s="2225" t="s">
        <v>1895</v>
      </c>
      <c r="B7" s="2226"/>
      <c r="C7" s="2226"/>
      <c r="D7" s="2226"/>
      <c r="E7" s="2226"/>
      <c r="F7" s="2226"/>
      <c r="G7" s="2227"/>
    </row>
    <row r="8" spans="1:7" ht="15.75" customHeight="1" x14ac:dyDescent="0.25">
      <c r="A8" s="2228" t="s">
        <v>1872</v>
      </c>
      <c r="B8" s="2229"/>
      <c r="C8" s="2229"/>
      <c r="D8" s="2229"/>
      <c r="E8" s="2229"/>
      <c r="F8" s="2229"/>
      <c r="G8" s="2230"/>
    </row>
    <row r="9" spans="1:7" ht="35.25" customHeight="1" x14ac:dyDescent="0.25">
      <c r="A9" s="2225" t="s">
        <v>1898</v>
      </c>
      <c r="B9" s="2226"/>
      <c r="C9" s="2226"/>
      <c r="D9" s="2226"/>
      <c r="E9" s="2226"/>
      <c r="F9" s="2226"/>
      <c r="G9" s="2227"/>
    </row>
    <row r="10" spans="1:7" ht="15" customHeight="1" x14ac:dyDescent="0.25">
      <c r="A10" s="1537" t="s">
        <v>1785</v>
      </c>
      <c r="B10" s="1538"/>
      <c r="C10" s="1538"/>
      <c r="D10" s="1538"/>
      <c r="E10" s="1538"/>
      <c r="F10" s="1538"/>
      <c r="G10" s="1539"/>
    </row>
    <row r="11" spans="1:7" ht="17.25" customHeight="1" x14ac:dyDescent="0.25">
      <c r="A11" s="2225" t="s">
        <v>1897</v>
      </c>
      <c r="B11" s="2226"/>
      <c r="C11" s="2226"/>
      <c r="D11" s="2226"/>
      <c r="E11" s="2226"/>
      <c r="F11" s="2226"/>
      <c r="G11" s="2227"/>
    </row>
    <row r="12" spans="1:7" ht="15" customHeight="1" x14ac:dyDescent="0.25">
      <c r="A12" s="1537" t="s">
        <v>1790</v>
      </c>
      <c r="B12" s="1538"/>
      <c r="C12" s="1538"/>
      <c r="D12" s="1538"/>
      <c r="E12" s="1538"/>
      <c r="F12" s="1538"/>
      <c r="G12" s="1539"/>
    </row>
    <row r="13" spans="1:7" ht="32.25" customHeight="1" x14ac:dyDescent="0.25">
      <c r="A13" s="2216" t="s">
        <v>1939</v>
      </c>
      <c r="B13" s="2217"/>
      <c r="C13" s="2217"/>
      <c r="D13" s="2217"/>
      <c r="E13" s="2217"/>
      <c r="F13" s="2217"/>
      <c r="G13" s="2218"/>
    </row>
    <row r="14" spans="1:7" x14ac:dyDescent="0.25">
      <c r="A14" s="1661" t="s">
        <v>1798</v>
      </c>
      <c r="B14" s="1662"/>
      <c r="C14" s="1662"/>
      <c r="D14" s="1662"/>
      <c r="E14" s="1662"/>
      <c r="F14" s="1662"/>
      <c r="G14" s="1663"/>
    </row>
    <row r="15" spans="1:7" ht="61.5" customHeight="1" x14ac:dyDescent="0.25">
      <c r="A15" s="1546" t="s">
        <v>1791</v>
      </c>
      <c r="B15" s="1546" t="s">
        <v>1792</v>
      </c>
      <c r="C15" s="1546" t="s">
        <v>1793</v>
      </c>
      <c r="D15" s="1547" t="s">
        <v>1794</v>
      </c>
      <c r="E15" s="1547" t="s">
        <v>1786</v>
      </c>
      <c r="F15" s="1547" t="s">
        <v>1795</v>
      </c>
      <c r="G15" s="1547" t="s">
        <v>1796</v>
      </c>
    </row>
    <row r="16" spans="1:7" x14ac:dyDescent="0.25">
      <c r="A16" s="1648" t="s">
        <v>1799</v>
      </c>
      <c r="B16" s="1649" t="s">
        <v>1789</v>
      </c>
      <c r="C16" s="1650" t="s">
        <v>1787</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898" t="s">
        <v>2045</v>
      </c>
      <c r="B17" s="1899" t="s">
        <v>2045</v>
      </c>
      <c r="C17" s="1900" t="s">
        <v>2045</v>
      </c>
      <c r="D17" s="1844">
        <v>0</v>
      </c>
      <c r="E17" s="1540">
        <f t="shared" ref="E17:E141" si="0">IF(D17&lt;=25000,D17,IF(D17&gt;25000,25000,0))</f>
        <v>0</v>
      </c>
      <c r="F17" s="189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894"/>
      <c r="C18" s="1656"/>
      <c r="D18" s="1844"/>
      <c r="E18" s="1540">
        <f t="shared" ref="E18:E140" si="2">IF(D18&lt;=25000,D18,IF(D18&gt;25000,25000,0))</f>
        <v>0</v>
      </c>
      <c r="F18" s="1892">
        <f t="shared" si="1"/>
        <v>0</v>
      </c>
      <c r="G18" s="1793">
        <f t="shared" ref="G18:G140" si="3">IF(F18=0,0,D18-F18)</f>
        <v>0</v>
      </c>
    </row>
    <row r="19" spans="1:8" x14ac:dyDescent="0.25">
      <c r="A19" s="1653"/>
      <c r="B19" s="1894"/>
      <c r="C19" s="1656"/>
      <c r="D19" s="1844"/>
      <c r="E19" s="1540">
        <f t="shared" si="2"/>
        <v>0</v>
      </c>
      <c r="F19" s="1892">
        <f t="shared" si="1"/>
        <v>0</v>
      </c>
      <c r="G19" s="1793">
        <f t="shared" si="3"/>
        <v>0</v>
      </c>
    </row>
    <row r="20" spans="1:8" x14ac:dyDescent="0.25">
      <c r="A20" s="1653"/>
      <c r="B20" s="1894"/>
      <c r="C20" s="1656"/>
      <c r="D20" s="1844"/>
      <c r="E20" s="1540">
        <f t="shared" si="2"/>
        <v>0</v>
      </c>
      <c r="F20" s="1892">
        <f t="shared" si="1"/>
        <v>0</v>
      </c>
      <c r="G20" s="1793">
        <f t="shared" si="3"/>
        <v>0</v>
      </c>
    </row>
    <row r="21" spans="1:8" x14ac:dyDescent="0.25">
      <c r="A21" s="1653"/>
      <c r="B21" s="1894"/>
      <c r="C21" s="1656"/>
      <c r="D21" s="1844"/>
      <c r="E21" s="1540">
        <f t="shared" si="2"/>
        <v>0</v>
      </c>
      <c r="F21" s="1892">
        <f t="shared" si="1"/>
        <v>0</v>
      </c>
      <c r="G21" s="1793">
        <f t="shared" si="3"/>
        <v>0</v>
      </c>
    </row>
    <row r="22" spans="1:8" x14ac:dyDescent="0.25">
      <c r="A22" s="1653"/>
      <c r="B22" s="1894"/>
      <c r="C22" s="1656"/>
      <c r="D22" s="1844"/>
      <c r="E22" s="1540">
        <f t="shared" si="2"/>
        <v>0</v>
      </c>
      <c r="F22" s="1892">
        <f t="shared" si="1"/>
        <v>0</v>
      </c>
      <c r="G22" s="1793">
        <f t="shared" si="3"/>
        <v>0</v>
      </c>
    </row>
    <row r="23" spans="1:8" x14ac:dyDescent="0.25">
      <c r="A23" s="1653"/>
      <c r="B23" s="1894"/>
      <c r="C23" s="1656"/>
      <c r="D23" s="1844"/>
      <c r="E23" s="1540">
        <f t="shared" si="2"/>
        <v>0</v>
      </c>
      <c r="F23" s="1892">
        <f t="shared" si="1"/>
        <v>0</v>
      </c>
      <c r="G23" s="1793">
        <f t="shared" si="3"/>
        <v>0</v>
      </c>
    </row>
    <row r="24" spans="1:8" x14ac:dyDescent="0.25">
      <c r="A24" s="1653"/>
      <c r="B24" s="1894"/>
      <c r="C24" s="1656"/>
      <c r="D24" s="1844"/>
      <c r="E24" s="1540">
        <f t="shared" si="2"/>
        <v>0</v>
      </c>
      <c r="F24" s="1892">
        <f t="shared" si="1"/>
        <v>0</v>
      </c>
      <c r="G24" s="1793">
        <f t="shared" si="3"/>
        <v>0</v>
      </c>
    </row>
    <row r="25" spans="1:8" x14ac:dyDescent="0.25">
      <c r="A25" s="1653"/>
      <c r="B25" s="1894"/>
      <c r="C25" s="1656"/>
      <c r="D25" s="1844"/>
      <c r="E25" s="1540">
        <f t="shared" si="2"/>
        <v>0</v>
      </c>
      <c r="F25" s="1892">
        <f t="shared" si="1"/>
        <v>0</v>
      </c>
      <c r="G25" s="1793">
        <f t="shared" si="3"/>
        <v>0</v>
      </c>
    </row>
    <row r="26" spans="1:8" x14ac:dyDescent="0.25">
      <c r="A26" s="1653"/>
      <c r="B26" s="1894"/>
      <c r="C26" s="1654"/>
      <c r="D26" s="1844"/>
      <c r="E26" s="1540">
        <f t="shared" si="2"/>
        <v>0</v>
      </c>
      <c r="F26" s="1892">
        <f t="shared" si="1"/>
        <v>0</v>
      </c>
      <c r="G26" s="1793">
        <f t="shared" si="3"/>
        <v>0</v>
      </c>
    </row>
    <row r="27" spans="1:8" x14ac:dyDescent="0.25">
      <c r="A27" s="1653"/>
      <c r="B27" s="1894"/>
      <c r="C27" s="1654"/>
      <c r="D27" s="1844"/>
      <c r="E27" s="1540">
        <f t="shared" si="2"/>
        <v>0</v>
      </c>
      <c r="F27" s="1892">
        <f t="shared" si="1"/>
        <v>0</v>
      </c>
      <c r="G27" s="1793">
        <f t="shared" si="3"/>
        <v>0</v>
      </c>
    </row>
    <row r="28" spans="1:8" x14ac:dyDescent="0.25">
      <c r="A28" s="1653"/>
      <c r="B28" s="1894"/>
      <c r="C28" s="1654"/>
      <c r="D28" s="1844"/>
      <c r="E28" s="1540">
        <f t="shared" si="2"/>
        <v>0</v>
      </c>
      <c r="F28" s="1892">
        <f t="shared" si="1"/>
        <v>0</v>
      </c>
      <c r="G28" s="1793">
        <f t="shared" si="3"/>
        <v>0</v>
      </c>
    </row>
    <row r="29" spans="1:8" x14ac:dyDescent="0.25">
      <c r="A29" s="1653"/>
      <c r="B29" s="1894"/>
      <c r="C29" s="1654"/>
      <c r="D29" s="1844"/>
      <c r="E29" s="1540">
        <f t="shared" si="2"/>
        <v>0</v>
      </c>
      <c r="F29" s="1892">
        <f t="shared" si="1"/>
        <v>0</v>
      </c>
      <c r="G29" s="1793">
        <f t="shared" si="3"/>
        <v>0</v>
      </c>
    </row>
    <row r="30" spans="1:8" x14ac:dyDescent="0.25">
      <c r="A30" s="1653"/>
      <c r="B30" s="1894"/>
      <c r="C30" s="1654"/>
      <c r="D30" s="1844"/>
      <c r="E30" s="1540">
        <f t="shared" si="2"/>
        <v>0</v>
      </c>
      <c r="F30" s="1892">
        <f t="shared" si="1"/>
        <v>0</v>
      </c>
      <c r="G30" s="1793">
        <f t="shared" si="3"/>
        <v>0</v>
      </c>
    </row>
    <row r="31" spans="1:8" x14ac:dyDescent="0.25">
      <c r="A31" s="1653"/>
      <c r="B31" s="1894"/>
      <c r="C31" s="1654"/>
      <c r="D31" s="1844"/>
      <c r="E31" s="1540">
        <f t="shared" si="2"/>
        <v>0</v>
      </c>
      <c r="F31" s="1892">
        <f t="shared" si="1"/>
        <v>0</v>
      </c>
      <c r="G31" s="1793">
        <f t="shared" si="3"/>
        <v>0</v>
      </c>
    </row>
    <row r="32" spans="1:8" x14ac:dyDescent="0.25">
      <c r="A32" s="1653"/>
      <c r="B32" s="1894"/>
      <c r="C32" s="1654"/>
      <c r="D32" s="1844"/>
      <c r="E32" s="1540">
        <f t="shared" si="2"/>
        <v>0</v>
      </c>
      <c r="F32" s="1892">
        <f t="shared" si="1"/>
        <v>0</v>
      </c>
      <c r="G32" s="1793">
        <f t="shared" si="3"/>
        <v>0</v>
      </c>
    </row>
    <row r="33" spans="1:7" x14ac:dyDescent="0.25">
      <c r="A33" s="1653"/>
      <c r="B33" s="1894"/>
      <c r="C33" s="1654"/>
      <c r="D33" s="1844"/>
      <c r="E33" s="1540">
        <f t="shared" si="2"/>
        <v>0</v>
      </c>
      <c r="F33" s="1892">
        <f t="shared" si="1"/>
        <v>0</v>
      </c>
      <c r="G33" s="1793">
        <f t="shared" si="3"/>
        <v>0</v>
      </c>
    </row>
    <row r="34" spans="1:7" x14ac:dyDescent="0.25">
      <c r="A34" s="1653"/>
      <c r="B34" s="1894"/>
      <c r="C34" s="1654"/>
      <c r="D34" s="1844"/>
      <c r="E34" s="1540">
        <f t="shared" si="2"/>
        <v>0</v>
      </c>
      <c r="F34" s="1892">
        <f t="shared" si="1"/>
        <v>0</v>
      </c>
      <c r="G34" s="1793">
        <f t="shared" si="3"/>
        <v>0</v>
      </c>
    </row>
    <row r="35" spans="1:7" x14ac:dyDescent="0.25">
      <c r="A35" s="1653"/>
      <c r="B35" s="1894"/>
      <c r="C35" s="1654"/>
      <c r="D35" s="1844"/>
      <c r="E35" s="1540">
        <f t="shared" si="2"/>
        <v>0</v>
      </c>
      <c r="F35" s="1892">
        <f t="shared" si="1"/>
        <v>0</v>
      </c>
      <c r="G35" s="1793">
        <f t="shared" si="3"/>
        <v>0</v>
      </c>
    </row>
    <row r="36" spans="1:7" x14ac:dyDescent="0.25">
      <c r="A36" s="1653"/>
      <c r="B36" s="1894"/>
      <c r="C36" s="1654"/>
      <c r="D36" s="1844"/>
      <c r="E36" s="1540">
        <f t="shared" si="2"/>
        <v>0</v>
      </c>
      <c r="F36" s="1892">
        <f t="shared" si="1"/>
        <v>0</v>
      </c>
      <c r="G36" s="1793">
        <f t="shared" si="3"/>
        <v>0</v>
      </c>
    </row>
    <row r="37" spans="1:7" x14ac:dyDescent="0.25">
      <c r="A37" s="1653"/>
      <c r="B37" s="1894"/>
      <c r="C37" s="1654"/>
      <c r="D37" s="1844"/>
      <c r="E37" s="1540">
        <f t="shared" si="2"/>
        <v>0</v>
      </c>
      <c r="F37" s="1892">
        <f t="shared" si="1"/>
        <v>0</v>
      </c>
      <c r="G37" s="1793">
        <f t="shared" si="3"/>
        <v>0</v>
      </c>
    </row>
    <row r="38" spans="1:7" x14ac:dyDescent="0.25">
      <c r="A38" s="1653"/>
      <c r="B38" s="1895"/>
      <c r="C38" s="1654"/>
      <c r="D38" s="1844"/>
      <c r="E38" s="1540">
        <f t="shared" si="2"/>
        <v>0</v>
      </c>
      <c r="F38" s="1892">
        <f t="shared" si="1"/>
        <v>0</v>
      </c>
      <c r="G38" s="1793">
        <f t="shared" si="3"/>
        <v>0</v>
      </c>
    </row>
    <row r="39" spans="1:7" x14ac:dyDescent="0.25">
      <c r="A39" s="1653"/>
      <c r="B39" s="1895"/>
      <c r="C39" s="1654"/>
      <c r="D39" s="1844"/>
      <c r="E39" s="1540">
        <f t="shared" si="2"/>
        <v>0</v>
      </c>
      <c r="F39" s="1892">
        <f t="shared" si="1"/>
        <v>0</v>
      </c>
      <c r="G39" s="1793">
        <f t="shared" si="3"/>
        <v>0</v>
      </c>
    </row>
    <row r="40" spans="1:7" x14ac:dyDescent="0.25">
      <c r="A40" s="1653"/>
      <c r="B40" s="1895"/>
      <c r="C40" s="1654"/>
      <c r="D40" s="1844"/>
      <c r="E40" s="1540">
        <f t="shared" si="2"/>
        <v>0</v>
      </c>
      <c r="F40" s="1892">
        <f t="shared" si="1"/>
        <v>0</v>
      </c>
      <c r="G40" s="1793">
        <f t="shared" si="3"/>
        <v>0</v>
      </c>
    </row>
    <row r="41" spans="1:7" x14ac:dyDescent="0.25">
      <c r="A41" s="1653"/>
      <c r="B41" s="1895"/>
      <c r="C41" s="1654"/>
      <c r="D41" s="1844"/>
      <c r="E41" s="1540">
        <f t="shared" si="2"/>
        <v>0</v>
      </c>
      <c r="F41" s="1892">
        <f t="shared" si="1"/>
        <v>0</v>
      </c>
      <c r="G41" s="1793">
        <f t="shared" si="3"/>
        <v>0</v>
      </c>
    </row>
    <row r="42" spans="1:7" x14ac:dyDescent="0.25">
      <c r="A42" s="1653"/>
      <c r="B42" s="1895"/>
      <c r="C42" s="1654"/>
      <c r="D42" s="1844"/>
      <c r="E42" s="1540">
        <f t="shared" si="2"/>
        <v>0</v>
      </c>
      <c r="F42" s="1892">
        <f t="shared" si="1"/>
        <v>0</v>
      </c>
      <c r="G42" s="1793">
        <f t="shared" si="3"/>
        <v>0</v>
      </c>
    </row>
    <row r="43" spans="1:7" x14ac:dyDescent="0.25">
      <c r="A43" s="1653"/>
      <c r="B43" s="1895"/>
      <c r="C43" s="1654"/>
      <c r="D43" s="1844"/>
      <c r="E43" s="1540">
        <f t="shared" si="2"/>
        <v>0</v>
      </c>
      <c r="F43" s="1892">
        <f t="shared" si="1"/>
        <v>0</v>
      </c>
      <c r="G43" s="1793">
        <f t="shared" si="3"/>
        <v>0</v>
      </c>
    </row>
    <row r="44" spans="1:7" x14ac:dyDescent="0.25">
      <c r="A44" s="1653"/>
      <c r="B44" s="1895"/>
      <c r="C44" s="1654"/>
      <c r="D44" s="1844"/>
      <c r="E44" s="1540">
        <f t="shared" si="2"/>
        <v>0</v>
      </c>
      <c r="F44" s="1892">
        <f t="shared" si="1"/>
        <v>0</v>
      </c>
      <c r="G44" s="1793">
        <f t="shared" si="3"/>
        <v>0</v>
      </c>
    </row>
    <row r="45" spans="1:7" x14ac:dyDescent="0.25">
      <c r="A45" s="1653"/>
      <c r="B45" s="1895"/>
      <c r="C45" s="1654"/>
      <c r="D45" s="1844"/>
      <c r="E45" s="1540">
        <f t="shared" si="2"/>
        <v>0</v>
      </c>
      <c r="F45" s="1892">
        <f t="shared" si="1"/>
        <v>0</v>
      </c>
      <c r="G45" s="1793">
        <f t="shared" si="3"/>
        <v>0</v>
      </c>
    </row>
    <row r="46" spans="1:7" x14ac:dyDescent="0.25">
      <c r="A46" s="1653"/>
      <c r="B46" s="1667"/>
      <c r="C46" s="1654"/>
      <c r="D46" s="1844"/>
      <c r="E46" s="1540">
        <f t="shared" si="2"/>
        <v>0</v>
      </c>
      <c r="F46" s="1892">
        <f t="shared" si="1"/>
        <v>0</v>
      </c>
      <c r="G46" s="1793">
        <f t="shared" si="3"/>
        <v>0</v>
      </c>
    </row>
    <row r="47" spans="1:7" x14ac:dyDescent="0.25">
      <c r="A47" s="1653"/>
      <c r="B47" s="1667"/>
      <c r="C47" s="1654"/>
      <c r="D47" s="1844"/>
      <c r="E47" s="1540">
        <f t="shared" si="2"/>
        <v>0</v>
      </c>
      <c r="F47" s="1892">
        <f t="shared" si="1"/>
        <v>0</v>
      </c>
      <c r="G47" s="1793">
        <f t="shared" si="3"/>
        <v>0</v>
      </c>
    </row>
    <row r="48" spans="1:7" x14ac:dyDescent="0.25">
      <c r="A48" s="1653"/>
      <c r="B48" s="1667"/>
      <c r="C48" s="1654"/>
      <c r="D48" s="1844"/>
      <c r="E48" s="1540">
        <f t="shared" si="2"/>
        <v>0</v>
      </c>
      <c r="F48" s="1892">
        <f t="shared" si="1"/>
        <v>0</v>
      </c>
      <c r="G48" s="1793">
        <f t="shared" si="3"/>
        <v>0</v>
      </c>
    </row>
    <row r="49" spans="1:7" x14ac:dyDescent="0.25">
      <c r="A49" s="1653"/>
      <c r="B49" s="1667"/>
      <c r="C49" s="1654"/>
      <c r="D49" s="1844"/>
      <c r="E49" s="1540">
        <f t="shared" si="2"/>
        <v>0</v>
      </c>
      <c r="F49" s="1892">
        <f t="shared" si="1"/>
        <v>0</v>
      </c>
      <c r="G49" s="1793">
        <f t="shared" si="3"/>
        <v>0</v>
      </c>
    </row>
    <row r="50" spans="1:7" x14ac:dyDescent="0.25">
      <c r="A50" s="1653"/>
      <c r="B50" s="1667"/>
      <c r="C50" s="1654"/>
      <c r="D50" s="1844"/>
      <c r="E50" s="1540">
        <f t="shared" si="2"/>
        <v>0</v>
      </c>
      <c r="F50" s="1892">
        <f t="shared" si="1"/>
        <v>0</v>
      </c>
      <c r="G50" s="1793">
        <f t="shared" si="3"/>
        <v>0</v>
      </c>
    </row>
    <row r="51" spans="1:7" x14ac:dyDescent="0.25">
      <c r="A51" s="1653"/>
      <c r="B51" s="1667"/>
      <c r="C51" s="1654"/>
      <c r="D51" s="1844"/>
      <c r="E51" s="1540">
        <f t="shared" si="2"/>
        <v>0</v>
      </c>
      <c r="F51" s="1892">
        <f t="shared" si="1"/>
        <v>0</v>
      </c>
      <c r="G51" s="1793">
        <f t="shared" si="3"/>
        <v>0</v>
      </c>
    </row>
    <row r="52" spans="1:7" x14ac:dyDescent="0.25">
      <c r="A52" s="1653"/>
      <c r="B52" s="1667"/>
      <c r="C52" s="1654"/>
      <c r="D52" s="1844"/>
      <c r="E52" s="1540">
        <f t="shared" si="2"/>
        <v>0</v>
      </c>
      <c r="F52" s="1892">
        <f t="shared" si="1"/>
        <v>0</v>
      </c>
      <c r="G52" s="1793">
        <f t="shared" si="3"/>
        <v>0</v>
      </c>
    </row>
    <row r="53" spans="1:7" x14ac:dyDescent="0.25">
      <c r="A53" s="1653"/>
      <c r="B53" s="1667"/>
      <c r="C53" s="1654"/>
      <c r="D53" s="1844"/>
      <c r="E53" s="1540">
        <f t="shared" si="2"/>
        <v>0</v>
      </c>
      <c r="F53" s="1892">
        <f t="shared" si="1"/>
        <v>0</v>
      </c>
      <c r="G53" s="1793">
        <f t="shared" si="3"/>
        <v>0</v>
      </c>
    </row>
    <row r="54" spans="1:7" x14ac:dyDescent="0.25">
      <c r="A54" s="1653"/>
      <c r="B54" s="1667"/>
      <c r="C54" s="1654"/>
      <c r="D54" s="1844"/>
      <c r="E54" s="1540">
        <f t="shared" si="2"/>
        <v>0</v>
      </c>
      <c r="F54" s="1892">
        <f t="shared" si="1"/>
        <v>0</v>
      </c>
      <c r="G54" s="1793">
        <f t="shared" si="3"/>
        <v>0</v>
      </c>
    </row>
    <row r="55" spans="1:7" x14ac:dyDescent="0.25">
      <c r="A55" s="1653"/>
      <c r="B55" s="1667"/>
      <c r="C55" s="1654"/>
      <c r="D55" s="1844"/>
      <c r="E55" s="1540">
        <f t="shared" si="2"/>
        <v>0</v>
      </c>
      <c r="F55" s="1892">
        <f t="shared" si="1"/>
        <v>0</v>
      </c>
      <c r="G55" s="1793">
        <f t="shared" si="3"/>
        <v>0</v>
      </c>
    </row>
    <row r="56" spans="1:7" x14ac:dyDescent="0.25">
      <c r="A56" s="1653"/>
      <c r="B56" s="1667"/>
      <c r="C56" s="1654"/>
      <c r="D56" s="1844"/>
      <c r="E56" s="1540">
        <f t="shared" si="2"/>
        <v>0</v>
      </c>
      <c r="F56" s="1892">
        <f t="shared" si="1"/>
        <v>0</v>
      </c>
      <c r="G56" s="1793">
        <f t="shared" si="3"/>
        <v>0</v>
      </c>
    </row>
    <row r="57" spans="1:7" x14ac:dyDescent="0.25">
      <c r="A57" s="1653"/>
      <c r="B57" s="1667"/>
      <c r="C57" s="1654"/>
      <c r="D57" s="1844"/>
      <c r="E57" s="1540">
        <f t="shared" si="2"/>
        <v>0</v>
      </c>
      <c r="F57" s="1892">
        <f t="shared" si="1"/>
        <v>0</v>
      </c>
      <c r="G57" s="1793">
        <f t="shared" si="3"/>
        <v>0</v>
      </c>
    </row>
    <row r="58" spans="1:7" x14ac:dyDescent="0.25">
      <c r="A58" s="1653"/>
      <c r="B58" s="1667"/>
      <c r="C58" s="1654"/>
      <c r="D58" s="1844"/>
      <c r="E58" s="1540">
        <f t="shared" si="2"/>
        <v>0</v>
      </c>
      <c r="F58" s="1892">
        <f t="shared" si="1"/>
        <v>0</v>
      </c>
      <c r="G58" s="1793">
        <f t="shared" si="3"/>
        <v>0</v>
      </c>
    </row>
    <row r="59" spans="1:7" x14ac:dyDescent="0.25">
      <c r="A59" s="1653"/>
      <c r="B59" s="1667"/>
      <c r="C59" s="1654"/>
      <c r="D59" s="1844"/>
      <c r="E59" s="1540">
        <f t="shared" si="2"/>
        <v>0</v>
      </c>
      <c r="F59" s="1892">
        <f t="shared" si="1"/>
        <v>0</v>
      </c>
      <c r="G59" s="1793">
        <f t="shared" si="3"/>
        <v>0</v>
      </c>
    </row>
    <row r="60" spans="1:7" x14ac:dyDescent="0.25">
      <c r="A60" s="1653"/>
      <c r="B60" s="1667"/>
      <c r="C60" s="1654"/>
      <c r="D60" s="1844"/>
      <c r="E60" s="1540">
        <f t="shared" si="2"/>
        <v>0</v>
      </c>
      <c r="F60" s="1892">
        <f t="shared" si="1"/>
        <v>0</v>
      </c>
      <c r="G60" s="1793">
        <f t="shared" si="3"/>
        <v>0</v>
      </c>
    </row>
    <row r="61" spans="1:7" x14ac:dyDescent="0.25">
      <c r="A61" s="1653"/>
      <c r="B61" s="1667"/>
      <c r="C61" s="1654"/>
      <c r="D61" s="1844"/>
      <c r="E61" s="1540">
        <f t="shared" si="2"/>
        <v>0</v>
      </c>
      <c r="F61" s="1892">
        <f t="shared" si="1"/>
        <v>0</v>
      </c>
      <c r="G61" s="1793">
        <f t="shared" si="3"/>
        <v>0</v>
      </c>
    </row>
    <row r="62" spans="1:7" x14ac:dyDescent="0.25">
      <c r="A62" s="1653"/>
      <c r="B62" s="1667"/>
      <c r="C62" s="1654"/>
      <c r="D62" s="1844"/>
      <c r="E62" s="1540">
        <f t="shared" si="2"/>
        <v>0</v>
      </c>
      <c r="F62" s="1892">
        <f t="shared" si="1"/>
        <v>0</v>
      </c>
      <c r="G62" s="1793">
        <f t="shared" si="3"/>
        <v>0</v>
      </c>
    </row>
    <row r="63" spans="1:7" x14ac:dyDescent="0.25">
      <c r="A63" s="1653"/>
      <c r="B63" s="1667"/>
      <c r="C63" s="1654"/>
      <c r="D63" s="1844"/>
      <c r="E63" s="1540">
        <f t="shared" si="2"/>
        <v>0</v>
      </c>
      <c r="F63" s="1892">
        <f t="shared" si="1"/>
        <v>0</v>
      </c>
      <c r="G63" s="1793">
        <f t="shared" si="3"/>
        <v>0</v>
      </c>
    </row>
    <row r="64" spans="1:7" x14ac:dyDescent="0.25">
      <c r="A64" s="1655"/>
      <c r="B64" s="1667"/>
      <c r="C64" s="1656"/>
      <c r="D64" s="1844"/>
      <c r="E64" s="1540">
        <f t="shared" si="2"/>
        <v>0</v>
      </c>
      <c r="F64" s="1892">
        <f t="shared" si="1"/>
        <v>0</v>
      </c>
      <c r="G64" s="1793">
        <f t="shared" si="3"/>
        <v>0</v>
      </c>
    </row>
    <row r="65" spans="1:7" x14ac:dyDescent="0.25">
      <c r="A65" s="1653"/>
      <c r="B65" s="1667"/>
      <c r="C65" s="1654"/>
      <c r="D65" s="1844"/>
      <c r="E65" s="1540">
        <f t="shared" si="2"/>
        <v>0</v>
      </c>
      <c r="F65" s="1892">
        <f t="shared" si="1"/>
        <v>0</v>
      </c>
      <c r="G65" s="1793">
        <f t="shared" si="3"/>
        <v>0</v>
      </c>
    </row>
    <row r="66" spans="1:7" x14ac:dyDescent="0.25">
      <c r="A66" s="1653"/>
      <c r="B66" s="1667"/>
      <c r="C66" s="1654"/>
      <c r="D66" s="1844"/>
      <c r="E66" s="1540">
        <f t="shared" si="2"/>
        <v>0</v>
      </c>
      <c r="F66" s="1892">
        <f t="shared" si="1"/>
        <v>0</v>
      </c>
      <c r="G66" s="1793">
        <f t="shared" si="3"/>
        <v>0</v>
      </c>
    </row>
    <row r="67" spans="1:7" x14ac:dyDescent="0.25">
      <c r="A67" s="1653"/>
      <c r="B67" s="1667"/>
      <c r="C67" s="1654"/>
      <c r="D67" s="1844"/>
      <c r="E67" s="1540">
        <f t="shared" si="2"/>
        <v>0</v>
      </c>
      <c r="F67" s="1892">
        <f t="shared" si="1"/>
        <v>0</v>
      </c>
      <c r="G67" s="1793">
        <f t="shared" si="3"/>
        <v>0</v>
      </c>
    </row>
    <row r="68" spans="1:7" x14ac:dyDescent="0.25">
      <c r="A68" s="1653"/>
      <c r="B68" s="1667"/>
      <c r="C68" s="1654"/>
      <c r="D68" s="1844"/>
      <c r="E68" s="1540">
        <f t="shared" si="2"/>
        <v>0</v>
      </c>
      <c r="F68" s="1892">
        <f t="shared" si="1"/>
        <v>0</v>
      </c>
      <c r="G68" s="1793">
        <f t="shared" si="3"/>
        <v>0</v>
      </c>
    </row>
    <row r="69" spans="1:7" x14ac:dyDescent="0.25">
      <c r="A69" s="1653"/>
      <c r="B69" s="1667"/>
      <c r="C69" s="1654"/>
      <c r="D69" s="1844"/>
      <c r="E69" s="1540">
        <f t="shared" si="2"/>
        <v>0</v>
      </c>
      <c r="F69" s="1892">
        <f t="shared" si="1"/>
        <v>0</v>
      </c>
      <c r="G69" s="1793">
        <f t="shared" si="3"/>
        <v>0</v>
      </c>
    </row>
    <row r="70" spans="1:7" x14ac:dyDescent="0.25">
      <c r="A70" s="1653"/>
      <c r="B70" s="1667"/>
      <c r="C70" s="1654"/>
      <c r="D70" s="1844"/>
      <c r="E70" s="1540">
        <f t="shared" si="2"/>
        <v>0</v>
      </c>
      <c r="F70" s="1892">
        <f t="shared" si="1"/>
        <v>0</v>
      </c>
      <c r="G70" s="1793">
        <f t="shared" si="3"/>
        <v>0</v>
      </c>
    </row>
    <row r="71" spans="1:7" x14ac:dyDescent="0.25">
      <c r="A71" s="1653"/>
      <c r="B71" s="1667"/>
      <c r="C71" s="1654"/>
      <c r="D71" s="1844"/>
      <c r="E71" s="1540">
        <f t="shared" si="2"/>
        <v>0</v>
      </c>
      <c r="F71" s="1892">
        <f t="shared" si="1"/>
        <v>0</v>
      </c>
      <c r="G71" s="1793">
        <f t="shared" si="3"/>
        <v>0</v>
      </c>
    </row>
    <row r="72" spans="1:7" x14ac:dyDescent="0.25">
      <c r="A72" s="1653"/>
      <c r="B72" s="1667"/>
      <c r="C72" s="1654"/>
      <c r="D72" s="1844"/>
      <c r="E72" s="1540">
        <f t="shared" si="2"/>
        <v>0</v>
      </c>
      <c r="F72" s="1892">
        <f t="shared" si="1"/>
        <v>0</v>
      </c>
      <c r="G72" s="1793">
        <f t="shared" si="3"/>
        <v>0</v>
      </c>
    </row>
    <row r="73" spans="1:7" x14ac:dyDescent="0.25">
      <c r="A73" s="1653"/>
      <c r="B73" s="1667"/>
      <c r="C73" s="1654"/>
      <c r="D73" s="1844"/>
      <c r="E73" s="1540">
        <f t="shared" ref="E73:E84" si="4">IF(D73&lt;=25000,D73,IF(D73&gt;25000,25000,0))</f>
        <v>0</v>
      </c>
      <c r="F73" s="1892">
        <f t="shared" si="1"/>
        <v>0</v>
      </c>
      <c r="G73" s="1793">
        <f t="shared" ref="G73:G84" si="5">IF(F73=0,0,D73-F73)</f>
        <v>0</v>
      </c>
    </row>
    <row r="74" spans="1:7" x14ac:dyDescent="0.25">
      <c r="A74" s="1653"/>
      <c r="B74" s="1667"/>
      <c r="C74" s="1654"/>
      <c r="D74" s="1844"/>
      <c r="E74" s="1540">
        <f t="shared" si="4"/>
        <v>0</v>
      </c>
      <c r="F74" s="1892">
        <f t="shared" si="1"/>
        <v>0</v>
      </c>
      <c r="G74" s="1793">
        <f t="shared" si="5"/>
        <v>0</v>
      </c>
    </row>
    <row r="75" spans="1:7" x14ac:dyDescent="0.25">
      <c r="A75" s="1653"/>
      <c r="B75" s="1667"/>
      <c r="C75" s="1654"/>
      <c r="D75" s="1844"/>
      <c r="E75" s="1540">
        <f t="shared" si="4"/>
        <v>0</v>
      </c>
      <c r="F75" s="1892">
        <f t="shared" si="1"/>
        <v>0</v>
      </c>
      <c r="G75" s="1793">
        <f t="shared" si="5"/>
        <v>0</v>
      </c>
    </row>
    <row r="76" spans="1:7" x14ac:dyDescent="0.25">
      <c r="A76" s="1653"/>
      <c r="B76" s="1667"/>
      <c r="C76" s="1654"/>
      <c r="D76" s="1844"/>
      <c r="E76" s="1540">
        <f t="shared" si="4"/>
        <v>0</v>
      </c>
      <c r="F76" s="1892">
        <f t="shared" si="1"/>
        <v>0</v>
      </c>
      <c r="G76" s="1793">
        <f t="shared" si="5"/>
        <v>0</v>
      </c>
    </row>
    <row r="77" spans="1:7" x14ac:dyDescent="0.25">
      <c r="A77" s="1653"/>
      <c r="B77" s="1667"/>
      <c r="C77" s="1654"/>
      <c r="D77" s="1844"/>
      <c r="E77" s="1540">
        <f t="shared" si="4"/>
        <v>0</v>
      </c>
      <c r="F77" s="1892">
        <f t="shared" si="1"/>
        <v>0</v>
      </c>
      <c r="G77" s="1793">
        <f t="shared" si="5"/>
        <v>0</v>
      </c>
    </row>
    <row r="78" spans="1:7" x14ac:dyDescent="0.25">
      <c r="A78" s="1653"/>
      <c r="B78" s="1667"/>
      <c r="C78" s="1654"/>
      <c r="D78" s="1844"/>
      <c r="E78" s="1540">
        <f t="shared" si="4"/>
        <v>0</v>
      </c>
      <c r="F78" s="1892">
        <f t="shared" si="1"/>
        <v>0</v>
      </c>
      <c r="G78" s="1793">
        <f t="shared" si="5"/>
        <v>0</v>
      </c>
    </row>
    <row r="79" spans="1:7" x14ac:dyDescent="0.25">
      <c r="A79" s="1653"/>
      <c r="B79" s="1667"/>
      <c r="C79" s="1654"/>
      <c r="D79" s="1844"/>
      <c r="E79" s="1540">
        <f t="shared" si="4"/>
        <v>0</v>
      </c>
      <c r="F79" s="1892">
        <f t="shared" si="1"/>
        <v>0</v>
      </c>
      <c r="G79" s="1793">
        <f t="shared" si="5"/>
        <v>0</v>
      </c>
    </row>
    <row r="80" spans="1:7" x14ac:dyDescent="0.25">
      <c r="A80" s="1653"/>
      <c r="B80" s="1667"/>
      <c r="C80" s="1654"/>
      <c r="D80" s="1844"/>
      <c r="E80" s="1540">
        <f t="shared" si="4"/>
        <v>0</v>
      </c>
      <c r="F80" s="1892">
        <f t="shared" si="1"/>
        <v>0</v>
      </c>
      <c r="G80" s="1793">
        <f t="shared" si="5"/>
        <v>0</v>
      </c>
    </row>
    <row r="81" spans="1:7" x14ac:dyDescent="0.25">
      <c r="A81" s="1653"/>
      <c r="B81" s="1667"/>
      <c r="C81" s="1654"/>
      <c r="D81" s="1844"/>
      <c r="E81" s="1540">
        <f t="shared" si="4"/>
        <v>0</v>
      </c>
      <c r="F81" s="189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892">
        <f t="shared" si="6"/>
        <v>0</v>
      </c>
      <c r="G82" s="1793">
        <f t="shared" si="5"/>
        <v>0</v>
      </c>
    </row>
    <row r="83" spans="1:7" x14ac:dyDescent="0.25">
      <c r="A83" s="1653"/>
      <c r="B83" s="1667"/>
      <c r="C83" s="1654"/>
      <c r="D83" s="1844"/>
      <c r="E83" s="1540">
        <f t="shared" si="4"/>
        <v>0</v>
      </c>
      <c r="F83" s="1892">
        <f t="shared" si="6"/>
        <v>0</v>
      </c>
      <c r="G83" s="1793">
        <f t="shared" si="5"/>
        <v>0</v>
      </c>
    </row>
    <row r="84" spans="1:7" x14ac:dyDescent="0.25">
      <c r="A84" s="1653"/>
      <c r="B84" s="1667"/>
      <c r="C84" s="1654"/>
      <c r="D84" s="1844"/>
      <c r="E84" s="1540">
        <f t="shared" si="4"/>
        <v>0</v>
      </c>
      <c r="F84" s="1892">
        <f t="shared" si="6"/>
        <v>0</v>
      </c>
      <c r="G84" s="1793">
        <f t="shared" si="5"/>
        <v>0</v>
      </c>
    </row>
    <row r="85" spans="1:7" x14ac:dyDescent="0.25">
      <c r="A85" s="1653"/>
      <c r="B85" s="1667"/>
      <c r="C85" s="1654"/>
      <c r="D85" s="1844"/>
      <c r="E85" s="1540">
        <f t="shared" si="2"/>
        <v>0</v>
      </c>
      <c r="F85" s="1892">
        <f t="shared" si="6"/>
        <v>0</v>
      </c>
      <c r="G85" s="1793">
        <f t="shared" si="3"/>
        <v>0</v>
      </c>
    </row>
    <row r="86" spans="1:7" x14ac:dyDescent="0.25">
      <c r="A86" s="1653"/>
      <c r="B86" s="1667"/>
      <c r="C86" s="1654"/>
      <c r="D86" s="1844"/>
      <c r="E86" s="1540">
        <f t="shared" si="2"/>
        <v>0</v>
      </c>
      <c r="F86" s="1892">
        <f t="shared" si="6"/>
        <v>0</v>
      </c>
      <c r="G86" s="1793">
        <f t="shared" si="3"/>
        <v>0</v>
      </c>
    </row>
    <row r="87" spans="1:7" x14ac:dyDescent="0.25">
      <c r="A87" s="1653"/>
      <c r="B87" s="1667"/>
      <c r="C87" s="1654"/>
      <c r="D87" s="1844"/>
      <c r="E87" s="1540">
        <f t="shared" si="2"/>
        <v>0</v>
      </c>
      <c r="F87" s="1892">
        <f t="shared" si="6"/>
        <v>0</v>
      </c>
      <c r="G87" s="1793">
        <f t="shared" si="3"/>
        <v>0</v>
      </c>
    </row>
    <row r="88" spans="1:7" x14ac:dyDescent="0.25">
      <c r="A88" s="1653"/>
      <c r="B88" s="1667"/>
      <c r="C88" s="1654"/>
      <c r="D88" s="1844"/>
      <c r="E88" s="1540">
        <f t="shared" si="2"/>
        <v>0</v>
      </c>
      <c r="F88" s="1892">
        <f t="shared" si="6"/>
        <v>0</v>
      </c>
      <c r="G88" s="1793">
        <f t="shared" si="3"/>
        <v>0</v>
      </c>
    </row>
    <row r="89" spans="1:7" x14ac:dyDescent="0.25">
      <c r="A89" s="1653"/>
      <c r="B89" s="1667"/>
      <c r="C89" s="1654"/>
      <c r="D89" s="1844"/>
      <c r="E89" s="1540">
        <f t="shared" si="2"/>
        <v>0</v>
      </c>
      <c r="F89" s="1892">
        <f t="shared" si="6"/>
        <v>0</v>
      </c>
      <c r="G89" s="1793">
        <f t="shared" si="3"/>
        <v>0</v>
      </c>
    </row>
    <row r="90" spans="1:7" x14ac:dyDescent="0.25">
      <c r="A90" s="1653"/>
      <c r="B90" s="1667"/>
      <c r="C90" s="1654"/>
      <c r="D90" s="1844"/>
      <c r="E90" s="1540">
        <f t="shared" si="2"/>
        <v>0</v>
      </c>
      <c r="F90" s="1892">
        <f t="shared" si="6"/>
        <v>0</v>
      </c>
      <c r="G90" s="1793">
        <f t="shared" si="3"/>
        <v>0</v>
      </c>
    </row>
    <row r="91" spans="1:7" x14ac:dyDescent="0.25">
      <c r="A91" s="1653"/>
      <c r="B91" s="1667"/>
      <c r="C91" s="1654"/>
      <c r="D91" s="1844"/>
      <c r="E91" s="1540">
        <f t="shared" si="2"/>
        <v>0</v>
      </c>
      <c r="F91" s="1892">
        <f t="shared" si="6"/>
        <v>0</v>
      </c>
      <c r="G91" s="1793">
        <f t="shared" si="3"/>
        <v>0</v>
      </c>
    </row>
    <row r="92" spans="1:7" x14ac:dyDescent="0.25">
      <c r="A92" s="1653"/>
      <c r="B92" s="1667"/>
      <c r="C92" s="1654"/>
      <c r="D92" s="1844"/>
      <c r="E92" s="1540">
        <f t="shared" si="2"/>
        <v>0</v>
      </c>
      <c r="F92" s="1892">
        <f t="shared" si="6"/>
        <v>0</v>
      </c>
      <c r="G92" s="1793">
        <f t="shared" si="3"/>
        <v>0</v>
      </c>
    </row>
    <row r="93" spans="1:7" x14ac:dyDescent="0.25">
      <c r="A93" s="1653"/>
      <c r="B93" s="1667"/>
      <c r="C93" s="1654"/>
      <c r="D93" s="1844"/>
      <c r="E93" s="1540">
        <f t="shared" ref="E93" si="7">IF(D93&lt;=25000,D93,IF(D93&gt;25000,25000,0))</f>
        <v>0</v>
      </c>
      <c r="F93" s="1892">
        <f t="shared" si="6"/>
        <v>0</v>
      </c>
      <c r="G93" s="1793">
        <f t="shared" ref="G93" si="8">IF(F93=0,0,D93-F93)</f>
        <v>0</v>
      </c>
    </row>
    <row r="94" spans="1:7" x14ac:dyDescent="0.25">
      <c r="A94" s="1653"/>
      <c r="B94" s="1667"/>
      <c r="C94" s="1654"/>
      <c r="D94" s="1844"/>
      <c r="E94" s="1540">
        <f t="shared" si="2"/>
        <v>0</v>
      </c>
      <c r="F94" s="1892">
        <f t="shared" si="6"/>
        <v>0</v>
      </c>
      <c r="G94" s="1793">
        <f t="shared" si="3"/>
        <v>0</v>
      </c>
    </row>
    <row r="95" spans="1:7" x14ac:dyDescent="0.25">
      <c r="A95" s="1653"/>
      <c r="B95" s="1667"/>
      <c r="C95" s="1654"/>
      <c r="D95" s="1844"/>
      <c r="E95" s="1540">
        <f t="shared" ref="E95:E98" si="9">IF(D95&lt;=25000,D95,IF(D95&gt;25000,25000,0))</f>
        <v>0</v>
      </c>
      <c r="F95" s="1892">
        <f t="shared" si="6"/>
        <v>0</v>
      </c>
      <c r="G95" s="1793">
        <f t="shared" ref="G95:G98" si="10">IF(F95=0,0,D95-F95)</f>
        <v>0</v>
      </c>
    </row>
    <row r="96" spans="1:7" x14ac:dyDescent="0.25">
      <c r="A96" s="1653"/>
      <c r="B96" s="1667"/>
      <c r="C96" s="1654"/>
      <c r="D96" s="1844"/>
      <c r="E96" s="1540">
        <f t="shared" si="9"/>
        <v>0</v>
      </c>
      <c r="F96" s="1892">
        <f t="shared" si="6"/>
        <v>0</v>
      </c>
      <c r="G96" s="1793">
        <f t="shared" si="10"/>
        <v>0</v>
      </c>
    </row>
    <row r="97" spans="1:7" x14ac:dyDescent="0.25">
      <c r="A97" s="1653"/>
      <c r="B97" s="1667"/>
      <c r="C97" s="1654"/>
      <c r="D97" s="1844"/>
      <c r="E97" s="1540">
        <f t="shared" si="9"/>
        <v>0</v>
      </c>
      <c r="F97" s="1892">
        <f t="shared" si="6"/>
        <v>0</v>
      </c>
      <c r="G97" s="1793">
        <f t="shared" si="10"/>
        <v>0</v>
      </c>
    </row>
    <row r="98" spans="1:7" x14ac:dyDescent="0.25">
      <c r="A98" s="1653"/>
      <c r="B98" s="1667"/>
      <c r="C98" s="1654"/>
      <c r="D98" s="1844"/>
      <c r="E98" s="1540">
        <f t="shared" si="9"/>
        <v>0</v>
      </c>
      <c r="F98" s="1892">
        <f t="shared" si="6"/>
        <v>0</v>
      </c>
      <c r="G98" s="1793">
        <f t="shared" si="10"/>
        <v>0</v>
      </c>
    </row>
    <row r="99" spans="1:7" x14ac:dyDescent="0.25">
      <c r="A99" s="1653"/>
      <c r="B99" s="1667"/>
      <c r="C99" s="1654"/>
      <c r="D99" s="1844"/>
      <c r="E99" s="1540">
        <f t="shared" ref="E99" si="11">IF(D99&lt;=25000,D99,IF(D99&gt;25000,25000,0))</f>
        <v>0</v>
      </c>
      <c r="F99" s="1892">
        <f t="shared" si="6"/>
        <v>0</v>
      </c>
      <c r="G99" s="1793">
        <f t="shared" ref="G99" si="12">IF(F99=0,0,D99-F99)</f>
        <v>0</v>
      </c>
    </row>
    <row r="100" spans="1:7" x14ac:dyDescent="0.25">
      <c r="A100" s="1653"/>
      <c r="B100" s="1667"/>
      <c r="C100" s="1654"/>
      <c r="D100" s="1844"/>
      <c r="E100" s="1540">
        <f t="shared" ref="E100:E112" si="13">IF(D100&lt;=25000,D100,IF(D100&gt;25000,25000,0))</f>
        <v>0</v>
      </c>
      <c r="F100" s="1892">
        <f t="shared" si="6"/>
        <v>0</v>
      </c>
      <c r="G100" s="1793">
        <f t="shared" ref="G100:G112" si="14">IF(F100=0,0,D100-F100)</f>
        <v>0</v>
      </c>
    </row>
    <row r="101" spans="1:7" x14ac:dyDescent="0.25">
      <c r="A101" s="1653"/>
      <c r="B101" s="1667"/>
      <c r="C101" s="1654"/>
      <c r="D101" s="1844"/>
      <c r="E101" s="1540">
        <f t="shared" si="13"/>
        <v>0</v>
      </c>
      <c r="F101" s="1892">
        <f t="shared" si="6"/>
        <v>0</v>
      </c>
      <c r="G101" s="1793">
        <f t="shared" si="14"/>
        <v>0</v>
      </c>
    </row>
    <row r="102" spans="1:7" x14ac:dyDescent="0.25">
      <c r="A102" s="1653"/>
      <c r="B102" s="1667"/>
      <c r="C102" s="1654"/>
      <c r="D102" s="1844"/>
      <c r="E102" s="1540">
        <f t="shared" si="13"/>
        <v>0</v>
      </c>
      <c r="F102" s="1892">
        <f t="shared" si="6"/>
        <v>0</v>
      </c>
      <c r="G102" s="1793">
        <f t="shared" si="14"/>
        <v>0</v>
      </c>
    </row>
    <row r="103" spans="1:7" x14ac:dyDescent="0.25">
      <c r="A103" s="1653"/>
      <c r="B103" s="1667"/>
      <c r="C103" s="1654"/>
      <c r="D103" s="1844"/>
      <c r="E103" s="1540">
        <f t="shared" si="13"/>
        <v>0</v>
      </c>
      <c r="F103" s="1892">
        <f t="shared" si="6"/>
        <v>0</v>
      </c>
      <c r="G103" s="1793">
        <f t="shared" si="14"/>
        <v>0</v>
      </c>
    </row>
    <row r="104" spans="1:7" x14ac:dyDescent="0.25">
      <c r="A104" s="1653"/>
      <c r="B104" s="1667"/>
      <c r="C104" s="1654"/>
      <c r="D104" s="1844"/>
      <c r="E104" s="1540">
        <f t="shared" si="13"/>
        <v>0</v>
      </c>
      <c r="F104" s="1892">
        <f t="shared" si="6"/>
        <v>0</v>
      </c>
      <c r="G104" s="1793">
        <f t="shared" si="14"/>
        <v>0</v>
      </c>
    </row>
    <row r="105" spans="1:7" x14ac:dyDescent="0.25">
      <c r="A105" s="1653"/>
      <c r="B105" s="1667"/>
      <c r="C105" s="1654"/>
      <c r="D105" s="1844"/>
      <c r="E105" s="1540">
        <f t="shared" si="13"/>
        <v>0</v>
      </c>
      <c r="F105" s="1892">
        <f t="shared" si="6"/>
        <v>0</v>
      </c>
      <c r="G105" s="1793">
        <f t="shared" si="14"/>
        <v>0</v>
      </c>
    </row>
    <row r="106" spans="1:7" x14ac:dyDescent="0.25">
      <c r="A106" s="1653"/>
      <c r="B106" s="1667"/>
      <c r="C106" s="1654"/>
      <c r="D106" s="1844"/>
      <c r="E106" s="1540">
        <f t="shared" si="13"/>
        <v>0</v>
      </c>
      <c r="F106" s="1892">
        <f t="shared" si="6"/>
        <v>0</v>
      </c>
      <c r="G106" s="1793">
        <f t="shared" si="14"/>
        <v>0</v>
      </c>
    </row>
    <row r="107" spans="1:7" x14ac:dyDescent="0.25">
      <c r="A107" s="1653"/>
      <c r="B107" s="1667"/>
      <c r="C107" s="1654"/>
      <c r="D107" s="1844"/>
      <c r="E107" s="1540">
        <f t="shared" si="13"/>
        <v>0</v>
      </c>
      <c r="F107" s="1892">
        <f t="shared" si="6"/>
        <v>0</v>
      </c>
      <c r="G107" s="1793">
        <f t="shared" si="14"/>
        <v>0</v>
      </c>
    </row>
    <row r="108" spans="1:7" x14ac:dyDescent="0.25">
      <c r="A108" s="1653"/>
      <c r="B108" s="1667"/>
      <c r="C108" s="1654"/>
      <c r="D108" s="1844"/>
      <c r="E108" s="1540">
        <f t="shared" si="13"/>
        <v>0</v>
      </c>
      <c r="F108" s="1892">
        <f t="shared" si="6"/>
        <v>0</v>
      </c>
      <c r="G108" s="1793">
        <f t="shared" si="14"/>
        <v>0</v>
      </c>
    </row>
    <row r="109" spans="1:7" x14ac:dyDescent="0.25">
      <c r="A109" s="1653"/>
      <c r="B109" s="1667"/>
      <c r="C109" s="1654"/>
      <c r="D109" s="1844"/>
      <c r="E109" s="1540">
        <f t="shared" si="13"/>
        <v>0</v>
      </c>
      <c r="F109" s="1892">
        <f t="shared" si="6"/>
        <v>0</v>
      </c>
      <c r="G109" s="1793">
        <f t="shared" si="14"/>
        <v>0</v>
      </c>
    </row>
    <row r="110" spans="1:7" x14ac:dyDescent="0.25">
      <c r="A110" s="1653"/>
      <c r="B110" s="1667"/>
      <c r="C110" s="1654"/>
      <c r="D110" s="1844"/>
      <c r="E110" s="1540">
        <f t="shared" si="13"/>
        <v>0</v>
      </c>
      <c r="F110" s="1892">
        <f t="shared" si="6"/>
        <v>0</v>
      </c>
      <c r="G110" s="1793">
        <f t="shared" si="14"/>
        <v>0</v>
      </c>
    </row>
    <row r="111" spans="1:7" x14ac:dyDescent="0.25">
      <c r="A111" s="1653"/>
      <c r="B111" s="1667"/>
      <c r="C111" s="1654"/>
      <c r="D111" s="1844"/>
      <c r="E111" s="1540">
        <f t="shared" si="13"/>
        <v>0</v>
      </c>
      <c r="F111" s="1892">
        <f t="shared" si="6"/>
        <v>0</v>
      </c>
      <c r="G111" s="1793">
        <f t="shared" si="14"/>
        <v>0</v>
      </c>
    </row>
    <row r="112" spans="1:7" x14ac:dyDescent="0.25">
      <c r="A112" s="1653"/>
      <c r="B112" s="1667"/>
      <c r="C112" s="1654"/>
      <c r="D112" s="1844"/>
      <c r="E112" s="1540">
        <f t="shared" si="13"/>
        <v>0</v>
      </c>
      <c r="F112" s="1892">
        <f t="shared" si="6"/>
        <v>0</v>
      </c>
      <c r="G112" s="1793">
        <f t="shared" si="14"/>
        <v>0</v>
      </c>
    </row>
    <row r="113" spans="1:7" x14ac:dyDescent="0.25">
      <c r="A113" s="1653"/>
      <c r="B113" s="1667"/>
      <c r="C113" s="1654"/>
      <c r="D113" s="1844"/>
      <c r="E113" s="1540">
        <f t="shared" ref="E113:E125" si="15">IF(D113&lt;=25000,D113,IF(D113&gt;25000,25000,0))</f>
        <v>0</v>
      </c>
      <c r="F113" s="1892">
        <f t="shared" si="6"/>
        <v>0</v>
      </c>
      <c r="G113" s="1793">
        <f t="shared" ref="G113:G125" si="16">IF(F113=0,0,D113-F113)</f>
        <v>0</v>
      </c>
    </row>
    <row r="114" spans="1:7" x14ac:dyDescent="0.25">
      <c r="A114" s="1653"/>
      <c r="B114" s="1667"/>
      <c r="C114" s="1654"/>
      <c r="D114" s="1844"/>
      <c r="E114" s="1540">
        <f t="shared" si="15"/>
        <v>0</v>
      </c>
      <c r="F114" s="1892">
        <f t="shared" si="6"/>
        <v>0</v>
      </c>
      <c r="G114" s="1793">
        <f t="shared" si="16"/>
        <v>0</v>
      </c>
    </row>
    <row r="115" spans="1:7" x14ac:dyDescent="0.25">
      <c r="A115" s="1653"/>
      <c r="B115" s="1667"/>
      <c r="C115" s="1654"/>
      <c r="D115" s="1844"/>
      <c r="E115" s="1540">
        <f t="shared" si="15"/>
        <v>0</v>
      </c>
      <c r="F115" s="1892">
        <f t="shared" si="6"/>
        <v>0</v>
      </c>
      <c r="G115" s="1793">
        <f t="shared" si="16"/>
        <v>0</v>
      </c>
    </row>
    <row r="116" spans="1:7" x14ac:dyDescent="0.25">
      <c r="A116" s="1653"/>
      <c r="B116" s="1667"/>
      <c r="C116" s="1654"/>
      <c r="D116" s="1844"/>
      <c r="E116" s="1540">
        <f t="shared" si="15"/>
        <v>0</v>
      </c>
      <c r="F116" s="1892">
        <f t="shared" si="6"/>
        <v>0</v>
      </c>
      <c r="G116" s="1793">
        <f t="shared" si="16"/>
        <v>0</v>
      </c>
    </row>
    <row r="117" spans="1:7" x14ac:dyDescent="0.25">
      <c r="A117" s="1653"/>
      <c r="B117" s="1667"/>
      <c r="C117" s="1654"/>
      <c r="D117" s="1844"/>
      <c r="E117" s="1540">
        <f t="shared" si="15"/>
        <v>0</v>
      </c>
      <c r="F117" s="1892">
        <f t="shared" si="6"/>
        <v>0</v>
      </c>
      <c r="G117" s="1793">
        <f t="shared" si="16"/>
        <v>0</v>
      </c>
    </row>
    <row r="118" spans="1:7" x14ac:dyDescent="0.25">
      <c r="A118" s="1653"/>
      <c r="B118" s="1667"/>
      <c r="C118" s="1654"/>
      <c r="D118" s="1844"/>
      <c r="E118" s="1540">
        <f t="shared" si="15"/>
        <v>0</v>
      </c>
      <c r="F118" s="1892">
        <f t="shared" si="6"/>
        <v>0</v>
      </c>
      <c r="G118" s="1793">
        <f t="shared" si="16"/>
        <v>0</v>
      </c>
    </row>
    <row r="119" spans="1:7" x14ac:dyDescent="0.25">
      <c r="A119" s="1653"/>
      <c r="B119" s="1667"/>
      <c r="C119" s="1654"/>
      <c r="D119" s="1844"/>
      <c r="E119" s="1540">
        <f t="shared" si="15"/>
        <v>0</v>
      </c>
      <c r="F119" s="1892">
        <f t="shared" si="6"/>
        <v>0</v>
      </c>
      <c r="G119" s="1793">
        <f t="shared" si="16"/>
        <v>0</v>
      </c>
    </row>
    <row r="120" spans="1:7" x14ac:dyDescent="0.25">
      <c r="A120" s="1653"/>
      <c r="B120" s="1667"/>
      <c r="C120" s="1654"/>
      <c r="D120" s="1844"/>
      <c r="E120" s="1540">
        <f t="shared" si="15"/>
        <v>0</v>
      </c>
      <c r="F120" s="1892">
        <f t="shared" si="6"/>
        <v>0</v>
      </c>
      <c r="G120" s="1793">
        <f t="shared" si="16"/>
        <v>0</v>
      </c>
    </row>
    <row r="121" spans="1:7" x14ac:dyDescent="0.25">
      <c r="A121" s="1653"/>
      <c r="B121" s="1667"/>
      <c r="C121" s="1654"/>
      <c r="D121" s="1844"/>
      <c r="E121" s="1540">
        <f t="shared" si="15"/>
        <v>0</v>
      </c>
      <c r="F121" s="1892">
        <f t="shared" si="6"/>
        <v>0</v>
      </c>
      <c r="G121" s="1793">
        <f t="shared" si="16"/>
        <v>0</v>
      </c>
    </row>
    <row r="122" spans="1:7" x14ac:dyDescent="0.25">
      <c r="A122" s="1653"/>
      <c r="B122" s="1667"/>
      <c r="C122" s="1654"/>
      <c r="D122" s="1844"/>
      <c r="E122" s="1540">
        <f t="shared" si="15"/>
        <v>0</v>
      </c>
      <c r="F122" s="1892">
        <f t="shared" si="6"/>
        <v>0</v>
      </c>
      <c r="G122" s="1793">
        <f t="shared" si="16"/>
        <v>0</v>
      </c>
    </row>
    <row r="123" spans="1:7" x14ac:dyDescent="0.25">
      <c r="A123" s="1653"/>
      <c r="B123" s="1667"/>
      <c r="C123" s="1654"/>
      <c r="D123" s="1844"/>
      <c r="E123" s="1540">
        <f t="shared" si="15"/>
        <v>0</v>
      </c>
      <c r="F123" s="1892">
        <f t="shared" si="6"/>
        <v>0</v>
      </c>
      <c r="G123" s="1793">
        <f t="shared" si="16"/>
        <v>0</v>
      </c>
    </row>
    <row r="124" spans="1:7" x14ac:dyDescent="0.25">
      <c r="A124" s="1653"/>
      <c r="B124" s="1667"/>
      <c r="C124" s="1654"/>
      <c r="D124" s="1844"/>
      <c r="E124" s="1540">
        <f t="shared" si="15"/>
        <v>0</v>
      </c>
      <c r="F124" s="1892">
        <f t="shared" si="6"/>
        <v>0</v>
      </c>
      <c r="G124" s="1793">
        <f t="shared" si="16"/>
        <v>0</v>
      </c>
    </row>
    <row r="125" spans="1:7" x14ac:dyDescent="0.25">
      <c r="A125" s="1653"/>
      <c r="B125" s="1667"/>
      <c r="C125" s="1654"/>
      <c r="D125" s="1844"/>
      <c r="E125" s="1540">
        <f t="shared" si="15"/>
        <v>0</v>
      </c>
      <c r="F125" s="1892">
        <f t="shared" si="6"/>
        <v>0</v>
      </c>
      <c r="G125" s="1793">
        <f t="shared" si="16"/>
        <v>0</v>
      </c>
    </row>
    <row r="126" spans="1:7" x14ac:dyDescent="0.25">
      <c r="A126" s="1653"/>
      <c r="B126" s="1667"/>
      <c r="C126" s="1654"/>
      <c r="D126" s="1844"/>
      <c r="E126" s="1540">
        <f t="shared" ref="E126:E134" si="17">IF(D126&lt;=25000,D126,IF(D126&gt;25000,25000,0))</f>
        <v>0</v>
      </c>
      <c r="F126" s="1892">
        <f t="shared" si="6"/>
        <v>0</v>
      </c>
      <c r="G126" s="1793">
        <f t="shared" ref="G126:G134" si="18">IF(F126=0,0,D126-F126)</f>
        <v>0</v>
      </c>
    </row>
    <row r="127" spans="1:7" x14ac:dyDescent="0.25">
      <c r="A127" s="1653"/>
      <c r="B127" s="1667"/>
      <c r="C127" s="1654"/>
      <c r="D127" s="1844"/>
      <c r="E127" s="1540">
        <f t="shared" si="17"/>
        <v>0</v>
      </c>
      <c r="F127" s="1892">
        <f t="shared" si="6"/>
        <v>0</v>
      </c>
      <c r="G127" s="1793">
        <f t="shared" si="18"/>
        <v>0</v>
      </c>
    </row>
    <row r="128" spans="1:7" x14ac:dyDescent="0.25">
      <c r="A128" s="1653"/>
      <c r="B128" s="1667"/>
      <c r="C128" s="1654"/>
      <c r="D128" s="1844"/>
      <c r="E128" s="1540">
        <f t="shared" si="17"/>
        <v>0</v>
      </c>
      <c r="F128" s="1892">
        <f t="shared" si="6"/>
        <v>0</v>
      </c>
      <c r="G128" s="1793">
        <f t="shared" si="18"/>
        <v>0</v>
      </c>
    </row>
    <row r="129" spans="1:7" x14ac:dyDescent="0.25">
      <c r="A129" s="1653"/>
      <c r="B129" s="1667"/>
      <c r="C129" s="1654"/>
      <c r="D129" s="1844"/>
      <c r="E129" s="1540">
        <f t="shared" si="17"/>
        <v>0</v>
      </c>
      <c r="F129" s="1892">
        <f t="shared" si="6"/>
        <v>0</v>
      </c>
      <c r="G129" s="1793">
        <f t="shared" si="18"/>
        <v>0</v>
      </c>
    </row>
    <row r="130" spans="1:7" x14ac:dyDescent="0.25">
      <c r="A130" s="1653"/>
      <c r="B130" s="1667"/>
      <c r="C130" s="1654"/>
      <c r="D130" s="1844"/>
      <c r="E130" s="1540">
        <f t="shared" si="17"/>
        <v>0</v>
      </c>
      <c r="F130" s="1892">
        <f t="shared" si="6"/>
        <v>0</v>
      </c>
      <c r="G130" s="1793">
        <f t="shared" si="18"/>
        <v>0</v>
      </c>
    </row>
    <row r="131" spans="1:7" x14ac:dyDescent="0.25">
      <c r="A131" s="1653"/>
      <c r="B131" s="1837"/>
      <c r="C131" s="1654"/>
      <c r="D131" s="1844"/>
      <c r="E131" s="1540">
        <f t="shared" si="17"/>
        <v>0</v>
      </c>
      <c r="F131" s="1892">
        <f t="shared" si="6"/>
        <v>0</v>
      </c>
      <c r="G131" s="1793">
        <f t="shared" si="18"/>
        <v>0</v>
      </c>
    </row>
    <row r="132" spans="1:7" x14ac:dyDescent="0.25">
      <c r="A132" s="1653"/>
      <c r="B132" s="1837"/>
      <c r="C132" s="1654"/>
      <c r="D132" s="1844"/>
      <c r="E132" s="1540">
        <f t="shared" si="17"/>
        <v>0</v>
      </c>
      <c r="F132" s="1892">
        <f t="shared" si="6"/>
        <v>0</v>
      </c>
      <c r="G132" s="1793">
        <f t="shared" si="18"/>
        <v>0</v>
      </c>
    </row>
    <row r="133" spans="1:7" x14ac:dyDescent="0.25">
      <c r="A133" s="1653"/>
      <c r="B133" s="1667"/>
      <c r="C133" s="1654"/>
      <c r="D133" s="1844"/>
      <c r="E133" s="1540">
        <f t="shared" si="17"/>
        <v>0</v>
      </c>
      <c r="F133" s="1892">
        <f t="shared" si="6"/>
        <v>0</v>
      </c>
      <c r="G133" s="1793">
        <f t="shared" si="18"/>
        <v>0</v>
      </c>
    </row>
    <row r="134" spans="1:7" x14ac:dyDescent="0.25">
      <c r="A134" s="1653"/>
      <c r="B134" s="1667"/>
      <c r="C134" s="1654"/>
      <c r="D134" s="1844"/>
      <c r="E134" s="1540">
        <f t="shared" si="17"/>
        <v>0</v>
      </c>
      <c r="F134" s="1892">
        <f t="shared" si="6"/>
        <v>0</v>
      </c>
      <c r="G134" s="1793">
        <f t="shared" si="18"/>
        <v>0</v>
      </c>
    </row>
    <row r="135" spans="1:7" x14ac:dyDescent="0.25">
      <c r="A135" s="1653"/>
      <c r="B135" s="1667"/>
      <c r="C135" s="1654"/>
      <c r="D135" s="1844"/>
      <c r="E135" s="1540">
        <f t="shared" ref="E135:E139" si="19">IF(D135&lt;=25000,D135,IF(D135&gt;25000,25000,0))</f>
        <v>0</v>
      </c>
      <c r="F135" s="1892">
        <f t="shared" si="6"/>
        <v>0</v>
      </c>
      <c r="G135" s="1793">
        <f t="shared" ref="G135:G139" si="20">IF(F135=0,0,D135-F135)</f>
        <v>0</v>
      </c>
    </row>
    <row r="136" spans="1:7" x14ac:dyDescent="0.25">
      <c r="A136" s="1653"/>
      <c r="B136" s="1667"/>
      <c r="C136" s="1654"/>
      <c r="D136" s="1844"/>
      <c r="E136" s="1540">
        <f t="shared" si="19"/>
        <v>0</v>
      </c>
      <c r="F136" s="1892">
        <f t="shared" si="6"/>
        <v>0</v>
      </c>
      <c r="G136" s="1793">
        <f t="shared" si="20"/>
        <v>0</v>
      </c>
    </row>
    <row r="137" spans="1:7" x14ac:dyDescent="0.25">
      <c r="A137" s="1653"/>
      <c r="B137" s="1667"/>
      <c r="C137" s="1654"/>
      <c r="D137" s="1844"/>
      <c r="E137" s="1540">
        <f t="shared" si="19"/>
        <v>0</v>
      </c>
      <c r="F137" s="1892">
        <f t="shared" si="6"/>
        <v>0</v>
      </c>
      <c r="G137" s="1793">
        <f t="shared" si="20"/>
        <v>0</v>
      </c>
    </row>
    <row r="138" spans="1:7" x14ac:dyDescent="0.25">
      <c r="A138" s="1653"/>
      <c r="B138" s="1667"/>
      <c r="C138" s="1654"/>
      <c r="D138" s="1844"/>
      <c r="E138" s="1540">
        <f t="shared" si="19"/>
        <v>0</v>
      </c>
      <c r="F138" s="1892">
        <f t="shared" si="6"/>
        <v>0</v>
      </c>
      <c r="G138" s="1793">
        <f t="shared" si="20"/>
        <v>0</v>
      </c>
    </row>
    <row r="139" spans="1:7" x14ac:dyDescent="0.25">
      <c r="A139" s="1653"/>
      <c r="B139" s="1667"/>
      <c r="C139" s="1654"/>
      <c r="D139" s="1844"/>
      <c r="E139" s="1540">
        <f t="shared" si="19"/>
        <v>0</v>
      </c>
      <c r="F139" s="1892">
        <f t="shared" si="6"/>
        <v>0</v>
      </c>
      <c r="G139" s="1793">
        <f t="shared" si="20"/>
        <v>0</v>
      </c>
    </row>
    <row r="140" spans="1:7" x14ac:dyDescent="0.25">
      <c r="A140" s="1653"/>
      <c r="B140" s="1666"/>
      <c r="C140" s="1654"/>
      <c r="D140" s="1844"/>
      <c r="E140" s="1540">
        <f t="shared" si="2"/>
        <v>0</v>
      </c>
      <c r="F140" s="1892">
        <f t="shared" si="6"/>
        <v>0</v>
      </c>
      <c r="G140" s="1793">
        <f t="shared" si="3"/>
        <v>0</v>
      </c>
    </row>
    <row r="141" spans="1:7" x14ac:dyDescent="0.25">
      <c r="A141" s="1796" t="s">
        <v>156</v>
      </c>
      <c r="B141" s="1797"/>
      <c r="C141" s="1798"/>
      <c r="D141" s="1794">
        <f>SUM(D17:D140)</f>
        <v>0</v>
      </c>
      <c r="E141" s="1541">
        <f t="shared" si="0"/>
        <v>0</v>
      </c>
      <c r="F141" s="1893">
        <f>SUM(F17:F140)</f>
        <v>0</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H202"/>
  <sheetViews>
    <sheetView showGridLines="0" defaultGridColor="0" colorId="8" zoomScale="110" zoomScaleNormal="110" workbookViewId="0">
      <pane ySplit="5" topLeftCell="A132" activePane="bottomLeft" state="frozen"/>
      <selection activeCell="X29" sqref="X29"/>
      <selection pane="bottomLeft" activeCell="I79" sqref="I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34" t="s">
        <v>1938</v>
      </c>
      <c r="B1" s="2235"/>
      <c r="C1" s="2235"/>
      <c r="D1" s="2235"/>
      <c r="E1" s="2235"/>
      <c r="F1" s="2236"/>
      <c r="G1" s="855"/>
    </row>
    <row r="2" spans="1:7" ht="15" customHeight="1" thickBot="1" x14ac:dyDescent="0.25">
      <c r="A2" s="2237" t="s">
        <v>477</v>
      </c>
      <c r="B2" s="2238"/>
      <c r="C2" s="2238"/>
      <c r="D2" s="2238"/>
      <c r="E2" s="2238"/>
      <c r="F2" s="2239"/>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40"/>
      <c r="B5" s="2241"/>
      <c r="C5" s="2241"/>
      <c r="D5" s="2241"/>
      <c r="E5" s="2241"/>
      <c r="F5" s="2241"/>
    </row>
    <row r="6" spans="1:7" ht="13.5" customHeight="1" thickBot="1" x14ac:dyDescent="0.25">
      <c r="A6" s="2231" t="s">
        <v>1104</v>
      </c>
      <c r="B6" s="2232"/>
      <c r="C6" s="2232"/>
      <c r="D6" s="2232"/>
      <c r="E6" s="2232"/>
      <c r="F6" s="2233"/>
      <c r="G6" s="865"/>
    </row>
    <row r="7" spans="1:7" s="865" customFormat="1" ht="12" thickTop="1" x14ac:dyDescent="0.2">
      <c r="A7" s="866" t="s">
        <v>502</v>
      </c>
      <c r="B7" s="867"/>
      <c r="C7" s="868"/>
      <c r="D7" s="867"/>
      <c r="E7" s="868"/>
      <c r="F7" s="867"/>
    </row>
    <row r="8" spans="1:7" x14ac:dyDescent="0.2">
      <c r="A8" s="869" t="s">
        <v>459</v>
      </c>
      <c r="B8" s="870" t="s">
        <v>1454</v>
      </c>
      <c r="C8" s="871"/>
      <c r="D8" s="869" t="s">
        <v>501</v>
      </c>
      <c r="E8" s="868" t="s">
        <v>958</v>
      </c>
      <c r="F8" s="1868">
        <f>'Expenditures 15-22'!K114</f>
        <v>4194541</v>
      </c>
      <c r="G8" s="865"/>
    </row>
    <row r="9" spans="1:7" x14ac:dyDescent="0.2">
      <c r="A9" s="869" t="s">
        <v>460</v>
      </c>
      <c r="B9" s="870" t="s">
        <v>1842</v>
      </c>
      <c r="C9" s="871"/>
      <c r="D9" s="869" t="s">
        <v>501</v>
      </c>
      <c r="E9" s="868"/>
      <c r="F9" s="1869">
        <f>'Expenditures 15-22'!K151</f>
        <v>426669</v>
      </c>
      <c r="G9" s="872"/>
    </row>
    <row r="10" spans="1:7" x14ac:dyDescent="0.2">
      <c r="A10" s="869" t="s">
        <v>499</v>
      </c>
      <c r="B10" s="870" t="s">
        <v>1843</v>
      </c>
      <c r="C10" s="871"/>
      <c r="D10" s="869" t="s">
        <v>501</v>
      </c>
      <c r="E10" s="868"/>
      <c r="F10" s="1869">
        <f>'Expenditures 15-22'!K174</f>
        <v>213005</v>
      </c>
      <c r="G10" s="872"/>
    </row>
    <row r="11" spans="1:7" x14ac:dyDescent="0.2">
      <c r="A11" s="869" t="s">
        <v>461</v>
      </c>
      <c r="B11" s="870" t="s">
        <v>1844</v>
      </c>
      <c r="C11" s="871"/>
      <c r="D11" s="869" t="s">
        <v>501</v>
      </c>
      <c r="E11" s="868"/>
      <c r="F11" s="1869">
        <f>'Expenditures 15-22'!K210</f>
        <v>192087</v>
      </c>
      <c r="G11" s="872"/>
    </row>
    <row r="12" spans="1:7" x14ac:dyDescent="0.2">
      <c r="A12" s="869" t="s">
        <v>462</v>
      </c>
      <c r="B12" s="870" t="s">
        <v>1845</v>
      </c>
      <c r="C12" s="871"/>
      <c r="D12" s="869" t="s">
        <v>501</v>
      </c>
      <c r="E12" s="868"/>
      <c r="F12" s="1869">
        <f>'Expenditures 15-22'!K295</f>
        <v>142215</v>
      </c>
      <c r="G12" s="872"/>
    </row>
    <row r="13" spans="1:7" x14ac:dyDescent="0.2">
      <c r="A13" s="869" t="s">
        <v>106</v>
      </c>
      <c r="B13" s="870" t="s">
        <v>1846</v>
      </c>
      <c r="C13" s="871"/>
      <c r="D13" s="869" t="s">
        <v>501</v>
      </c>
      <c r="E13" s="868"/>
      <c r="F13" s="1869">
        <f>'Expenditures 15-22'!K342</f>
        <v>65253</v>
      </c>
      <c r="G13" s="873"/>
    </row>
    <row r="14" spans="1:7" ht="12" customHeight="1" thickBot="1" x14ac:dyDescent="0.25">
      <c r="A14" s="1770"/>
      <c r="B14" s="1771"/>
      <c r="C14" s="1772"/>
      <c r="D14" s="1773" t="s">
        <v>501</v>
      </c>
      <c r="E14" s="1774" t="s">
        <v>958</v>
      </c>
      <c r="F14" s="1775">
        <f>SUM(F8:F13)</f>
        <v>5233770</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70">
        <f>'Revenues 9-14'!F43</f>
        <v>0</v>
      </c>
      <c r="G18" s="865"/>
    </row>
    <row r="19" spans="1:7" x14ac:dyDescent="0.2">
      <c r="A19" s="869" t="s">
        <v>461</v>
      </c>
      <c r="B19" s="870" t="s">
        <v>1011</v>
      </c>
      <c r="C19" s="877">
        <f>'Revenues 9-14'!B47</f>
        <v>1421</v>
      </c>
      <c r="D19" s="878" t="str">
        <f>'Revenues 9-14'!A47</f>
        <v>Summer Sch - Transp. Fees from Pupils or Parents (In State)</v>
      </c>
      <c r="E19" s="879"/>
      <c r="F19" s="1871">
        <f>'Revenues 9-14'!F47</f>
        <v>0</v>
      </c>
      <c r="G19" s="865"/>
    </row>
    <row r="20" spans="1:7" x14ac:dyDescent="0.2">
      <c r="A20" s="869" t="s">
        <v>461</v>
      </c>
      <c r="B20" s="870" t="s">
        <v>1012</v>
      </c>
      <c r="C20" s="875">
        <f>'Revenues 9-14'!B48</f>
        <v>1422</v>
      </c>
      <c r="D20" s="876" t="str">
        <f>'Revenues 9-14'!A48</f>
        <v>Summer Sch - Transp. Fees from Other Districts (In State)</v>
      </c>
      <c r="E20" s="868"/>
      <c r="F20" s="1872">
        <f>'Revenues 9-14'!F48</f>
        <v>0</v>
      </c>
      <c r="G20" s="865"/>
    </row>
    <row r="21" spans="1:7" x14ac:dyDescent="0.2">
      <c r="A21" s="869" t="s">
        <v>461</v>
      </c>
      <c r="B21" s="870" t="s">
        <v>1013</v>
      </c>
      <c r="C21" s="877">
        <f>'Revenues 9-14'!B49</f>
        <v>1423</v>
      </c>
      <c r="D21" s="876" t="str">
        <f>'Revenues 9-14'!A49</f>
        <v>Summer Sch - Transp. Fees from Other Sources (In State)</v>
      </c>
      <c r="E21" s="868"/>
      <c r="F21" s="1873">
        <f>'Revenues 9-14'!F49</f>
        <v>0</v>
      </c>
      <c r="G21" s="865"/>
    </row>
    <row r="22" spans="1:7" x14ac:dyDescent="0.2">
      <c r="A22" s="869" t="s">
        <v>461</v>
      </c>
      <c r="B22" s="870" t="s">
        <v>1014</v>
      </c>
      <c r="C22" s="877">
        <f>'Revenues 9-14'!B50</f>
        <v>1424</v>
      </c>
      <c r="D22" s="876" t="str">
        <f>'Revenues 9-14'!A50</f>
        <v>Summer Sch - Transp. Fees from Other Sources (Out of State)</v>
      </c>
      <c r="E22" s="868"/>
      <c r="F22" s="1873">
        <f>'Revenues 9-14'!F50</f>
        <v>0</v>
      </c>
      <c r="G22" s="865"/>
    </row>
    <row r="23" spans="1:7" x14ac:dyDescent="0.2">
      <c r="A23" s="869" t="s">
        <v>461</v>
      </c>
      <c r="B23" s="870" t="s">
        <v>1015</v>
      </c>
      <c r="C23" s="875">
        <f>'Revenues 9-14'!B52</f>
        <v>1432</v>
      </c>
      <c r="D23" s="876" t="str">
        <f>'Revenues 9-14'!A52</f>
        <v>CTE - Transp Fees from Other Districts (In State)</v>
      </c>
      <c r="E23" s="868"/>
      <c r="F23" s="1873">
        <f>'Revenues 9-14'!F52</f>
        <v>0</v>
      </c>
      <c r="G23" s="865"/>
    </row>
    <row r="24" spans="1:7" x14ac:dyDescent="0.2">
      <c r="A24" s="869" t="s">
        <v>461</v>
      </c>
      <c r="B24" s="870" t="s">
        <v>1016</v>
      </c>
      <c r="C24" s="875">
        <f>'Revenues 9-14'!B56</f>
        <v>1442</v>
      </c>
      <c r="D24" s="876" t="str">
        <f>'Revenues 9-14'!A56</f>
        <v>Special Ed - Transp Fees from Other Districts (In State)</v>
      </c>
      <c r="E24" s="868"/>
      <c r="F24" s="1873">
        <f>'Revenues 9-14'!F56</f>
        <v>0</v>
      </c>
      <c r="G24" s="865"/>
    </row>
    <row r="25" spans="1:7" x14ac:dyDescent="0.2">
      <c r="A25" s="869" t="s">
        <v>461</v>
      </c>
      <c r="B25" s="870" t="s">
        <v>1017</v>
      </c>
      <c r="C25" s="875">
        <f>'Revenues 9-14'!B59</f>
        <v>1451</v>
      </c>
      <c r="D25" s="876" t="str">
        <f>'Revenues 9-14'!A59</f>
        <v>Adult - Transp Fees from Pupils or Parents (In State)</v>
      </c>
      <c r="E25" s="868"/>
      <c r="F25" s="1873">
        <f>'Revenues 9-14'!F59</f>
        <v>0</v>
      </c>
      <c r="G25" s="865"/>
    </row>
    <row r="26" spans="1:7" x14ac:dyDescent="0.2">
      <c r="A26" s="869" t="s">
        <v>461</v>
      </c>
      <c r="B26" s="870" t="s">
        <v>1018</v>
      </c>
      <c r="C26" s="875">
        <f>'Revenues 9-14'!B60</f>
        <v>1452</v>
      </c>
      <c r="D26" s="876" t="str">
        <f>'Revenues 9-14'!A60</f>
        <v>Adult - Transp Fees from Other Districts (In State)</v>
      </c>
      <c r="E26" s="868"/>
      <c r="F26" s="1873">
        <f>'Revenues 9-14'!F60</f>
        <v>0</v>
      </c>
      <c r="G26" s="865"/>
    </row>
    <row r="27" spans="1:7" x14ac:dyDescent="0.2">
      <c r="A27" s="869" t="s">
        <v>461</v>
      </c>
      <c r="B27" s="870" t="s">
        <v>1019</v>
      </c>
      <c r="C27" s="875">
        <f>'Revenues 9-14'!B61</f>
        <v>1453</v>
      </c>
      <c r="D27" s="876" t="str">
        <f>'Revenues 9-14'!A61</f>
        <v>Adult - Transp Fees from Other Sources (In State)</v>
      </c>
      <c r="E27" s="868"/>
      <c r="F27" s="1873">
        <f>'Revenues 9-14'!F61</f>
        <v>0</v>
      </c>
      <c r="G27" s="865"/>
    </row>
    <row r="28" spans="1:7" x14ac:dyDescent="0.2">
      <c r="A28" s="869" t="s">
        <v>461</v>
      </c>
      <c r="B28" s="870" t="s">
        <v>1020</v>
      </c>
      <c r="C28" s="875">
        <f>'Revenues 9-14'!B62</f>
        <v>1454</v>
      </c>
      <c r="D28" s="876" t="str">
        <f>'Revenues 9-14'!A62</f>
        <v>Adult - Transp Fees from Other Sources (Out of State)</v>
      </c>
      <c r="E28" s="868"/>
      <c r="F28" s="1873">
        <f>'Revenues 9-14'!F62</f>
        <v>0</v>
      </c>
      <c r="G28" s="865"/>
    </row>
    <row r="29" spans="1:7" x14ac:dyDescent="0.2">
      <c r="A29" s="869" t="s">
        <v>1097</v>
      </c>
      <c r="B29" s="870" t="s">
        <v>810</v>
      </c>
      <c r="C29" s="880">
        <f>'Revenues 9-14'!B149</f>
        <v>3410</v>
      </c>
      <c r="D29" s="881" t="str">
        <f>'Revenues 9-14'!A149</f>
        <v>Adult Ed (from ICCB)</v>
      </c>
      <c r="E29" s="868"/>
      <c r="F29" s="1873">
        <f>SUM('Revenues 9-14'!D149,'Revenues 9-14'!F149)</f>
        <v>0</v>
      </c>
      <c r="G29" s="865"/>
    </row>
    <row r="30" spans="1:7" x14ac:dyDescent="0.2">
      <c r="A30" s="869" t="s">
        <v>1097</v>
      </c>
      <c r="B30" s="870" t="s">
        <v>1961</v>
      </c>
      <c r="C30" s="880">
        <f>'Revenues 9-14'!B150</f>
        <v>3499</v>
      </c>
      <c r="D30" s="881" t="str">
        <f>'Revenues 9-14'!A150</f>
        <v>Adult Ed - Other (Describe &amp; Itemize)</v>
      </c>
      <c r="E30" s="868"/>
      <c r="F30" s="1874">
        <f>('Revenues 9-14'!D150+'Revenues 9-14'!F150)</f>
        <v>0</v>
      </c>
      <c r="G30" s="865"/>
    </row>
    <row r="31" spans="1:7" x14ac:dyDescent="0.2">
      <c r="A31" s="869" t="s">
        <v>1097</v>
      </c>
      <c r="B31" s="870" t="s">
        <v>1962</v>
      </c>
      <c r="C31" s="875">
        <f>'Revenues 9-14'!B211</f>
        <v>4600</v>
      </c>
      <c r="D31" s="883" t="str">
        <f>'Revenues 9-14'!A211</f>
        <v>Fed - Spec Education - Preschool Flow-Through</v>
      </c>
      <c r="E31" s="884"/>
      <c r="F31" s="1873">
        <f>SUM('Revenues 9-14'!D211,'Revenues 9-14'!F211)</f>
        <v>0</v>
      </c>
      <c r="G31" s="865"/>
    </row>
    <row r="32" spans="1:7" x14ac:dyDescent="0.2">
      <c r="A32" s="869" t="s">
        <v>1097</v>
      </c>
      <c r="B32" s="870" t="s">
        <v>1963</v>
      </c>
      <c r="C32" s="875">
        <f>'Revenues 9-14'!B212</f>
        <v>4605</v>
      </c>
      <c r="D32" s="885" t="str">
        <f>'Revenues 9-14'!A212</f>
        <v>Fed - Spec Education - Preschool Discretionary</v>
      </c>
      <c r="E32" s="884"/>
      <c r="F32" s="1873">
        <f>SUM('Revenues 9-14'!D212,'Revenues 9-14'!F212)</f>
        <v>0</v>
      </c>
      <c r="G32" s="865"/>
    </row>
    <row r="33" spans="1:7" x14ac:dyDescent="0.2">
      <c r="A33" s="869" t="s">
        <v>460</v>
      </c>
      <c r="B33" s="870" t="s">
        <v>1964</v>
      </c>
      <c r="C33" s="875">
        <f>'Revenues 9-14'!B222</f>
        <v>4810</v>
      </c>
      <c r="D33" s="883" t="str">
        <f>'Revenues 9-14'!A222</f>
        <v>Federal - Adult Education</v>
      </c>
      <c r="E33" s="868"/>
      <c r="F33" s="1873">
        <f>'Revenues 9-14'!D222</f>
        <v>0</v>
      </c>
      <c r="G33" s="865"/>
    </row>
    <row r="34" spans="1:7" x14ac:dyDescent="0.2">
      <c r="A34" s="869" t="s">
        <v>459</v>
      </c>
      <c r="B34" s="869" t="s">
        <v>1455</v>
      </c>
      <c r="C34" s="886" t="str">
        <f>'Expenditures 15-22'!B7</f>
        <v>1125</v>
      </c>
      <c r="D34" s="887" t="str">
        <f>'Expenditures 15-22'!A7</f>
        <v>Pre-K Programs</v>
      </c>
      <c r="E34" s="868"/>
      <c r="F34" s="1873">
        <f>'Expenditures 15-22'!K7-SUM('Expenditures 15-22'!G7,'Expenditures 15-22'!I7)</f>
        <v>184584</v>
      </c>
      <c r="G34" s="865"/>
    </row>
    <row r="35" spans="1:7" x14ac:dyDescent="0.2">
      <c r="A35" s="869" t="s">
        <v>459</v>
      </c>
      <c r="B35" s="869" t="s">
        <v>1456</v>
      </c>
      <c r="C35" s="886" t="str">
        <f>'Expenditures 15-22'!B9</f>
        <v>1225</v>
      </c>
      <c r="D35" s="887" t="str">
        <f>'Expenditures 15-22'!A9</f>
        <v>Special Education Programs Pre-K</v>
      </c>
      <c r="E35" s="868"/>
      <c r="F35" s="1873">
        <f>'Expenditures 15-22'!K9-SUM('Expenditures 15-22'!G9+'Expenditures 15-22'!I9)</f>
        <v>85548</v>
      </c>
      <c r="G35" s="865"/>
    </row>
    <row r="36" spans="1:7" x14ac:dyDescent="0.2">
      <c r="A36" s="869" t="s">
        <v>459</v>
      </c>
      <c r="B36" s="869" t="s">
        <v>116</v>
      </c>
      <c r="C36" s="886" t="str">
        <f>'Expenditures 15-22'!B11</f>
        <v>1275</v>
      </c>
      <c r="D36" s="887" t="str">
        <f>'Expenditures 15-22'!A11</f>
        <v>Remedial and Supplemental Programs Pre-K</v>
      </c>
      <c r="E36" s="868"/>
      <c r="F36" s="1873">
        <f>'Expenditures 15-22'!K11-SUM('Expenditures 15-22'!G11,'Expenditures 15-22'!I11)</f>
        <v>0</v>
      </c>
      <c r="G36" s="865"/>
    </row>
    <row r="37" spans="1:7" x14ac:dyDescent="0.2">
      <c r="A37" s="869" t="s">
        <v>459</v>
      </c>
      <c r="B37" s="869" t="s">
        <v>1457</v>
      </c>
      <c r="C37" s="886">
        <f>'Expenditures 15-22'!B12</f>
        <v>1300</v>
      </c>
      <c r="D37" s="888" t="str">
        <f>'Expenditures 15-22'!A12</f>
        <v>Adult/Continuing Education Programs</v>
      </c>
      <c r="E37" s="868"/>
      <c r="F37" s="1873">
        <f>'Expenditures 15-22'!K12-SUM('Expenditures 15-22'!G12+'Expenditures 15-22'!I12)</f>
        <v>0</v>
      </c>
      <c r="G37" s="865"/>
    </row>
    <row r="38" spans="1:7" x14ac:dyDescent="0.2">
      <c r="A38" s="869" t="s">
        <v>459</v>
      </c>
      <c r="B38" s="869" t="s">
        <v>1458</v>
      </c>
      <c r="C38" s="886">
        <f>'Expenditures 15-22'!B15</f>
        <v>1600</v>
      </c>
      <c r="D38" s="888" t="str">
        <f>'Expenditures 15-22'!A15</f>
        <v>Summer School Programs</v>
      </c>
      <c r="E38" s="868"/>
      <c r="F38" s="1873">
        <f>'Expenditures 15-22'!K15-SUM('Expenditures 15-22'!G15,'Expenditures 15-22'!I15)</f>
        <v>1574</v>
      </c>
      <c r="G38" s="865"/>
    </row>
    <row r="39" spans="1:7" x14ac:dyDescent="0.2">
      <c r="A39" s="869" t="s">
        <v>459</v>
      </c>
      <c r="B39" s="869" t="s">
        <v>117</v>
      </c>
      <c r="C39" s="886" t="str">
        <f>'Expenditures 15-22'!B20</f>
        <v>1910</v>
      </c>
      <c r="D39" s="888" t="str">
        <f>'Expenditures 15-22'!A20</f>
        <v>Pre-K Programs - Private Tuition</v>
      </c>
      <c r="E39" s="868"/>
      <c r="F39" s="1873">
        <f>'Expenditures 15-22'!K20</f>
        <v>0</v>
      </c>
      <c r="G39" s="865"/>
    </row>
    <row r="40" spans="1:7" x14ac:dyDescent="0.2">
      <c r="A40" s="869" t="s">
        <v>459</v>
      </c>
      <c r="B40" s="869" t="s">
        <v>118</v>
      </c>
      <c r="C40" s="886" t="str">
        <f>'Expenditures 15-22'!B21</f>
        <v>1911</v>
      </c>
      <c r="D40" s="888" t="str">
        <f>'Expenditures 15-22'!A21</f>
        <v>Regular K-12 Programs - Private Tuition</v>
      </c>
      <c r="E40" s="868"/>
      <c r="F40" s="187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87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87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87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87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873">
        <f>'Expenditures 15-22'!K26</f>
        <v>0</v>
      </c>
      <c r="G45" s="865"/>
    </row>
    <row r="46" spans="1:7" x14ac:dyDescent="0.2">
      <c r="A46" s="869" t="s">
        <v>459</v>
      </c>
      <c r="B46" s="869" t="s">
        <v>124</v>
      </c>
      <c r="C46" s="886" t="str">
        <f>'Expenditures 15-22'!B27</f>
        <v>1917</v>
      </c>
      <c r="D46" s="888" t="str">
        <f>'Expenditures 15-22'!A27</f>
        <v>CTE Programs - Private Tuition</v>
      </c>
      <c r="E46" s="868"/>
      <c r="F46" s="187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87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873">
        <f>'Expenditures 15-22'!K29</f>
        <v>0</v>
      </c>
      <c r="G48" s="865"/>
    </row>
    <row r="49" spans="1:7" x14ac:dyDescent="0.2">
      <c r="A49" s="869" t="s">
        <v>459</v>
      </c>
      <c r="B49" s="869" t="s">
        <v>127</v>
      </c>
      <c r="C49" s="886" t="str">
        <f>'Expenditures 15-22'!B30</f>
        <v>1920</v>
      </c>
      <c r="D49" s="888" t="str">
        <f>'Expenditures 15-22'!A30</f>
        <v>Gifted Programs - Private Tuition</v>
      </c>
      <c r="E49" s="868"/>
      <c r="F49" s="1873">
        <f>'Expenditures 15-22'!K30</f>
        <v>0</v>
      </c>
      <c r="G49" s="865"/>
    </row>
    <row r="50" spans="1:7" x14ac:dyDescent="0.2">
      <c r="A50" s="869" t="s">
        <v>459</v>
      </c>
      <c r="B50" s="869" t="s">
        <v>128</v>
      </c>
      <c r="C50" s="886" t="str">
        <f>'Expenditures 15-22'!B31</f>
        <v>1921</v>
      </c>
      <c r="D50" s="888" t="str">
        <f>'Expenditures 15-22'!A31</f>
        <v>Bilingual Programs - Private Tuition</v>
      </c>
      <c r="E50" s="868"/>
      <c r="F50" s="1873">
        <f>'Expenditures 15-22'!K31</f>
        <v>0</v>
      </c>
      <c r="G50" s="865"/>
    </row>
    <row r="51" spans="1:7" x14ac:dyDescent="0.2">
      <c r="A51" s="869" t="s">
        <v>459</v>
      </c>
      <c r="B51" s="869" t="s">
        <v>1459</v>
      </c>
      <c r="C51" s="886" t="str">
        <f>'Expenditures 15-22'!B32</f>
        <v>1922</v>
      </c>
      <c r="D51" s="888" t="str">
        <f>'Expenditures 15-22'!A32</f>
        <v>Truants Alternative/Optional Ed Progms - Private Tuition</v>
      </c>
      <c r="E51" s="868"/>
      <c r="F51" s="1873">
        <f>'Expenditures 15-22'!K32</f>
        <v>0</v>
      </c>
      <c r="G51" s="865"/>
    </row>
    <row r="52" spans="1:7" x14ac:dyDescent="0.2">
      <c r="A52" s="869" t="s">
        <v>459</v>
      </c>
      <c r="B52" s="869" t="s">
        <v>1460</v>
      </c>
      <c r="C52" s="889" t="str">
        <f>'Expenditures 15-22'!B75</f>
        <v>3000</v>
      </c>
      <c r="D52" s="888" t="s">
        <v>449</v>
      </c>
      <c r="E52" s="868"/>
      <c r="F52" s="1873">
        <f>'Expenditures 15-22'!K75-SUM('Expenditures 15-22'!G75,'Expenditures 15-22'!I75)</f>
        <v>6166</v>
      </c>
      <c r="G52" s="865"/>
    </row>
    <row r="53" spans="1:7" x14ac:dyDescent="0.2">
      <c r="A53" s="869" t="s">
        <v>459</v>
      </c>
      <c r="B53" s="869" t="s">
        <v>1461</v>
      </c>
      <c r="C53" s="889">
        <f>'Expenditures 15-22'!B102</f>
        <v>4000</v>
      </c>
      <c r="D53" s="888" t="str">
        <f>'Expenditures 15-22'!A102</f>
        <v>Total Payments to Other Govt Units</v>
      </c>
      <c r="E53" s="868"/>
      <c r="F53" s="1873">
        <f>'Expenditures 15-22'!K102</f>
        <v>259132</v>
      </c>
      <c r="G53" s="865"/>
    </row>
    <row r="54" spans="1:7" x14ac:dyDescent="0.2">
      <c r="A54" s="869" t="s">
        <v>459</v>
      </c>
      <c r="B54" s="869" t="s">
        <v>1462</v>
      </c>
      <c r="C54" s="889" t="s">
        <v>982</v>
      </c>
      <c r="D54" s="885" t="s">
        <v>1095</v>
      </c>
      <c r="E54" s="868"/>
      <c r="F54" s="1873">
        <f>'Expenditures 15-22'!G114</f>
        <v>110161</v>
      </c>
      <c r="G54" s="865"/>
    </row>
    <row r="55" spans="1:7" x14ac:dyDescent="0.2">
      <c r="A55" s="869" t="s">
        <v>459</v>
      </c>
      <c r="B55" s="869" t="s">
        <v>1463</v>
      </c>
      <c r="C55" s="889" t="s">
        <v>982</v>
      </c>
      <c r="D55" s="885" t="s">
        <v>291</v>
      </c>
      <c r="E55" s="868"/>
      <c r="F55" s="1873">
        <f>'Expenditures 15-22'!I114</f>
        <v>0</v>
      </c>
      <c r="G55" s="865"/>
    </row>
    <row r="56" spans="1:7" x14ac:dyDescent="0.2">
      <c r="A56" s="869" t="s">
        <v>460</v>
      </c>
      <c r="B56" s="869" t="s">
        <v>1464</v>
      </c>
      <c r="C56" s="886" t="str">
        <f>'Expenditures 15-22'!B130</f>
        <v>3000</v>
      </c>
      <c r="D56" s="892" t="s">
        <v>449</v>
      </c>
      <c r="E56" s="868"/>
      <c r="F56" s="1873">
        <f>'Expenditures 15-22'!K130-SUM('Expenditures 15-22'!G130+'Expenditures 15-22'!I130)</f>
        <v>0</v>
      </c>
      <c r="G56" s="865"/>
    </row>
    <row r="57" spans="1:7" x14ac:dyDescent="0.2">
      <c r="A57" s="869" t="s">
        <v>460</v>
      </c>
      <c r="B57" s="869" t="s">
        <v>1847</v>
      </c>
      <c r="C57" s="889">
        <f>'Expenditures 15-22'!B139</f>
        <v>4000</v>
      </c>
      <c r="D57" s="887" t="str">
        <f>'Expenditures 15-22'!A139</f>
        <v>Total Payments to Other Govt Units</v>
      </c>
      <c r="E57" s="868"/>
      <c r="F57" s="1873">
        <f>'Expenditures 15-22'!K139</f>
        <v>0</v>
      </c>
      <c r="G57" s="865"/>
    </row>
    <row r="58" spans="1:7" x14ac:dyDescent="0.2">
      <c r="A58" s="869" t="s">
        <v>460</v>
      </c>
      <c r="B58" s="869" t="s">
        <v>1848</v>
      </c>
      <c r="C58" s="886" t="s">
        <v>982</v>
      </c>
      <c r="D58" s="885" t="s">
        <v>1095</v>
      </c>
      <c r="E58" s="868"/>
      <c r="F58" s="1875">
        <f>'Expenditures 15-22'!G151</f>
        <v>53345</v>
      </c>
      <c r="G58" s="865"/>
    </row>
    <row r="59" spans="1:7" x14ac:dyDescent="0.2">
      <c r="A59" s="893" t="s">
        <v>460</v>
      </c>
      <c r="B59" s="856" t="s">
        <v>1849</v>
      </c>
      <c r="C59" s="894" t="s">
        <v>982</v>
      </c>
      <c r="D59" s="856" t="s">
        <v>291</v>
      </c>
      <c r="F59" s="1876">
        <f>'Expenditures 15-22'!I151</f>
        <v>0</v>
      </c>
      <c r="G59" s="865"/>
    </row>
    <row r="60" spans="1:7" x14ac:dyDescent="0.2">
      <c r="A60" s="893" t="s">
        <v>499</v>
      </c>
      <c r="B60" s="856" t="s">
        <v>1850</v>
      </c>
      <c r="C60" s="894">
        <v>4000</v>
      </c>
      <c r="D60" s="856" t="s">
        <v>312</v>
      </c>
      <c r="F60" s="1874">
        <f>'Expenditures 15-22'!K160</f>
        <v>0</v>
      </c>
      <c r="G60" s="865"/>
    </row>
    <row r="61" spans="1:7" x14ac:dyDescent="0.2">
      <c r="A61" s="895" t="s">
        <v>499</v>
      </c>
      <c r="B61" s="895" t="s">
        <v>1851</v>
      </c>
      <c r="C61" s="896" t="str">
        <f>'Expenditures 15-22'!B170</f>
        <v>5300</v>
      </c>
      <c r="D61" s="897" t="s">
        <v>311</v>
      </c>
      <c r="E61" s="879"/>
      <c r="F61" s="1873">
        <f>'Expenditures 15-22'!K170</f>
        <v>200000</v>
      </c>
      <c r="G61" s="865"/>
    </row>
    <row r="62" spans="1:7" x14ac:dyDescent="0.2">
      <c r="A62" s="869" t="s">
        <v>461</v>
      </c>
      <c r="B62" s="869" t="s">
        <v>1852</v>
      </c>
      <c r="C62" s="886">
        <f>'Expenditures 15-22'!B185</f>
        <v>3000</v>
      </c>
      <c r="D62" s="876" t="s">
        <v>449</v>
      </c>
      <c r="E62" s="868"/>
      <c r="F62" s="1873">
        <f>'Expenditures 15-22'!K185-SUM('Expenditures 15-22'!G185,'Expenditures 15-22'!I185)</f>
        <v>0</v>
      </c>
      <c r="G62" s="865"/>
    </row>
    <row r="63" spans="1:7" x14ac:dyDescent="0.2">
      <c r="A63" s="869" t="s">
        <v>461</v>
      </c>
      <c r="B63" s="869" t="s">
        <v>1853</v>
      </c>
      <c r="C63" s="886" t="str">
        <f>'Expenditures 15-22'!B196</f>
        <v>4000</v>
      </c>
      <c r="D63" s="887" t="str">
        <f>'Expenditures 15-22'!A196</f>
        <v>Total Payments to Other Govt Units</v>
      </c>
      <c r="E63" s="868"/>
      <c r="F63" s="1873">
        <f>'Expenditures 15-22'!K196</f>
        <v>0</v>
      </c>
      <c r="G63" s="865"/>
    </row>
    <row r="64" spans="1:7" x14ac:dyDescent="0.2">
      <c r="A64" s="895" t="s">
        <v>461</v>
      </c>
      <c r="B64" s="895" t="s">
        <v>1854</v>
      </c>
      <c r="C64" s="896" t="str">
        <f>'Expenditures 15-22'!B206</f>
        <v>5300</v>
      </c>
      <c r="D64" s="892" t="s">
        <v>311</v>
      </c>
      <c r="E64" s="868"/>
      <c r="F64" s="1873">
        <f>'Expenditures 15-22'!K206</f>
        <v>0</v>
      </c>
      <c r="G64" s="865"/>
    </row>
    <row r="65" spans="1:8" x14ac:dyDescent="0.2">
      <c r="A65" s="869" t="s">
        <v>461</v>
      </c>
      <c r="B65" s="869" t="s">
        <v>1855</v>
      </c>
      <c r="C65" s="886" t="s">
        <v>982</v>
      </c>
      <c r="D65" s="885" t="s">
        <v>1095</v>
      </c>
      <c r="E65" s="868"/>
      <c r="F65" s="1873">
        <f>'Expenditures 15-22'!G210</f>
        <v>0</v>
      </c>
      <c r="G65" s="865"/>
    </row>
    <row r="66" spans="1:8" x14ac:dyDescent="0.2">
      <c r="A66" s="869" t="s">
        <v>461</v>
      </c>
      <c r="B66" s="869" t="s">
        <v>1856</v>
      </c>
      <c r="C66" s="886" t="s">
        <v>982</v>
      </c>
      <c r="D66" s="885" t="s">
        <v>291</v>
      </c>
      <c r="E66" s="868"/>
      <c r="F66" s="1873">
        <f>'Expenditures 15-22'!I210</f>
        <v>0</v>
      </c>
      <c r="G66" s="865"/>
    </row>
    <row r="67" spans="1:8" x14ac:dyDescent="0.2">
      <c r="A67" s="869" t="s">
        <v>462</v>
      </c>
      <c r="B67" s="869" t="s">
        <v>1857</v>
      </c>
      <c r="C67" s="886" t="str">
        <f>'Expenditures 15-22'!B216</f>
        <v>1125</v>
      </c>
      <c r="D67" s="892" t="str">
        <f>'Expenditures 15-22'!A216</f>
        <v>Pre-K Programs</v>
      </c>
      <c r="E67" s="868"/>
      <c r="F67" s="1873">
        <f>'Expenditures 15-22'!K216</f>
        <v>5975</v>
      </c>
      <c r="G67" s="865"/>
    </row>
    <row r="68" spans="1:8" x14ac:dyDescent="0.2">
      <c r="A68" s="869" t="s">
        <v>462</v>
      </c>
      <c r="B68" s="869" t="s">
        <v>1465</v>
      </c>
      <c r="C68" s="886" t="str">
        <f>'Expenditures 15-22'!B218</f>
        <v>1225</v>
      </c>
      <c r="D68" s="892" t="str">
        <f>'Expenditures 15-22'!A218</f>
        <v>Special Education Programs - Pre-K</v>
      </c>
      <c r="E68" s="868"/>
      <c r="F68" s="1873">
        <f>'Expenditures 15-22'!K218</f>
        <v>5695</v>
      </c>
      <c r="G68" s="865"/>
    </row>
    <row r="69" spans="1:8" x14ac:dyDescent="0.2">
      <c r="A69" s="869" t="s">
        <v>462</v>
      </c>
      <c r="B69" s="869" t="s">
        <v>1858</v>
      </c>
      <c r="C69" s="886" t="str">
        <f>'Expenditures 15-22'!B220</f>
        <v>1275</v>
      </c>
      <c r="D69" s="892" t="str">
        <f>'Expenditures 15-22'!A220</f>
        <v>Remedial and Supplemental Programs - Pre-K</v>
      </c>
      <c r="E69" s="868"/>
      <c r="F69" s="1873">
        <f>'Expenditures 15-22'!K220</f>
        <v>0</v>
      </c>
      <c r="G69" s="865"/>
    </row>
    <row r="70" spans="1:8" x14ac:dyDescent="0.2">
      <c r="A70" s="869" t="s">
        <v>462</v>
      </c>
      <c r="B70" s="869" t="s">
        <v>1859</v>
      </c>
      <c r="C70" s="886">
        <f>'Expenditures 15-22'!B221</f>
        <v>1300</v>
      </c>
      <c r="D70" s="887" t="str">
        <f>'Expenditures 15-22'!A221</f>
        <v>Adult/Continuing Education Programs</v>
      </c>
      <c r="E70" s="868"/>
      <c r="F70" s="1873">
        <f>'Expenditures 15-22'!K221</f>
        <v>0</v>
      </c>
      <c r="G70" s="865"/>
    </row>
    <row r="71" spans="1:8" x14ac:dyDescent="0.2">
      <c r="A71" s="869" t="s">
        <v>462</v>
      </c>
      <c r="B71" s="869" t="s">
        <v>1860</v>
      </c>
      <c r="C71" s="886">
        <f>'Expenditures 15-22'!B224</f>
        <v>1600</v>
      </c>
      <c r="D71" s="887" t="str">
        <f>'Expenditures 15-22'!A224</f>
        <v>Summer School Programs</v>
      </c>
      <c r="E71" s="868"/>
      <c r="F71" s="1873">
        <f>'Expenditures 15-22'!K224</f>
        <v>22</v>
      </c>
      <c r="G71" s="865"/>
    </row>
    <row r="72" spans="1:8" x14ac:dyDescent="0.2">
      <c r="A72" s="869" t="s">
        <v>462</v>
      </c>
      <c r="B72" s="869" t="s">
        <v>1861</v>
      </c>
      <c r="C72" s="886">
        <f>'Expenditures 15-22'!B280</f>
        <v>3000</v>
      </c>
      <c r="D72" s="876" t="s">
        <v>449</v>
      </c>
      <c r="E72" s="868"/>
      <c r="F72" s="1873">
        <f>'Expenditures 15-22'!K280</f>
        <v>124</v>
      </c>
      <c r="G72" s="865"/>
    </row>
    <row r="73" spans="1:8" x14ac:dyDescent="0.2">
      <c r="A73" s="869" t="s">
        <v>462</v>
      </c>
      <c r="B73" s="869" t="s">
        <v>1862</v>
      </c>
      <c r="C73" s="886" t="str">
        <f>'Expenditures 15-22'!B285</f>
        <v>4000</v>
      </c>
      <c r="D73" s="887" t="str">
        <f>'Expenditures 15-22'!A285</f>
        <v>Total Payments to Other Govt Units</v>
      </c>
      <c r="E73" s="868"/>
      <c r="F73" s="1873">
        <f>'Expenditures 15-22'!K285</f>
        <v>0</v>
      </c>
      <c r="G73" s="865"/>
    </row>
    <row r="74" spans="1:8" x14ac:dyDescent="0.2">
      <c r="A74" s="869" t="s">
        <v>436</v>
      </c>
      <c r="B74" s="869" t="s">
        <v>1863</v>
      </c>
      <c r="C74" s="886" t="s">
        <v>860</v>
      </c>
      <c r="D74" s="887" t="s">
        <v>1473</v>
      </c>
      <c r="E74" s="868"/>
      <c r="F74" s="187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1864</v>
      </c>
      <c r="E76" s="1774" t="s">
        <v>958</v>
      </c>
      <c r="F76" s="1778">
        <f>SUM(F18:F74)</f>
        <v>912326</v>
      </c>
      <c r="G76" s="865"/>
    </row>
    <row r="77" spans="1:8" s="893" customFormat="1" ht="12" customHeight="1" thickTop="1" thickBot="1" x14ac:dyDescent="0.25">
      <c r="A77" s="1779"/>
      <c r="B77" s="1776"/>
      <c r="C77" s="1772"/>
      <c r="D77" s="1777" t="s">
        <v>1865</v>
      </c>
      <c r="E77" s="1774"/>
      <c r="F77" s="1780">
        <f>(F14-F76)</f>
        <v>4321444</v>
      </c>
      <c r="G77" s="869"/>
    </row>
    <row r="78" spans="1:8" s="893" customFormat="1" ht="12" customHeight="1" thickTop="1" x14ac:dyDescent="0.2">
      <c r="A78" s="1781"/>
      <c r="B78" s="1776"/>
      <c r="C78" s="1772"/>
      <c r="D78" s="1777" t="s">
        <v>2024</v>
      </c>
      <c r="E78" s="1774"/>
      <c r="F78" s="898">
        <v>470.69</v>
      </c>
      <c r="G78" s="899"/>
      <c r="H78" s="869"/>
    </row>
    <row r="79" spans="1:8" s="893" customFormat="1" ht="12" customHeight="1" thickBot="1" x14ac:dyDescent="0.25">
      <c r="A79" s="1782"/>
      <c r="B79" s="1776"/>
      <c r="C79" s="1772"/>
      <c r="D79" s="1777" t="s">
        <v>1866</v>
      </c>
      <c r="E79" s="1774" t="s">
        <v>958</v>
      </c>
      <c r="F79" s="1783">
        <f>IF(F78&gt;0,F77/F78," Complete Line 78")</f>
        <v>9181.083090781618</v>
      </c>
      <c r="G79" s="869"/>
    </row>
    <row r="80" spans="1:8" s="893" customFormat="1" ht="8.25" customHeight="1" thickTop="1" x14ac:dyDescent="0.2">
      <c r="A80" s="900"/>
      <c r="B80" s="869"/>
      <c r="C80" s="871"/>
      <c r="D80" s="901"/>
      <c r="E80" s="868"/>
      <c r="F80" s="902"/>
      <c r="G80" s="869"/>
    </row>
    <row r="81" spans="1:7" s="893" customFormat="1" ht="12" thickBot="1" x14ac:dyDescent="0.25">
      <c r="A81" s="2231" t="s">
        <v>1105</v>
      </c>
      <c r="B81" s="2232"/>
      <c r="C81" s="2232"/>
      <c r="D81" s="2232"/>
      <c r="E81" s="2232"/>
      <c r="F81" s="2233"/>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6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53500</v>
      </c>
      <c r="G94" s="912"/>
    </row>
    <row r="95" spans="1:7" x14ac:dyDescent="0.2">
      <c r="A95" s="908" t="s">
        <v>140</v>
      </c>
      <c r="B95" s="908" t="s">
        <v>175</v>
      </c>
      <c r="C95" s="910">
        <v>1700</v>
      </c>
      <c r="D95" s="918" t="str">
        <f>'Revenues 9-14'!A82</f>
        <v>Total District/School Activity Income</v>
      </c>
      <c r="E95" s="906"/>
      <c r="F95" s="1789">
        <f>SUM('Revenues 9-14'!C82,'Revenues 9-14'!D82)</f>
        <v>4554</v>
      </c>
      <c r="G95" s="912"/>
    </row>
    <row r="96" spans="1:7" x14ac:dyDescent="0.2">
      <c r="A96" s="908" t="s">
        <v>459</v>
      </c>
      <c r="B96" s="908" t="s">
        <v>176</v>
      </c>
      <c r="C96" s="910">
        <f>'Revenues 9-14'!B84</f>
        <v>1811</v>
      </c>
      <c r="D96" s="911" t="str">
        <f>'Revenues 9-14'!A84</f>
        <v>Rentals - Regular Textbooks</v>
      </c>
      <c r="E96" s="906"/>
      <c r="F96" s="1789">
        <f>'Revenues 9-14'!C84</f>
        <v>22803</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1345</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1965</v>
      </c>
      <c r="C105" s="913">
        <v>3100</v>
      </c>
      <c r="D105" s="919" t="str">
        <f>'Revenues 9-14'!A132</f>
        <v>Total Special Education</v>
      </c>
      <c r="E105" s="906"/>
      <c r="F105" s="1789">
        <f>SUM('Revenues 9-14'!C132:D132,'Revenues 9-14'!F132)</f>
        <v>6143</v>
      </c>
      <c r="G105" s="912"/>
    </row>
    <row r="106" spans="1:7" x14ac:dyDescent="0.2">
      <c r="A106" s="908" t="s">
        <v>673</v>
      </c>
      <c r="B106" s="908" t="s">
        <v>1966</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1967</v>
      </c>
      <c r="C107" s="920">
        <v>3300</v>
      </c>
      <c r="D107" s="911" t="str">
        <f>'Revenues 9-14'!A145</f>
        <v>Total Bilingual Ed</v>
      </c>
      <c r="E107" s="906"/>
      <c r="F107" s="1789">
        <f>SUM('Revenues 9-14'!C145,'Revenues 9-14'!G145)</f>
        <v>0</v>
      </c>
      <c r="G107" s="912"/>
    </row>
    <row r="108" spans="1:7" x14ac:dyDescent="0.2">
      <c r="A108" s="908" t="s">
        <v>459</v>
      </c>
      <c r="B108" s="908" t="s">
        <v>1968</v>
      </c>
      <c r="C108" s="920">
        <f>'Revenues 9-14'!B146</f>
        <v>3360</v>
      </c>
      <c r="D108" s="911" t="str">
        <f>'Revenues 9-14'!A146</f>
        <v>State Free Lunch &amp; Breakfast</v>
      </c>
      <c r="E108" s="906"/>
      <c r="F108" s="1789">
        <f>'Revenues 9-14'!C146</f>
        <v>2498</v>
      </c>
      <c r="G108" s="912"/>
    </row>
    <row r="109" spans="1:7" x14ac:dyDescent="0.2">
      <c r="A109" s="908" t="s">
        <v>673</v>
      </c>
      <c r="B109" s="908" t="s">
        <v>1969</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1970</v>
      </c>
      <c r="C110" s="920">
        <f>'Revenues 9-14'!B148</f>
        <v>3370</v>
      </c>
      <c r="D110" s="911" t="str">
        <f>'Revenues 9-14'!A148</f>
        <v>Driver Education</v>
      </c>
      <c r="E110" s="906"/>
      <c r="F110" s="1789">
        <f>SUM('Revenues 9-14'!C148,'Revenues 9-14'!D148)</f>
        <v>0</v>
      </c>
      <c r="G110" s="912"/>
    </row>
    <row r="111" spans="1:7" x14ac:dyDescent="0.2">
      <c r="A111" s="908" t="s">
        <v>668</v>
      </c>
      <c r="B111" s="908" t="s">
        <v>1971</v>
      </c>
      <c r="C111" s="922">
        <v>3500</v>
      </c>
      <c r="D111" s="911" t="str">
        <f>'Revenues 9-14'!A155</f>
        <v>Total Transportation</v>
      </c>
      <c r="E111" s="906"/>
      <c r="F111" s="1789">
        <f>SUM('Revenues 9-14'!C155,'Revenues 9-14'!D155,'Revenues 9-14'!F155,'Revenues 9-14'!G155)</f>
        <v>51862</v>
      </c>
      <c r="G111" s="912"/>
    </row>
    <row r="112" spans="1:7" x14ac:dyDescent="0.2">
      <c r="A112" s="908" t="s">
        <v>459</v>
      </c>
      <c r="B112" s="908" t="s">
        <v>1972</v>
      </c>
      <c r="C112" s="920">
        <f>'Revenues 9-14'!B156</f>
        <v>3610</v>
      </c>
      <c r="D112" s="911" t="str">
        <f>'Revenues 9-14'!A156</f>
        <v>Learning Improvement - Change Grants</v>
      </c>
      <c r="E112" s="906"/>
      <c r="F112" s="1789">
        <f>'Revenues 9-14'!C156</f>
        <v>0</v>
      </c>
      <c r="G112" s="912"/>
    </row>
    <row r="113" spans="1:7" x14ac:dyDescent="0.2">
      <c r="A113" s="908" t="s">
        <v>668</v>
      </c>
      <c r="B113" s="908" t="s">
        <v>1973</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1974</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1975</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1976</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1977</v>
      </c>
      <c r="C117" s="924">
        <f>'Revenues 9-14'!B162</f>
        <v>3775</v>
      </c>
      <c r="D117" s="925" t="str">
        <f>'Revenues 9-14'!A162</f>
        <v>School Safety &amp; Educational Improvement Block Grant</v>
      </c>
      <c r="E117" s="906"/>
      <c r="F117" s="1867">
        <f>SUM('Revenues 9-14'!C162,'Revenues 9-14'!D162,'Revenues 9-14'!E162,'Revenues 9-14'!F162,'Revenues 9-14'!G162)</f>
        <v>0</v>
      </c>
      <c r="G117" s="912"/>
    </row>
    <row r="118" spans="1:7" x14ac:dyDescent="0.2">
      <c r="A118" s="923" t="s">
        <v>1009</v>
      </c>
      <c r="B118" s="923" t="s">
        <v>1978</v>
      </c>
      <c r="C118" s="924">
        <f>'Revenues 9-14'!B163</f>
        <v>3780</v>
      </c>
      <c r="D118" s="925" t="str">
        <f>'Revenues 9-14'!A163</f>
        <v>Technology - Technology for Success</v>
      </c>
      <c r="E118" s="906"/>
      <c r="F118" s="1867">
        <f>SUM('Revenues 9-14'!C163:G163)</f>
        <v>0</v>
      </c>
      <c r="G118" s="912"/>
    </row>
    <row r="119" spans="1:7" x14ac:dyDescent="0.2">
      <c r="A119" s="923" t="s">
        <v>504</v>
      </c>
      <c r="B119" s="923" t="s">
        <v>1979</v>
      </c>
      <c r="C119" s="924">
        <f>'Revenues 9-14'!B164</f>
        <v>3815</v>
      </c>
      <c r="D119" s="925" t="str">
        <f>'Revenues 9-14'!A164</f>
        <v>State Charter Schools</v>
      </c>
      <c r="E119" s="906"/>
      <c r="F119" s="1867">
        <f>SUM('Revenues 9-14'!C164,'Revenues 9-14'!F164)</f>
        <v>0</v>
      </c>
      <c r="G119" s="912"/>
    </row>
    <row r="120" spans="1:7" x14ac:dyDescent="0.2">
      <c r="A120" s="927" t="s">
        <v>460</v>
      </c>
      <c r="B120" s="927" t="s">
        <v>1980</v>
      </c>
      <c r="C120" s="928">
        <f>'Revenues 9-14'!B167</f>
        <v>3925</v>
      </c>
      <c r="D120" s="929" t="str">
        <f>'Revenues 9-14'!A167</f>
        <v>School Infrastructure - Maintenance Projects</v>
      </c>
      <c r="E120" s="906"/>
      <c r="F120" s="1789">
        <f>'Revenues 9-14'!D167</f>
        <v>0</v>
      </c>
      <c r="G120" s="930"/>
    </row>
    <row r="121" spans="1:7" x14ac:dyDescent="0.2">
      <c r="A121" s="927" t="s">
        <v>500</v>
      </c>
      <c r="B121" s="927" t="s">
        <v>1981</v>
      </c>
      <c r="C121" s="928">
        <f>'Revenues 9-14'!B168</f>
        <v>3999</v>
      </c>
      <c r="D121" s="929" t="s">
        <v>543</v>
      </c>
      <c r="E121" s="931"/>
      <c r="F121" s="1789">
        <f>SUM('Revenues 9-14'!C168:G168,'Revenues 9-14'!J168)</f>
        <v>750</v>
      </c>
      <c r="G121" s="930"/>
    </row>
    <row r="122" spans="1:7" x14ac:dyDescent="0.2">
      <c r="A122" s="927" t="s">
        <v>459</v>
      </c>
      <c r="B122" s="927" t="s">
        <v>1982</v>
      </c>
      <c r="C122" s="932">
        <f>'Revenues 9-14'!B177</f>
        <v>4045</v>
      </c>
      <c r="D122" s="929" t="str">
        <f>'Revenues 9-14'!A177 &amp; " (Subtract)"</f>
        <v>Head Start (Subtract)</v>
      </c>
      <c r="E122" s="906"/>
      <c r="F122" s="1789">
        <f>SUM(-'Revenues 9-14'!C177)</f>
        <v>0</v>
      </c>
      <c r="G122" s="930"/>
    </row>
    <row r="123" spans="1:7" x14ac:dyDescent="0.2">
      <c r="A123" s="927" t="s">
        <v>668</v>
      </c>
      <c r="B123" s="927" t="s">
        <v>1983</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1984</v>
      </c>
      <c r="C124" s="932">
        <v>4100</v>
      </c>
      <c r="D124" s="933" t="str">
        <f>'Revenues 9-14'!A188</f>
        <v>Total Title V</v>
      </c>
      <c r="E124" s="906"/>
      <c r="F124" s="1789">
        <f>SUM('Revenues 9-14'!C188,'Revenues 9-14'!D188,'Revenues 9-14'!F188,'Revenues 9-14'!G188)</f>
        <v>0</v>
      </c>
      <c r="G124" s="930"/>
    </row>
    <row r="125" spans="1:7" x14ac:dyDescent="0.2">
      <c r="A125" s="927" t="s">
        <v>664</v>
      </c>
      <c r="B125" s="927" t="s">
        <v>1985</v>
      </c>
      <c r="C125" s="932">
        <v>4200</v>
      </c>
      <c r="D125" s="929" t="str">
        <f>'Revenues 9-14'!A198</f>
        <v>Total Food Service</v>
      </c>
      <c r="E125" s="906"/>
      <c r="F125" s="1789">
        <f>SUM('Revenues 9-14'!C198,'Revenues 9-14'!G198)</f>
        <v>114018</v>
      </c>
      <c r="G125" s="930"/>
    </row>
    <row r="126" spans="1:7" x14ac:dyDescent="0.2">
      <c r="A126" s="927" t="s">
        <v>668</v>
      </c>
      <c r="B126" s="927" t="s">
        <v>1986</v>
      </c>
      <c r="C126" s="932">
        <v>4300</v>
      </c>
      <c r="D126" s="933" t="str">
        <f>'Revenues 9-14'!A204</f>
        <v>Total Title I</v>
      </c>
      <c r="E126" s="906"/>
      <c r="F126" s="1789">
        <f>SUM('Revenues 9-14'!C204,'Revenues 9-14'!D204,'Revenues 9-14'!F204,'Revenues 9-14'!G204)</f>
        <v>124924</v>
      </c>
      <c r="G126" s="930"/>
    </row>
    <row r="127" spans="1:7" x14ac:dyDescent="0.2">
      <c r="A127" s="927" t="s">
        <v>668</v>
      </c>
      <c r="B127" s="927" t="s">
        <v>1987</v>
      </c>
      <c r="C127" s="932">
        <v>4400</v>
      </c>
      <c r="D127" s="933" t="str">
        <f>'Revenues 9-14'!A209</f>
        <v>Total Title IV</v>
      </c>
      <c r="E127" s="906"/>
      <c r="F127" s="1789">
        <f>SUM('Revenues 9-14'!C209,'Revenues 9-14'!D209,'Revenues 9-14'!F209,'Revenues 9-14'!G209)</f>
        <v>0</v>
      </c>
      <c r="G127" s="930"/>
    </row>
    <row r="128" spans="1:7" x14ac:dyDescent="0.2">
      <c r="A128" s="927" t="s">
        <v>668</v>
      </c>
      <c r="B128" s="927" t="s">
        <v>1988</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1989</v>
      </c>
      <c r="C129" s="932">
        <f>'Revenues 9-14'!B214</f>
        <v>4625</v>
      </c>
      <c r="D129" s="933" t="str">
        <f>'Revenues 9-14'!A214</f>
        <v>Fed - Spec Education - IDEA - Room &amp; Board</v>
      </c>
      <c r="E129" s="906"/>
      <c r="F129" s="1789">
        <f>SUM('Revenues 9-14'!C214,'Revenues 9-14'!D214,'Revenues 9-14'!F214,'Revenues 9-14'!G214)</f>
        <v>14111</v>
      </c>
      <c r="G129" s="930"/>
    </row>
    <row r="130" spans="1:7" x14ac:dyDescent="0.2">
      <c r="A130" s="927" t="s">
        <v>668</v>
      </c>
      <c r="B130" s="927" t="s">
        <v>1990</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1991</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1992</v>
      </c>
      <c r="C133" s="935" t="s">
        <v>207</v>
      </c>
      <c r="D133" s="936" t="str">
        <f>'Revenues 9-14'!A224</f>
        <v>ARRA - Title I - Low Income</v>
      </c>
      <c r="E133" s="937"/>
      <c r="F133" s="1867">
        <f>SUM('Revenues 9-14'!$C$224:$D$224,'Revenues 9-14'!$F$224:$G$224)</f>
        <v>0</v>
      </c>
      <c r="G133" s="905"/>
    </row>
    <row r="134" spans="1:7" s="867" customFormat="1" hidden="1" x14ac:dyDescent="0.2">
      <c r="A134" s="934" t="s">
        <v>206</v>
      </c>
      <c r="B134" s="934" t="s">
        <v>1993</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1994</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1995</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1996</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1997</v>
      </c>
      <c r="C138" s="935" t="s">
        <v>212</v>
      </c>
      <c r="D138" s="936" t="str">
        <f>'Revenues 9-14'!A229</f>
        <v>ARRA - IDEA - Part B - Preschool</v>
      </c>
      <c r="E138" s="937"/>
      <c r="F138" s="1789">
        <v>0</v>
      </c>
      <c r="G138" s="905"/>
    </row>
    <row r="139" spans="1:7" s="867" customFormat="1" hidden="1" x14ac:dyDescent="0.2">
      <c r="A139" s="934" t="s">
        <v>206</v>
      </c>
      <c r="B139" s="934" t="s">
        <v>1998</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1999</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2000</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2001</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1402</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2002</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2003</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2004</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1403</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2005</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2006</v>
      </c>
      <c r="C157" s="940" t="s">
        <v>841</v>
      </c>
      <c r="D157" s="941" t="s">
        <v>777</v>
      </c>
      <c r="E157" s="942"/>
      <c r="F157" s="1789">
        <f>SUM(F133:F156)</f>
        <v>0</v>
      </c>
      <c r="G157" s="905"/>
    </row>
    <row r="158" spans="1:7" s="867" customFormat="1" x14ac:dyDescent="0.2">
      <c r="A158" s="938" t="s">
        <v>459</v>
      </c>
      <c r="B158" s="939" t="s">
        <v>2007</v>
      </c>
      <c r="C158" s="940" t="s">
        <v>1413</v>
      </c>
      <c r="D158" s="941" t="s">
        <v>1414</v>
      </c>
      <c r="E158" s="942"/>
      <c r="F158" s="1789">
        <f>SUM('Revenues 9-14'!C253)</f>
        <v>0</v>
      </c>
      <c r="G158" s="905"/>
    </row>
    <row r="159" spans="1:7" s="867" customFormat="1" x14ac:dyDescent="0.2">
      <c r="A159" s="938" t="s">
        <v>500</v>
      </c>
      <c r="B159" s="939" t="s">
        <v>2008</v>
      </c>
      <c r="C159" s="940" t="s">
        <v>1452</v>
      </c>
      <c r="D159" s="941" t="s">
        <v>1453</v>
      </c>
      <c r="E159" s="942"/>
      <c r="F159" s="1789">
        <f>SUM('Revenues 9-14'!C254:H254,'Revenues 9-14'!J254:K254)</f>
        <v>0</v>
      </c>
      <c r="G159" s="905"/>
    </row>
    <row r="160" spans="1:7" x14ac:dyDescent="0.2">
      <c r="A160" s="927" t="s">
        <v>5</v>
      </c>
      <c r="B160" s="927" t="s">
        <v>2009</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2010</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2011</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2012</v>
      </c>
      <c r="C163" s="945">
        <f>'Revenues 9-14'!B258</f>
        <v>4930</v>
      </c>
      <c r="D163" s="946" t="str">
        <f>'Revenues 9-14'!A258</f>
        <v>Title II - Eisenhower Professional Development Formula</v>
      </c>
      <c r="E163" s="926"/>
      <c r="F163" s="1867">
        <f>SUM('Revenues 9-14'!C258:D258,'Revenues 9-14'!F258,'Revenues 9-14'!G258)</f>
        <v>6551</v>
      </c>
      <c r="G163" s="930"/>
    </row>
    <row r="164" spans="1:7" x14ac:dyDescent="0.2">
      <c r="A164" s="927" t="s">
        <v>668</v>
      </c>
      <c r="B164" s="927" t="s">
        <v>2013</v>
      </c>
      <c r="C164" s="932">
        <f>'Revenues 9-14'!B259</f>
        <v>4932</v>
      </c>
      <c r="D164" s="933" t="str">
        <f>'Revenues 9-14'!A259</f>
        <v>Title II - Teacher Quality</v>
      </c>
      <c r="E164" s="906"/>
      <c r="F164" s="1867">
        <f>SUM('Revenues 9-14'!C259,'Revenues 9-14'!D259,'Revenues 9-14'!F259,'Revenues 9-14'!G259)</f>
        <v>0</v>
      </c>
      <c r="G164" s="930"/>
    </row>
    <row r="165" spans="1:7" x14ac:dyDescent="0.2">
      <c r="A165" s="927" t="s">
        <v>668</v>
      </c>
      <c r="B165" s="927" t="s">
        <v>2014</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1959</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1960</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2015</v>
      </c>
      <c r="C168" s="932">
        <f>'Revenues 9-14'!B263</f>
        <v>4991</v>
      </c>
      <c r="D168" s="933" t="str">
        <f>'Revenues 9-14'!A263</f>
        <v>Medicaid Matching Funds - Administrative Outreach</v>
      </c>
      <c r="E168" s="906"/>
      <c r="F168" s="1789">
        <f>SUM('Revenues 9-14'!C263:D263,'Revenues 9-14'!F263:G263)</f>
        <v>6017</v>
      </c>
      <c r="G168" s="947">
        <v>6320</v>
      </c>
    </row>
    <row r="169" spans="1:7" x14ac:dyDescent="0.2">
      <c r="A169" s="927" t="s">
        <v>668</v>
      </c>
      <c r="B169" s="927" t="s">
        <v>2016</v>
      </c>
      <c r="C169" s="932">
        <f>'Revenues 9-14'!B264</f>
        <v>4992</v>
      </c>
      <c r="D169" s="933" t="str">
        <f>'Revenues 9-14'!A264</f>
        <v>Medicaid Matching Funds - Fee-for-Service Program</v>
      </c>
      <c r="E169" s="906"/>
      <c r="F169" s="1789">
        <f>SUM('Revenues 9-14'!C264:D264,'Revenues 9-14'!F264:G264)</f>
        <v>5383</v>
      </c>
      <c r="G169" s="947"/>
    </row>
    <row r="170" spans="1:7" x14ac:dyDescent="0.2">
      <c r="A170" s="948" t="s">
        <v>668</v>
      </c>
      <c r="B170" s="944" t="s">
        <v>2017</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878" t="s">
        <v>5</v>
      </c>
      <c r="B171" s="1879" t="s">
        <v>1883</v>
      </c>
      <c r="C171" s="1880">
        <v>3100</v>
      </c>
      <c r="D171" s="1881" t="s">
        <v>1885</v>
      </c>
      <c r="E171" s="906"/>
      <c r="F171" s="1866">
        <v>170082</v>
      </c>
      <c r="G171" s="927"/>
    </row>
    <row r="172" spans="1:7" x14ac:dyDescent="0.2">
      <c r="A172" s="1878" t="s">
        <v>664</v>
      </c>
      <c r="B172" s="1879" t="s">
        <v>1883</v>
      </c>
      <c r="C172" s="1880">
        <v>3300</v>
      </c>
      <c r="D172" s="1881" t="s">
        <v>1886</v>
      </c>
      <c r="E172" s="906"/>
      <c r="F172" s="1866">
        <v>3</v>
      </c>
      <c r="G172" s="927"/>
    </row>
    <row r="173" spans="1:7" ht="6" customHeight="1" x14ac:dyDescent="0.2">
      <c r="A173" s="927"/>
      <c r="B173" s="927"/>
      <c r="C173" s="949"/>
      <c r="D173" s="927"/>
      <c r="E173" s="906"/>
      <c r="F173" s="950"/>
      <c r="G173" s="947"/>
    </row>
    <row r="174" spans="1:7" x14ac:dyDescent="0.2">
      <c r="A174" s="1770"/>
      <c r="B174" s="1784"/>
      <c r="C174" s="1785"/>
      <c r="D174" s="1786" t="s">
        <v>2018</v>
      </c>
      <c r="E174" s="1787" t="s">
        <v>958</v>
      </c>
      <c r="F174" s="1788">
        <f>SUM(F84:F132,F157:F172)</f>
        <v>584544</v>
      </c>
    </row>
    <row r="175" spans="1:7" ht="12" customHeight="1" x14ac:dyDescent="0.2">
      <c r="A175" s="1770"/>
      <c r="B175" s="1784"/>
      <c r="C175" s="1785"/>
      <c r="D175" s="1786" t="s">
        <v>2019</v>
      </c>
      <c r="E175" s="1787"/>
      <c r="F175" s="1789">
        <f>'PCTC-OEPP 27-28'!F77-F174</f>
        <v>3736900</v>
      </c>
    </row>
    <row r="176" spans="1:7" ht="12" customHeight="1" x14ac:dyDescent="0.2">
      <c r="A176" s="1770"/>
      <c r="B176" s="1784"/>
      <c r="C176" s="1785"/>
      <c r="D176" s="1786" t="s">
        <v>1782</v>
      </c>
      <c r="E176" s="1787"/>
      <c r="F176" s="1789">
        <f>'Cap Outlay Deprec 26'!I18</f>
        <v>119306</v>
      </c>
    </row>
    <row r="177" spans="1:7" ht="12" customHeight="1" x14ac:dyDescent="0.2">
      <c r="A177" s="1770"/>
      <c r="B177" s="1784"/>
      <c r="C177" s="1785"/>
      <c r="D177" s="1786" t="s">
        <v>2020</v>
      </c>
      <c r="E177" s="1787"/>
      <c r="F177" s="1789">
        <f>F175+F176</f>
        <v>3856206</v>
      </c>
    </row>
    <row r="178" spans="1:7" ht="12" customHeight="1" x14ac:dyDescent="0.2">
      <c r="A178" s="1770"/>
      <c r="B178" s="1790"/>
      <c r="C178" s="1785"/>
      <c r="D178" s="1786" t="str">
        <f>D78</f>
        <v>9 Month ADA from District Average Daily Attendance/Prior General State Aid Inquiry 2018-2019</v>
      </c>
      <c r="E178" s="1787"/>
      <c r="F178" s="1791">
        <f>'PCTC-OEPP 27-28'!F78</f>
        <v>470.69</v>
      </c>
      <c r="G178" s="930"/>
    </row>
    <row r="179" spans="1:7" ht="12" customHeight="1" thickBot="1" x14ac:dyDescent="0.25">
      <c r="A179" s="1770"/>
      <c r="B179" s="1790"/>
      <c r="C179" s="1785"/>
      <c r="D179" s="1786" t="s">
        <v>2021</v>
      </c>
      <c r="E179" s="1787" t="s">
        <v>1515</v>
      </c>
      <c r="F179" s="1792">
        <f>F177/F178</f>
        <v>8192.6660859589119</v>
      </c>
      <c r="G179" s="856">
        <v>6323</v>
      </c>
    </row>
    <row r="180" spans="1:7" ht="12" thickTop="1" x14ac:dyDescent="0.2">
      <c r="B180" s="930"/>
      <c r="C180" s="949"/>
      <c r="D180" s="930"/>
      <c r="E180" s="949"/>
      <c r="F180" s="930"/>
      <c r="G180" s="951">
        <v>6326</v>
      </c>
    </row>
    <row r="181" spans="1:7" ht="12.2" customHeight="1" x14ac:dyDescent="0.2">
      <c r="A181" s="930" t="s">
        <v>1884</v>
      </c>
      <c r="B181" s="930"/>
      <c r="C181" s="949"/>
      <c r="D181" s="930"/>
      <c r="E181" s="949"/>
      <c r="F181" s="930"/>
      <c r="G181" s="930"/>
    </row>
    <row r="182" spans="1:7" s="1882" customFormat="1" ht="12.2" customHeight="1" x14ac:dyDescent="0.2">
      <c r="A182" s="1882" t="s">
        <v>1956</v>
      </c>
      <c r="B182" s="1883"/>
      <c r="C182" s="1884"/>
      <c r="D182" s="1883"/>
      <c r="E182" s="1884"/>
      <c r="F182" s="1883"/>
      <c r="G182" s="1883"/>
    </row>
    <row r="183" spans="1:7" s="1882" customFormat="1" ht="12.2" customHeight="1" x14ac:dyDescent="0.2">
      <c r="A183" s="1885" t="s">
        <v>1958</v>
      </c>
      <c r="C183" s="1884"/>
      <c r="D183" s="1883"/>
      <c r="E183" s="1884"/>
      <c r="F183" s="1883"/>
      <c r="G183" s="1883"/>
    </row>
    <row r="184" spans="1:7" ht="12" customHeight="1" x14ac:dyDescent="0.2">
      <c r="C184" s="949"/>
      <c r="D184" s="930"/>
      <c r="E184" s="949"/>
      <c r="F184" s="930"/>
      <c r="G184" s="930"/>
    </row>
    <row r="185" spans="1:7" x14ac:dyDescent="0.2">
      <c r="A185" s="1886" t="s">
        <v>1888</v>
      </c>
      <c r="B185" s="1887" t="s">
        <v>1887</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I46"/>
  <sheetViews>
    <sheetView showGridLines="0" defaultGridColor="0" topLeftCell="A22"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4"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42" t="s">
        <v>1648</v>
      </c>
      <c r="B5" s="2243"/>
      <c r="C5" s="2243"/>
      <c r="D5" s="2243"/>
      <c r="E5" s="2243"/>
      <c r="F5" s="2243"/>
      <c r="G5" s="2244"/>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1896</v>
      </c>
      <c r="B10" s="971"/>
      <c r="C10" s="976"/>
      <c r="D10" s="972"/>
      <c r="E10" s="973"/>
      <c r="F10" s="974"/>
      <c r="G10" s="975"/>
      <c r="H10" s="162"/>
      <c r="I10" s="162"/>
    </row>
    <row r="11" spans="1:9" s="668" customFormat="1" ht="22.5" customHeight="1" x14ac:dyDescent="0.2">
      <c r="A11" s="2247" t="s">
        <v>1940</v>
      </c>
      <c r="B11" s="2248"/>
      <c r="C11" s="2248"/>
      <c r="D11" s="2249"/>
      <c r="E11" s="977">
        <v>13301</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2947607</v>
      </c>
      <c r="F19" s="1799"/>
      <c r="G19" s="1801">
        <f>'Expenditures 15-22'!K33-SUM('Expenditures 15-22'!G33,'Expenditures 15-22'!I33)+'Expenditures 15-22'!D229</f>
        <v>2947607</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200988</v>
      </c>
      <c r="F21" s="1802"/>
      <c r="G21" s="1805">
        <f>'Expenditures 15-22'!K42-SUM('Expenditures 15-22'!G42,'Expenditures 15-22'!I42)+'Expenditures 15-22'!K120-SUM('Expenditures 15-22'!G120,'Expenditures 15-22'!I120)+'Expenditures 15-22'!K180-SUM('Expenditures 15-22'!G180,'Expenditures 15-22'!I180)+'Expenditures 15-22'!D238</f>
        <v>200988</v>
      </c>
      <c r="H21" s="987"/>
      <c r="I21" s="162"/>
    </row>
    <row r="22" spans="1:9" s="668" customFormat="1" ht="12" customHeight="1" x14ac:dyDescent="0.2">
      <c r="A22" s="994" t="s">
        <v>564</v>
      </c>
      <c r="B22" s="995"/>
      <c r="C22" s="993">
        <v>2200</v>
      </c>
      <c r="D22" s="1802"/>
      <c r="E22" s="1804">
        <f>'Expenditures 15-22'!K47-SUM('Expenditures 15-22'!G47,'Expenditures 15-22'!I47)+'Expenditures 15-22'!D243</f>
        <v>170144</v>
      </c>
      <c r="F22" s="1802"/>
      <c r="G22" s="1805">
        <f>'Expenditures 15-22'!K47-SUM('Expenditures 15-22'!G47,'Expenditures 15-22'!I47)+'Expenditures 15-22'!D243</f>
        <v>170144</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156553</v>
      </c>
      <c r="F23" s="1802"/>
      <c r="G23" s="1804">
        <f>'Expenditures 15-22'!K53-SUM('Expenditures 15-22'!G53,'Expenditures 15-22'!I53)+'Expenditures 15-22'!D257+'Expenditures 15-22'!K330-SUM('Expenditures 15-22'!G330,'Expenditures 15-22'!I330)</f>
        <v>156553</v>
      </c>
      <c r="H23" s="987"/>
      <c r="I23" s="162"/>
    </row>
    <row r="24" spans="1:9" s="668" customFormat="1" ht="12" customHeight="1" x14ac:dyDescent="0.2">
      <c r="A24" s="994" t="s">
        <v>566</v>
      </c>
      <c r="B24" s="995"/>
      <c r="C24" s="993">
        <v>2400</v>
      </c>
      <c r="D24" s="1802"/>
      <c r="E24" s="1804">
        <f>'Expenditures 15-22'!K57-SUM('Expenditures 15-22'!G57,'Expenditures 15-22'!I57)+'Expenditures 15-22'!D261</f>
        <v>263396</v>
      </c>
      <c r="F24" s="1802"/>
      <c r="G24" s="1805">
        <f>'Expenditures 15-22'!K57-SUM('Expenditures 15-22'!G57,'Expenditures 15-22'!I57)+'Expenditures 15-22'!D261</f>
        <v>263396</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60814</v>
      </c>
      <c r="E27" s="1804">
        <f>E8</f>
        <v>0</v>
      </c>
      <c r="F27" s="1804">
        <f>'Expenditures 15-22'!K60-SUM('Expenditures 15-22'!G60,'Expenditures 15-22'!I60)+'Expenditures 15-22'!D264-E8</f>
        <v>60814</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398686</v>
      </c>
      <c r="F28" s="1806">
        <f>'Expenditures 15-22'!K61-SUM('Expenditures 15-22'!G61,'Expenditures 15-22'!I61)+'Expenditures 15-22'!K124-SUM('Expenditures 15-22'!G124,'Expenditures 15-22'!I124)+'Expenditures 15-22'!D266-E9</f>
        <v>398686</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199252</v>
      </c>
      <c r="F29" s="1802"/>
      <c r="G29" s="1805">
        <f>'Expenditures 15-22'!K62-SUM('Expenditures 15-22'!G62,'Expenditures 15-22'!I62)+'Expenditures 15-22'!K125-SUM('Expenditures 15-22'!G125,'Expenditures 15-22'!I125)+'Expenditures 15-22'!K182-SUM('Expenditures 15-22'!G182,'Expenditures 15-22'!I182)+'Expenditures 15-22'!D267</f>
        <v>199252</v>
      </c>
      <c r="H29" s="985"/>
    </row>
    <row r="30" spans="1:9" ht="12" customHeight="1" x14ac:dyDescent="0.2">
      <c r="A30" s="994" t="s">
        <v>100</v>
      </c>
      <c r="B30" s="997"/>
      <c r="C30" s="993">
        <v>2560</v>
      </c>
      <c r="D30" s="1802"/>
      <c r="E30" s="1804">
        <f>'Expenditures 15-22'!K63-SUM('Expenditures 15-22'!G63,'Expenditures 15-22'!I63)+'Expenditures 15-22'!D268-E10</f>
        <v>159510</v>
      </c>
      <c r="F30" s="1802"/>
      <c r="G30" s="1804">
        <f>'Expenditures 15-22'!K63-SUM('Expenditures 15-22'!G63,'Expenditures 15-22'!I63)+'Expenditures 15-22'!D268-E10</f>
        <v>159510</v>
      </c>
    </row>
    <row r="31" spans="1:9" ht="12" customHeight="1" x14ac:dyDescent="0.2">
      <c r="A31" s="994" t="s">
        <v>101</v>
      </c>
      <c r="B31" s="997"/>
      <c r="C31" s="993">
        <v>2570</v>
      </c>
      <c r="D31" s="1804">
        <f>'Expenditures 15-22'!K64-SUM('Expenditures 15-22'!G64,'Expenditures 15-22'!I64)+'Expenditures 15-22'!D269-E12</f>
        <v>34537</v>
      </c>
      <c r="E31" s="1804">
        <f>E12</f>
        <v>0</v>
      </c>
      <c r="F31" s="1804">
        <f>'Expenditures 15-22'!K64-SUM('Expenditures 15-22'!G64,'Expenditures 15-22'!I64)+'Expenditures 15-22'!D269-E12</f>
        <v>34537</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6290</v>
      </c>
      <c r="F39" s="1802"/>
      <c r="G39" s="1804">
        <f>'Expenditures 15-22'!K75-SUM('Expenditures 15-22'!G75,'Expenditures 15-22'!I75)+'Expenditures 15-22'!K130-SUM('Expenditures 15-22'!G130,'Expenditures 15-22'!I130)+'Expenditures 15-22'!K185-SUM('Expenditures 15-22'!G185,'Expenditures 15-22'!I185)+'Expenditures 15-22'!D280</f>
        <v>6290</v>
      </c>
    </row>
    <row r="40" spans="1:7" ht="12" customHeight="1" x14ac:dyDescent="0.2">
      <c r="A40" s="990" t="s">
        <v>1788</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95351</v>
      </c>
      <c r="E41" s="1806">
        <f>SUM(E19:E40)</f>
        <v>4502426</v>
      </c>
      <c r="F41" s="1806">
        <f>SUM(F19:F39)</f>
        <v>494037</v>
      </c>
      <c r="G41" s="1806">
        <f>SUM(G19:G40)</f>
        <v>4103740</v>
      </c>
    </row>
    <row r="42" spans="1:7" x14ac:dyDescent="0.2">
      <c r="A42" s="987"/>
      <c r="B42" s="162"/>
      <c r="C42" s="1001"/>
      <c r="D42" s="2245" t="s">
        <v>522</v>
      </c>
      <c r="E42" s="2246"/>
      <c r="F42" s="1002" t="s">
        <v>523</v>
      </c>
      <c r="G42" s="1003"/>
    </row>
    <row r="43" spans="1:7" ht="12" customHeight="1" x14ac:dyDescent="0.2">
      <c r="A43" s="987"/>
      <c r="B43" s="162"/>
      <c r="C43" s="1001"/>
      <c r="D43" s="1807" t="s">
        <v>473</v>
      </c>
      <c r="E43" s="1808">
        <f>D41</f>
        <v>95351</v>
      </c>
      <c r="F43" s="1807" t="s">
        <v>473</v>
      </c>
      <c r="G43" s="1808">
        <f>F41</f>
        <v>494037</v>
      </c>
    </row>
    <row r="44" spans="1:7" ht="12" customHeight="1" x14ac:dyDescent="0.2">
      <c r="A44" s="987"/>
      <c r="B44" s="162"/>
      <c r="C44" s="1001"/>
      <c r="D44" s="1807" t="s">
        <v>474</v>
      </c>
      <c r="E44" s="1808">
        <f>E41</f>
        <v>4502426</v>
      </c>
      <c r="F44" s="1807" t="s">
        <v>474</v>
      </c>
      <c r="G44" s="1808">
        <f>G41</f>
        <v>4103740</v>
      </c>
    </row>
    <row r="45" spans="1:7" ht="12" customHeight="1" x14ac:dyDescent="0.2">
      <c r="A45" s="987"/>
      <c r="B45" s="162"/>
      <c r="C45" s="162"/>
      <c r="D45" s="1809" t="s">
        <v>1006</v>
      </c>
      <c r="E45" s="1810">
        <f>(E43/E44)</f>
        <v>2.1177693980978254E-2</v>
      </c>
      <c r="F45" s="1809" t="s">
        <v>1006</v>
      </c>
      <c r="G45" s="1810">
        <f>(G43/G44)</f>
        <v>0.12038701282244976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50"/>
  </sheetPr>
  <dimension ref="A1:Q40"/>
  <sheetViews>
    <sheetView showGridLines="0" defaultGridColor="0" colorId="8" zoomScale="110" zoomScaleNormal="110" workbookViewId="0">
      <selection activeCell="H17" sqref="H1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54" t="s">
        <v>672</v>
      </c>
      <c r="B6" s="1642"/>
      <c r="C6" s="1642"/>
      <c r="D6" s="1642"/>
      <c r="E6" s="1643"/>
      <c r="F6" s="1015"/>
      <c r="G6" s="1009"/>
      <c r="H6" s="1016" t="s">
        <v>1028</v>
      </c>
      <c r="I6" s="2255" t="str">
        <f>COVER!A17</f>
        <v>Dwight Common SD 232</v>
      </c>
      <c r="J6" s="2256"/>
      <c r="Q6" s="1664"/>
    </row>
    <row r="7" spans="1:17" x14ac:dyDescent="0.2">
      <c r="A7" s="2257" t="s">
        <v>869</v>
      </c>
      <c r="B7" s="2258"/>
      <c r="C7" s="2258"/>
      <c r="D7" s="2258"/>
      <c r="E7" s="2259"/>
      <c r="F7" s="1017"/>
      <c r="G7" s="1009"/>
      <c r="H7" s="1016" t="s">
        <v>372</v>
      </c>
      <c r="I7" s="2260">
        <f>COVER!A13</f>
        <v>17053232002</v>
      </c>
      <c r="J7" s="2260"/>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55" t="s">
        <v>1941</v>
      </c>
      <c r="F9" s="1023"/>
      <c r="G9" s="1023"/>
      <c r="H9" s="1856" t="s">
        <v>1942</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261" t="s">
        <v>481</v>
      </c>
      <c r="B11" s="2262"/>
      <c r="C11" s="226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71626</v>
      </c>
      <c r="F12" s="1039"/>
      <c r="G12" s="1811">
        <f t="shared" ref="G12:G18" si="0">SUM(E12:F12)</f>
        <v>71626</v>
      </c>
      <c r="H12" s="1040">
        <v>75131</v>
      </c>
      <c r="I12" s="1039"/>
      <c r="J12" s="1811">
        <f t="shared" ref="J12:J18" si="1">SUM(H12:I12)</f>
        <v>75131</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34537</v>
      </c>
      <c r="F16" s="1039"/>
      <c r="G16" s="1811">
        <f t="shared" si="0"/>
        <v>34537</v>
      </c>
      <c r="H16" s="1040">
        <v>31750</v>
      </c>
      <c r="I16" s="1039"/>
      <c r="J16" s="1811">
        <f t="shared" si="1"/>
        <v>31750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264" t="s">
        <v>7</v>
      </c>
      <c r="C18" s="2265"/>
      <c r="D18" s="2266"/>
      <c r="E18" s="1043"/>
      <c r="F18" s="1043"/>
      <c r="G18" s="1812">
        <f t="shared" si="0"/>
        <v>0</v>
      </c>
      <c r="H18" s="1040"/>
      <c r="I18" s="1040"/>
      <c r="J18" s="1811">
        <f t="shared" si="1"/>
        <v>0</v>
      </c>
    </row>
    <row r="19" spans="1:10" ht="13.15" customHeight="1" thickBot="1" x14ac:dyDescent="0.25">
      <c r="A19" s="1035">
        <v>8</v>
      </c>
      <c r="B19" s="1044" t="s">
        <v>1161</v>
      </c>
      <c r="D19" s="1045"/>
      <c r="E19" s="1813">
        <f t="shared" ref="E19:J19" si="2">SUM(E12:E17)-E18</f>
        <v>106163</v>
      </c>
      <c r="F19" s="1813">
        <f t="shared" si="2"/>
        <v>0</v>
      </c>
      <c r="G19" s="1813">
        <f t="shared" si="2"/>
        <v>106163</v>
      </c>
      <c r="H19" s="1813">
        <f t="shared" si="2"/>
        <v>106881</v>
      </c>
      <c r="I19" s="1813">
        <f t="shared" si="2"/>
        <v>0</v>
      </c>
      <c r="J19" s="1813">
        <f t="shared" si="2"/>
        <v>106881</v>
      </c>
    </row>
    <row r="20" spans="1:10" ht="13.5" thickTop="1" x14ac:dyDescent="0.2">
      <c r="A20" s="1035">
        <v>9</v>
      </c>
      <c r="B20" s="2267" t="s">
        <v>1943</v>
      </c>
      <c r="C20" s="2267"/>
      <c r="D20" s="2268"/>
      <c r="E20" s="1046"/>
      <c r="F20" s="1046"/>
      <c r="G20" s="1046"/>
      <c r="H20" s="1046"/>
      <c r="I20" s="1046"/>
      <c r="J20" s="1814">
        <f>IF(AND(G19&gt;0,J19&gt;0),(((J19-G19)/G19)),"Enter Budget Data")</f>
        <v>6.7631849137646822E-3</v>
      </c>
    </row>
    <row r="21" spans="1:10" ht="9.4" customHeight="1" x14ac:dyDescent="0.2">
      <c r="B21" s="1047"/>
    </row>
    <row r="22" spans="1:10" x14ac:dyDescent="0.2">
      <c r="A22" s="1048" t="s">
        <v>133</v>
      </c>
      <c r="B22" s="1047"/>
    </row>
    <row r="23" spans="1:10" x14ac:dyDescent="0.2">
      <c r="A23" s="1011" t="s">
        <v>1944</v>
      </c>
      <c r="B23" s="1047"/>
    </row>
    <row r="24" spans="1:10" x14ac:dyDescent="0.2">
      <c r="A24" s="1011" t="s">
        <v>1957</v>
      </c>
      <c r="B24" s="1047"/>
    </row>
    <row r="25" spans="1:10" x14ac:dyDescent="0.2">
      <c r="A25" s="1049"/>
      <c r="B25" s="1047"/>
    </row>
    <row r="26" spans="1:10" ht="20.25" customHeight="1" x14ac:dyDescent="0.2">
      <c r="B26" s="1047"/>
      <c r="C26" s="2273"/>
      <c r="D26" s="2273"/>
      <c r="E26" s="1050"/>
      <c r="F26" s="2272"/>
      <c r="G26" s="2272"/>
    </row>
    <row r="27" spans="1:10" x14ac:dyDescent="0.2">
      <c r="B27" s="1047"/>
      <c r="C27" s="1051" t="s">
        <v>1033</v>
      </c>
      <c r="D27" s="1052"/>
      <c r="E27" s="1053"/>
      <c r="F27" s="2269" t="s">
        <v>1495</v>
      </c>
      <c r="G27" s="2269"/>
    </row>
    <row r="28" spans="1:10" ht="28.5" customHeight="1" x14ac:dyDescent="0.2">
      <c r="B28" s="1047"/>
      <c r="C28" s="2271"/>
      <c r="D28" s="2271"/>
      <c r="E28" s="1054"/>
      <c r="F28" s="2271"/>
      <c r="G28" s="2271"/>
    </row>
    <row r="29" spans="1:10" x14ac:dyDescent="0.2">
      <c r="B29" s="1047"/>
      <c r="C29" s="1055" t="s">
        <v>1530</v>
      </c>
      <c r="E29" s="1056"/>
      <c r="F29" s="2270" t="s">
        <v>1496</v>
      </c>
      <c r="G29" s="2270"/>
    </row>
    <row r="30" spans="1:10" ht="9.4" customHeight="1" x14ac:dyDescent="0.2">
      <c r="B30" s="1047"/>
      <c r="C30" s="1057"/>
      <c r="E30" s="1058"/>
      <c r="F30" s="1059"/>
      <c r="G30" s="1059"/>
    </row>
    <row r="31" spans="1:10" ht="15" customHeight="1" x14ac:dyDescent="0.2">
      <c r="A31" s="1011"/>
      <c r="B31" s="1060" t="s">
        <v>1034</v>
      </c>
    </row>
    <row r="32" spans="1:10" ht="9.4" customHeight="1" x14ac:dyDescent="0.2">
      <c r="A32" s="1011"/>
      <c r="B32" s="1048"/>
    </row>
    <row r="33" spans="1:10" ht="13.15" customHeight="1" x14ac:dyDescent="0.2">
      <c r="A33" s="1011"/>
      <c r="B33" s="1061"/>
      <c r="C33" s="2252" t="s">
        <v>132</v>
      </c>
      <c r="D33" s="2253"/>
      <c r="E33" s="2253"/>
      <c r="F33" s="2253"/>
      <c r="G33" s="2253"/>
      <c r="H33" s="2253"/>
      <c r="I33" s="2253"/>
    </row>
    <row r="34" spans="1:10" ht="10.35" customHeight="1" x14ac:dyDescent="0.2">
      <c r="C34" s="2253"/>
      <c r="D34" s="2253"/>
      <c r="E34" s="2253"/>
      <c r="F34" s="2253"/>
      <c r="G34" s="2253"/>
      <c r="H34" s="2253"/>
      <c r="I34" s="2253"/>
    </row>
    <row r="35" spans="1:10" ht="7.5" customHeight="1" x14ac:dyDescent="0.2">
      <c r="C35" s="1062"/>
    </row>
    <row r="36" spans="1:10" ht="13.5" customHeight="1" x14ac:dyDescent="0.2">
      <c r="B36" s="1061"/>
      <c r="C36" s="2254" t="s">
        <v>1945</v>
      </c>
      <c r="D36" s="2253"/>
      <c r="E36" s="2253"/>
      <c r="F36" s="2253"/>
      <c r="G36" s="2253"/>
      <c r="H36" s="2253"/>
      <c r="I36" s="2253"/>
      <c r="J36" s="1063"/>
    </row>
    <row r="37" spans="1:10" ht="22.5" customHeight="1" x14ac:dyDescent="0.2">
      <c r="C37" s="2253"/>
      <c r="D37" s="2253"/>
      <c r="E37" s="2253"/>
      <c r="F37" s="2253"/>
      <c r="G37" s="2253"/>
      <c r="H37" s="2253"/>
      <c r="I37" s="2253"/>
      <c r="J37" s="1063"/>
    </row>
    <row r="38" spans="1:10" ht="7.5" customHeight="1" x14ac:dyDescent="0.2">
      <c r="C38" s="1062"/>
      <c r="D38" s="1064"/>
      <c r="E38" s="1065"/>
      <c r="F38" s="1066"/>
      <c r="G38" s="1065"/>
    </row>
    <row r="39" spans="1:10" ht="13.5" customHeight="1" x14ac:dyDescent="0.2">
      <c r="B39" s="1061"/>
      <c r="C39" s="2250" t="s">
        <v>882</v>
      </c>
      <c r="D39" s="2251"/>
      <c r="E39" s="2251"/>
      <c r="F39" s="2251"/>
      <c r="G39" s="2251"/>
      <c r="H39" s="2251"/>
      <c r="I39" s="225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5"/>
  <sheetViews>
    <sheetView showGridLines="0" zoomScale="110" zoomScaleNormal="110" workbookViewId="0">
      <selection activeCell="B27" sqref="B2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2046</v>
      </c>
    </row>
    <row r="6" spans="1:2" x14ac:dyDescent="0.2">
      <c r="A6" s="1068">
        <v>2</v>
      </c>
      <c r="B6" s="329" t="s">
        <v>2047</v>
      </c>
    </row>
    <row r="7" spans="1:2" x14ac:dyDescent="0.2">
      <c r="A7" s="1068">
        <v>3</v>
      </c>
      <c r="B7" s="329" t="s">
        <v>2048</v>
      </c>
    </row>
    <row r="8" spans="1:2" x14ac:dyDescent="0.2">
      <c r="A8" s="1068">
        <v>4</v>
      </c>
      <c r="B8" s="329" t="s">
        <v>2049</v>
      </c>
    </row>
    <row r="9" spans="1:2" x14ac:dyDescent="0.2">
      <c r="A9" s="1069">
        <v>5</v>
      </c>
      <c r="B9" s="329" t="s">
        <v>2050</v>
      </c>
    </row>
    <row r="10" spans="1:2" x14ac:dyDescent="0.2">
      <c r="A10" s="1069">
        <v>6</v>
      </c>
      <c r="B10" s="329" t="s">
        <v>2051</v>
      </c>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Dwight Common SD 232</v>
      </c>
    </row>
    <row r="65" spans="2:2" x14ac:dyDescent="0.2">
      <c r="B65" s="1070">
        <f>COVER!A13</f>
        <v>17053232002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topLeftCell="A7" colorId="8" zoomScale="110" zoomScaleNormal="110" workbookViewId="0">
      <selection activeCell="X29" sqref="X2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1400</v>
      </c>
      <c r="D6" s="24"/>
    </row>
    <row r="7" spans="1:4" ht="13.5" customHeight="1" x14ac:dyDescent="0.2">
      <c r="A7" s="23"/>
      <c r="B7" s="25"/>
      <c r="C7" s="65" t="s">
        <v>1401</v>
      </c>
      <c r="D7" s="24"/>
    </row>
    <row r="8" spans="1:4" ht="13.5" customHeight="1" x14ac:dyDescent="0.2">
      <c r="A8" s="23"/>
      <c r="B8" s="146" t="s">
        <v>943</v>
      </c>
      <c r="C8" s="65" t="s">
        <v>1386</v>
      </c>
      <c r="D8" s="24"/>
    </row>
    <row r="9" spans="1:4" ht="13.5" customHeight="1" x14ac:dyDescent="0.2">
      <c r="A9" s="14"/>
      <c r="B9" s="144" t="s">
        <v>944</v>
      </c>
      <c r="C9" s="142" t="s">
        <v>1319</v>
      </c>
    </row>
    <row r="10" spans="1:4" ht="13.5" customHeight="1" x14ac:dyDescent="0.2">
      <c r="B10" s="18" t="s">
        <v>945</v>
      </c>
      <c r="C10" s="15" t="s">
        <v>909</v>
      </c>
    </row>
    <row r="11" spans="1:4" ht="13.15" customHeight="1" x14ac:dyDescent="0.2">
      <c r="B11" s="18" t="s">
        <v>946</v>
      </c>
      <c r="C11" s="16" t="s">
        <v>859</v>
      </c>
    </row>
    <row r="12" spans="1:4" ht="21.75" customHeight="1" x14ac:dyDescent="0.2">
      <c r="B12" s="18" t="s">
        <v>947</v>
      </c>
      <c r="C12" s="145" t="s">
        <v>1385</v>
      </c>
    </row>
    <row r="13" spans="1:4" s="19" customFormat="1" ht="13.15" customHeight="1" x14ac:dyDescent="0.2">
      <c r="B13" s="18" t="s">
        <v>915</v>
      </c>
      <c r="C13" s="16" t="s">
        <v>1127</v>
      </c>
    </row>
    <row r="14" spans="1:4" ht="21.75" customHeight="1" x14ac:dyDescent="0.2">
      <c r="B14" s="18" t="s">
        <v>916</v>
      </c>
      <c r="C14" s="16" t="s">
        <v>843</v>
      </c>
    </row>
    <row r="15" spans="1:4" ht="13.15" customHeight="1" x14ac:dyDescent="0.2">
      <c r="B15" s="143" t="s">
        <v>1325</v>
      </c>
      <c r="C15" s="142" t="s">
        <v>1326</v>
      </c>
    </row>
    <row r="16" spans="1:4" ht="13.15" customHeight="1" x14ac:dyDescent="0.2">
      <c r="C16" s="142" t="s">
        <v>1327</v>
      </c>
    </row>
    <row r="17" spans="3:3" ht="13.1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B050"/>
  </sheetPr>
  <dimension ref="A11:F18"/>
  <sheetViews>
    <sheetView showGridLines="0" zoomScale="110" zoomScaleNormal="110" workbookViewId="0">
      <selection activeCell="E18" sqref="E1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1479</v>
      </c>
    </row>
    <row r="15" spans="1:6" x14ac:dyDescent="0.2">
      <c r="A15" s="389" t="s">
        <v>857</v>
      </c>
    </row>
    <row r="16" spans="1:6" s="1071" customFormat="1" ht="45.4" customHeight="1" x14ac:dyDescent="0.2">
      <c r="A16" s="1073"/>
      <c r="B16" s="1073" t="s">
        <v>1649</v>
      </c>
    </row>
    <row r="17" spans="1:2" ht="6" customHeight="1" x14ac:dyDescent="0.2"/>
    <row r="18" spans="1:2" ht="24.75" customHeight="1" x14ac:dyDescent="0.2">
      <c r="A18" s="2274" t="s">
        <v>1650</v>
      </c>
      <c r="B18" s="227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topLeftCell="A7" zoomScale="110" zoomScaleNormal="110" workbookViewId="0">
      <selection activeCell="G23" sqref="G23"/>
    </sheetView>
  </sheetViews>
  <sheetFormatPr defaultColWidth="9.140625" defaultRowHeight="12.75" x14ac:dyDescent="0.2"/>
  <cols>
    <col min="1" max="1" width="33.85546875" style="316" customWidth="1"/>
    <col min="2" max="6" width="16.7109375" style="316" customWidth="1"/>
    <col min="7" max="16384" width="9.140625" style="316"/>
  </cols>
  <sheetData>
    <row r="1" spans="1:8" ht="49.15" customHeight="1" x14ac:dyDescent="0.2">
      <c r="A1" s="2275" t="s">
        <v>1655</v>
      </c>
      <c r="B1" s="2276"/>
      <c r="C1" s="2276"/>
      <c r="D1" s="2276"/>
      <c r="E1" s="2276"/>
      <c r="F1" s="2277"/>
    </row>
    <row r="2" spans="1:8" ht="45.4" customHeight="1" x14ac:dyDescent="0.2">
      <c r="A2" s="2285" t="s">
        <v>1949</v>
      </c>
      <c r="B2" s="2286"/>
      <c r="C2" s="2286"/>
      <c r="D2" s="2286"/>
      <c r="E2" s="2286"/>
      <c r="F2" s="2287"/>
      <c r="G2" s="1074"/>
      <c r="H2" s="1074"/>
    </row>
    <row r="3" spans="1:8" ht="57" customHeight="1" x14ac:dyDescent="0.2">
      <c r="A3" s="2288" t="s">
        <v>1651</v>
      </c>
      <c r="B3" s="2289"/>
      <c r="C3" s="2289"/>
      <c r="D3" s="2289"/>
      <c r="E3" s="2289"/>
      <c r="F3" s="2290"/>
      <c r="G3" s="1074"/>
      <c r="H3" s="1074"/>
    </row>
    <row r="4" spans="1:8" ht="14.25" customHeight="1" x14ac:dyDescent="0.2">
      <c r="A4" s="2294" t="s">
        <v>1950</v>
      </c>
      <c r="B4" s="2295"/>
      <c r="C4" s="2295"/>
      <c r="D4" s="2295"/>
      <c r="E4" s="2295"/>
      <c r="F4" s="2296"/>
      <c r="G4" s="1074"/>
      <c r="H4" s="1074"/>
    </row>
    <row r="5" spans="1:8" ht="14.25" customHeight="1" x14ac:dyDescent="0.2">
      <c r="A5" s="2297" t="s">
        <v>1946</v>
      </c>
      <c r="B5" s="2298"/>
      <c r="C5" s="2298"/>
      <c r="D5" s="2298"/>
      <c r="E5" s="2298"/>
      <c r="F5" s="2299"/>
      <c r="G5" s="1074"/>
      <c r="H5" s="1074"/>
    </row>
    <row r="6" spans="1:8" s="1075" customFormat="1" ht="41.25" customHeight="1" x14ac:dyDescent="0.2">
      <c r="A6" s="2291" t="s">
        <v>1656</v>
      </c>
      <c r="B6" s="2292"/>
      <c r="C6" s="2292"/>
      <c r="D6" s="2292"/>
      <c r="E6" s="2292"/>
      <c r="F6" s="2293"/>
    </row>
    <row r="7" spans="1:8" ht="42" customHeight="1" x14ac:dyDescent="0.2">
      <c r="A7" s="1076" t="s">
        <v>481</v>
      </c>
      <c r="B7" s="1077" t="s">
        <v>1482</v>
      </c>
      <c r="C7" s="1077" t="s">
        <v>1483</v>
      </c>
      <c r="D7" s="1077" t="s">
        <v>1481</v>
      </c>
      <c r="E7" s="1077" t="s">
        <v>1484</v>
      </c>
      <c r="F7" s="1077" t="s">
        <v>1367</v>
      </c>
    </row>
    <row r="8" spans="1:8" s="1079" customFormat="1" ht="14.25" customHeight="1" x14ac:dyDescent="0.2">
      <c r="A8" s="1078" t="s">
        <v>1368</v>
      </c>
      <c r="B8" s="1815">
        <f>'Acct Summary 7-8'!C8</f>
        <v>4263284</v>
      </c>
      <c r="C8" s="1815">
        <f>'Acct Summary 7-8'!D8</f>
        <v>401642</v>
      </c>
      <c r="D8" s="1815">
        <f>'Acct Summary 7-8'!F8</f>
        <v>185767</v>
      </c>
      <c r="E8" s="1815">
        <f>'Acct Summary 7-8'!I8</f>
        <v>57532</v>
      </c>
      <c r="F8" s="1815">
        <f>SUM(B8:E8)</f>
        <v>4908225</v>
      </c>
    </row>
    <row r="9" spans="1:8" s="1079" customFormat="1" ht="14.25" customHeight="1" thickBot="1" x14ac:dyDescent="0.25">
      <c r="A9" s="1078" t="s">
        <v>1369</v>
      </c>
      <c r="B9" s="1816">
        <f>'Acct Summary 7-8'!C17</f>
        <v>4194541</v>
      </c>
      <c r="C9" s="1816">
        <f>'Acct Summary 7-8'!D17</f>
        <v>426669</v>
      </c>
      <c r="D9" s="1816">
        <f>'Acct Summary 7-8'!F17</f>
        <v>192087</v>
      </c>
      <c r="E9" s="1815"/>
      <c r="F9" s="1815">
        <f>SUM(B9:E9)</f>
        <v>4813297</v>
      </c>
    </row>
    <row r="10" spans="1:8" s="1079" customFormat="1" ht="14.25" thickTop="1" thickBot="1" x14ac:dyDescent="0.25">
      <c r="A10" s="1080" t="s">
        <v>1370</v>
      </c>
      <c r="B10" s="1817">
        <f>(B8-B9)</f>
        <v>68743</v>
      </c>
      <c r="C10" s="1817">
        <f>(C8-C9)</f>
        <v>-25027</v>
      </c>
      <c r="D10" s="1817">
        <f>(D8-D9)</f>
        <v>-6320</v>
      </c>
      <c r="E10" s="1816">
        <f>(E8-E9)</f>
        <v>57532</v>
      </c>
      <c r="F10" s="1818">
        <f>SUM(F8-F9)</f>
        <v>94928</v>
      </c>
    </row>
    <row r="11" spans="1:8" s="1079" customFormat="1" ht="14.25" thickTop="1" thickBot="1" x14ac:dyDescent="0.25">
      <c r="A11" s="1081" t="s">
        <v>1947</v>
      </c>
      <c r="B11" s="1819">
        <f>'Acct Summary 7-8'!C81</f>
        <v>1165706</v>
      </c>
      <c r="C11" s="1819">
        <f>'Acct Summary 7-8'!D81</f>
        <v>465772</v>
      </c>
      <c r="D11" s="1819">
        <f>'Acct Summary 7-8'!F81</f>
        <v>374053</v>
      </c>
      <c r="E11" s="1819">
        <f>'Acct Summary 7-8'!I81</f>
        <v>1084115</v>
      </c>
      <c r="F11" s="1820">
        <f>SUM(B11:E11)</f>
        <v>3089646</v>
      </c>
    </row>
    <row r="12" spans="1:8" ht="16.7" customHeight="1" thickTop="1" x14ac:dyDescent="0.2">
      <c r="A12" s="1082"/>
      <c r="B12" s="1083"/>
      <c r="C12" s="2279" t="str">
        <f>IF(AND(F10&lt;0,F11&gt;=0,ABS(F10*3)&gt;ABS(F11)),A16,IF(AND(F10&lt;0,F11&gt;0,ABS(F10*3)&lt;=ABS(F11)),A17,IF(AND(F10&lt;0,F11&lt;0),A16,IF(F11=0,A19,A18))))</f>
        <v>Balanced - no deficit reduction plan is required.</v>
      </c>
      <c r="D12" s="2280"/>
      <c r="E12" s="2280"/>
      <c r="F12" s="2281"/>
    </row>
    <row r="13" spans="1:8" ht="19.5" customHeight="1" x14ac:dyDescent="0.2">
      <c r="A13" s="1084"/>
      <c r="B13" s="1085"/>
      <c r="C13" s="2279"/>
      <c r="D13" s="2280"/>
      <c r="E13" s="2280"/>
      <c r="F13" s="2281"/>
      <c r="H13" s="1074"/>
    </row>
    <row r="14" spans="1:8" ht="19.5" customHeight="1" x14ac:dyDescent="0.2">
      <c r="A14" s="1084"/>
      <c r="B14" s="1085"/>
      <c r="C14" s="2279"/>
      <c r="D14" s="2280"/>
      <c r="E14" s="2280"/>
      <c r="F14" s="2281"/>
      <c r="H14" s="1074"/>
    </row>
    <row r="15" spans="1:8" ht="17.25" customHeight="1" x14ac:dyDescent="0.2">
      <c r="A15" s="1084"/>
      <c r="B15" s="1085"/>
      <c r="C15" s="2282"/>
      <c r="D15" s="2283"/>
      <c r="E15" s="2283"/>
      <c r="F15" s="2284"/>
      <c r="H15" s="1074"/>
    </row>
    <row r="16" spans="1:8" s="310" customFormat="1" ht="51.75" hidden="1" customHeight="1" x14ac:dyDescent="0.2">
      <c r="A16" s="2278" t="s">
        <v>1652</v>
      </c>
      <c r="B16" s="2278"/>
      <c r="C16" s="2278"/>
      <c r="D16" s="2278"/>
      <c r="E16" s="2278"/>
      <c r="F16" s="310" t="s">
        <v>1371</v>
      </c>
    </row>
    <row r="17" spans="1:6" hidden="1" x14ac:dyDescent="0.2">
      <c r="A17" s="316" t="s">
        <v>1653</v>
      </c>
      <c r="F17" s="1086" t="s">
        <v>1372</v>
      </c>
    </row>
    <row r="18" spans="1:6" hidden="1" x14ac:dyDescent="0.2">
      <c r="A18" s="316" t="s">
        <v>1654</v>
      </c>
      <c r="F18" s="316" t="s">
        <v>1396</v>
      </c>
    </row>
    <row r="19" spans="1:6" hidden="1" x14ac:dyDescent="0.2">
      <c r="A19" s="316" t="s">
        <v>1395</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3" colorId="8" zoomScale="110" zoomScaleNormal="110" workbookViewId="0">
      <selection activeCell="X29" sqref="X2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57"/>
      <c r="B2" s="1858"/>
      <c r="C2" s="1859"/>
      <c r="D2" s="1860"/>
    </row>
    <row r="3" spans="1:4" ht="36" customHeight="1" x14ac:dyDescent="0.2">
      <c r="A3" s="2300" t="s">
        <v>665</v>
      </c>
      <c r="B3" s="2301"/>
      <c r="C3" s="2301"/>
      <c r="D3" s="2302"/>
    </row>
    <row r="4" spans="1:4" x14ac:dyDescent="0.2">
      <c r="A4" s="1152" t="s">
        <v>1657</v>
      </c>
      <c r="B4" s="1153"/>
      <c r="C4" s="1154"/>
      <c r="D4" s="1155"/>
    </row>
    <row r="5" spans="1:4" ht="21" customHeight="1" x14ac:dyDescent="0.2">
      <c r="A5" s="1148"/>
      <c r="B5" s="1149">
        <v>1</v>
      </c>
      <c r="C5" s="1150" t="s">
        <v>1800</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11" t="s">
        <v>1490</v>
      </c>
      <c r="D7" s="2312"/>
    </row>
    <row r="8" spans="1:4" s="668" customFormat="1" ht="12.75" x14ac:dyDescent="0.2">
      <c r="A8" s="1138"/>
      <c r="B8" s="1093"/>
      <c r="C8" s="1096" t="s">
        <v>1489</v>
      </c>
      <c r="D8" s="1097"/>
    </row>
    <row r="9" spans="1:4" s="668" customFormat="1" ht="14.25" customHeight="1" x14ac:dyDescent="0.2">
      <c r="A9" s="1138"/>
      <c r="B9" s="1093">
        <f>B7+1</f>
        <v>4</v>
      </c>
      <c r="C9" s="1094" t="s">
        <v>1876</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1491</v>
      </c>
      <c r="D14" s="1137"/>
    </row>
    <row r="15" spans="1:4" s="668" customFormat="1" ht="21.75" customHeight="1" x14ac:dyDescent="0.2">
      <c r="A15" s="2303" t="s">
        <v>1008</v>
      </c>
      <c r="B15" s="2304"/>
      <c r="C15" s="2304"/>
      <c r="D15" s="2305"/>
    </row>
    <row r="16" spans="1:4" s="668" customFormat="1" ht="24" customHeight="1" x14ac:dyDescent="0.2">
      <c r="A16" s="2306" t="s">
        <v>663</v>
      </c>
      <c r="B16" s="2307"/>
      <c r="C16" s="2307"/>
      <c r="D16" s="2308"/>
    </row>
    <row r="17" spans="1:10" s="668" customFormat="1" ht="13.15" customHeight="1" x14ac:dyDescent="0.2">
      <c r="A17" s="1156" t="s">
        <v>1658</v>
      </c>
      <c r="B17" s="1157"/>
      <c r="C17" s="1158"/>
      <c r="D17" s="1159"/>
    </row>
    <row r="18" spans="1:10" s="668" customFormat="1" ht="13.15" customHeight="1" x14ac:dyDescent="0.2">
      <c r="A18" s="1160" t="s">
        <v>1659</v>
      </c>
      <c r="B18" s="1161"/>
      <c r="C18" s="1162"/>
      <c r="D18" s="1163"/>
    </row>
    <row r="19" spans="1:10" ht="6.75" customHeight="1" thickBot="1" x14ac:dyDescent="0.25">
      <c r="A19" s="1164"/>
      <c r="B19" s="1165"/>
      <c r="C19" s="1166"/>
      <c r="D19" s="1167"/>
    </row>
    <row r="20" spans="1:10" s="1171" customFormat="1" ht="12.75" thickTop="1" x14ac:dyDescent="0.2">
      <c r="A20" s="1168"/>
      <c r="B20" s="1169" t="s">
        <v>1660</v>
      </c>
      <c r="C20" s="1170"/>
      <c r="D20" s="1173" t="s">
        <v>710</v>
      </c>
    </row>
    <row r="21" spans="1:10" x14ac:dyDescent="0.2">
      <c r="A21" s="1098"/>
      <c r="B21" s="1099">
        <v>1</v>
      </c>
      <c r="C21" s="2315" t="s">
        <v>314</v>
      </c>
      <c r="D21" s="2316"/>
    </row>
    <row r="22" spans="1:10" ht="12.75" x14ac:dyDescent="0.2">
      <c r="A22" s="1139"/>
      <c r="B22" s="1140">
        <v>2</v>
      </c>
      <c r="C22" s="2313" t="s">
        <v>1510</v>
      </c>
      <c r="D22" s="2314"/>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1512</v>
      </c>
      <c r="D25" s="1103" t="str">
        <f>IF(AND(COVER!J29="X",COVER!J30="X",COVER!L30&lt;&gt;"X"),"OK",IF(AND(COVER!J29="X",COVER!J30&lt;&gt;"X",COVER!L30="X"),"OK",IF(AND(COVER!L29="X",COVER!J30&lt;&gt;"X"),"OK","PLEASE CHECK YES or NO.")))</f>
        <v>OK</v>
      </c>
    </row>
    <row r="26" spans="1:10" x14ac:dyDescent="0.2">
      <c r="A26" s="1100"/>
      <c r="B26" s="1143"/>
      <c r="C26" s="1104" t="s">
        <v>1511</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95"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3.1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17" t="s">
        <v>536</v>
      </c>
      <c r="D43" s="2318"/>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09" t="s">
        <v>784</v>
      </c>
      <c r="D56" s="2310"/>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3.1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3.1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1877</v>
      </c>
      <c r="D66" s="1125"/>
    </row>
    <row r="67" spans="1:4" x14ac:dyDescent="0.2">
      <c r="A67" s="1119"/>
      <c r="B67" s="1140"/>
      <c r="C67" s="1147" t="s">
        <v>1021</v>
      </c>
      <c r="D67" s="1125"/>
    </row>
    <row r="68" spans="1:4" x14ac:dyDescent="0.2">
      <c r="A68" s="1100"/>
      <c r="B68" s="1110"/>
      <c r="C68" s="1102" t="s">
        <v>1878</v>
      </c>
      <c r="D68" s="1124" t="str">
        <f>IF('Short-Term Long-Term Debt 24'!F49=SUM(,'Acct Summary 7-8'!C33:K33),"OK","ERROR!")</f>
        <v>OK</v>
      </c>
    </row>
    <row r="69" spans="1:4" x14ac:dyDescent="0.2">
      <c r="A69" s="1100"/>
      <c r="B69" s="1110"/>
      <c r="C69" s="1102" t="s">
        <v>1879</v>
      </c>
      <c r="D69" s="1124" t="str">
        <f>IF('Expenditures 15-22'!H170&lt;&gt;'Short-Term Long-Term Debt 24'!H49,"ERROR!","OK")</f>
        <v>OK</v>
      </c>
    </row>
    <row r="70" spans="1:4" x14ac:dyDescent="0.2">
      <c r="A70" s="1098"/>
      <c r="B70" s="1120">
        <f>B66+1</f>
        <v>9</v>
      </c>
      <c r="C70" s="2309" t="s">
        <v>1661</v>
      </c>
      <c r="D70" s="2310"/>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1662</v>
      </c>
      <c r="D73" s="1126" t="str">
        <f>IF(SUM('Acct Summary 7-8'!C42:K42)&gt;=SUM( 'Acct Summary 7-8'!C74:K74),"OK", "ERROR")</f>
        <v>OK</v>
      </c>
    </row>
    <row r="74" spans="1:4" x14ac:dyDescent="0.2">
      <c r="A74" s="1098"/>
      <c r="B74" s="1120">
        <f>B70+1</f>
        <v>10</v>
      </c>
      <c r="C74" s="1114" t="s">
        <v>1880</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1404</v>
      </c>
      <c r="D76" s="1124" t="str">
        <f>IF(SUM('Assets-Liab 5-6'!C39:K39)&gt;0,"OK","ENTRY IS REQUIRED!")</f>
        <v>OK</v>
      </c>
    </row>
    <row r="77" spans="1:4" x14ac:dyDescent="0.2">
      <c r="A77" s="1100"/>
      <c r="B77" s="1129">
        <f>B74+1</f>
        <v>11</v>
      </c>
      <c r="C77" s="1174" t="s">
        <v>1378</v>
      </c>
      <c r="D77" s="1124"/>
    </row>
    <row r="78" spans="1:4" x14ac:dyDescent="0.2">
      <c r="A78" s="1100"/>
      <c r="B78" s="1110"/>
      <c r="C78" s="1118" t="s">
        <v>1881</v>
      </c>
      <c r="D78" s="1124" t="str">
        <f>IF(ISNUMBER('Acct Summary 7-8'!C9),"OK","ENTRY IS REQUIRED!")</f>
        <v>OK</v>
      </c>
    </row>
    <row r="79" spans="1:4" x14ac:dyDescent="0.2">
      <c r="A79" s="1119"/>
      <c r="B79" s="1120">
        <f>B74+1+1</f>
        <v>12</v>
      </c>
      <c r="C79" s="1130" t="s">
        <v>1868</v>
      </c>
      <c r="D79" s="1131" t="str">
        <f>IF(OR(COVER!$B$6="X",'PCTC-OEPP 27-28'!F78&gt;0),"OK","PLEASE ENTER 9 MO ADA.")</f>
        <v>OK</v>
      </c>
    </row>
    <row r="80" spans="1:4" x14ac:dyDescent="0.2">
      <c r="A80" s="1098"/>
      <c r="B80" s="1120">
        <v>13</v>
      </c>
      <c r="C80" s="1130" t="s">
        <v>1882</v>
      </c>
      <c r="D80" s="1131" t="str">
        <f>IF('Contracts Paid in CY 29'!D141&gt;0,"OK","PLEASE ENTER CONTRACTS PAID IN CURRENT YEAR.")</f>
        <v>PLEASE ENTER CONTRACTS PAID IN CURRENT YEAR.</v>
      </c>
    </row>
    <row r="81" spans="1:4" x14ac:dyDescent="0.2">
      <c r="A81" s="1098"/>
      <c r="B81" s="1120">
        <v>14</v>
      </c>
      <c r="C81" s="1130" t="s">
        <v>1410</v>
      </c>
      <c r="D81" s="1123" t="str">
        <f>IF('[1]Shared Outsourced Services 31'!B8="X","OK",IF('[1]Shared Outsourced Services 31'!K34&gt;0,"OK","ENTRY REQUIRED!"))</f>
        <v>OK</v>
      </c>
    </row>
    <row r="82" spans="1:4" x14ac:dyDescent="0.2">
      <c r="A82" s="1119"/>
      <c r="B82" s="1120">
        <v>15</v>
      </c>
      <c r="C82" s="1130" t="s">
        <v>1409</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17053232002</v>
      </c>
    </row>
    <row r="3" spans="1:2" x14ac:dyDescent="0.2">
      <c r="A3" t="s">
        <v>956</v>
      </c>
      <c r="B3" s="138" t="str">
        <f>COVER!A15</f>
        <v>Livingston</v>
      </c>
    </row>
    <row r="4" spans="1:2" x14ac:dyDescent="0.2">
      <c r="A4" t="s">
        <v>1007</v>
      </c>
      <c r="B4" s="138" t="str">
        <f>COVER!A17</f>
        <v>Dwight Common SD 232</v>
      </c>
    </row>
    <row r="5" spans="1:2" x14ac:dyDescent="0.2">
      <c r="A5" t="s">
        <v>704</v>
      </c>
      <c r="B5" s="138" t="str">
        <f>COVER!A38</f>
        <v>Dr. Richard Jancek</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1513</v>
      </c>
      <c r="B12" s="138" t="str">
        <f>IF(COVER!J29="x","Yes",IF(COVER!L29="X","No",0))</f>
        <v>No</v>
      </c>
    </row>
    <row r="13" spans="1:2" x14ac:dyDescent="0.2">
      <c r="A13" s="1" t="s">
        <v>1514</v>
      </c>
      <c r="B13" s="138" t="str">
        <f>IF(COVER!J30="x","Yes",IF(COVER!L30="x","No",0))</f>
        <v>No</v>
      </c>
    </row>
    <row r="14" spans="1:2" x14ac:dyDescent="0.2">
      <c r="A14" t="s">
        <v>476</v>
      </c>
      <c r="B14" s="138" t="str">
        <f>IF(COVER!J31="x","Yes",IF(COVER!L31="x","No",0))</f>
        <v>No</v>
      </c>
    </row>
    <row r="15" spans="1:2" x14ac:dyDescent="0.2">
      <c r="A15" t="s">
        <v>577</v>
      </c>
      <c r="B15" s="138" t="str">
        <f>COVER!T23</f>
        <v>066-004023</v>
      </c>
    </row>
    <row r="16" spans="1:2" x14ac:dyDescent="0.2">
      <c r="A16" t="s">
        <v>422</v>
      </c>
      <c r="B16" s="138" t="str">
        <f>COVER!T13</f>
        <v>Wipfli LLP</v>
      </c>
    </row>
    <row r="17" spans="1:2" x14ac:dyDescent="0.2">
      <c r="A17" t="s">
        <v>884</v>
      </c>
      <c r="B17" s="138" t="str">
        <f>COVER!T15</f>
        <v>Matthew Schueler</v>
      </c>
    </row>
    <row r="18" spans="1:2" x14ac:dyDescent="0.2">
      <c r="A18" t="s">
        <v>1150</v>
      </c>
      <c r="B18" s="138" t="str">
        <f>COVER!T17</f>
        <v>403 East 3rd Street</v>
      </c>
    </row>
    <row r="19" spans="1:2" x14ac:dyDescent="0.2">
      <c r="A19" t="s">
        <v>886</v>
      </c>
      <c r="B19" s="138" t="str">
        <f>COVER!T25</f>
        <v>mschueler@wipfli.com</v>
      </c>
    </row>
    <row r="20" spans="1:2" x14ac:dyDescent="0.2">
      <c r="A20" t="s">
        <v>887</v>
      </c>
      <c r="B20" s="138" t="str">
        <f>COVER!T19</f>
        <v>Sterling</v>
      </c>
    </row>
    <row r="21" spans="1:2" x14ac:dyDescent="0.2">
      <c r="A21" t="s">
        <v>479</v>
      </c>
      <c r="B21" s="138" t="str">
        <f>COVER!X19</f>
        <v>IL</v>
      </c>
    </row>
    <row r="22" spans="1:2" x14ac:dyDescent="0.2">
      <c r="A22" t="s">
        <v>888</v>
      </c>
      <c r="B22" s="138">
        <f>COVER!Z19</f>
        <v>61081</v>
      </c>
    </row>
    <row r="23" spans="1:2" x14ac:dyDescent="0.2">
      <c r="A23" t="s">
        <v>1152</v>
      </c>
      <c r="B23" s="138" t="str">
        <f>COVER!T21</f>
        <v>815-626-1277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1467</v>
      </c>
      <c r="B49" s="138" t="str">
        <f>IF('Aud Quest 2'!B53="x","Yes",IF('Aud Quest 2'!B53&lt;&gt;"x","0"))</f>
        <v>0</v>
      </c>
    </row>
    <row r="50" spans="1:4" x14ac:dyDescent="0.2">
      <c r="A50" s="1" t="s">
        <v>1466</v>
      </c>
      <c r="B50" s="150">
        <f>'Aud Quest 2'!H53</f>
        <v>0</v>
      </c>
    </row>
    <row r="51" spans="1:4" x14ac:dyDescent="0.2">
      <c r="A51" s="1" t="s">
        <v>1468</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1165706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1165706</v>
      </c>
      <c r="D92" s="2" t="str">
        <f t="shared" si="0"/>
        <v>Error?</v>
      </c>
    </row>
    <row r="93" spans="1:4" x14ac:dyDescent="0.2">
      <c r="A93" s="5">
        <v>32</v>
      </c>
      <c r="B93" s="138">
        <f>'Assets-Liab 5-6'!C41</f>
        <v>1165706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465772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465772</v>
      </c>
      <c r="D123" s="2" t="str">
        <f t="shared" si="0"/>
        <v>Error?</v>
      </c>
    </row>
    <row r="124" spans="1:4" x14ac:dyDescent="0.2">
      <c r="A124" s="5">
        <v>63</v>
      </c>
      <c r="B124" s="138">
        <f>'Assets-Liab 5-6'!D41</f>
        <v>465772</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2630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1778</v>
      </c>
      <c r="D140" s="2" t="str">
        <f t="shared" si="1"/>
        <v>Error?</v>
      </c>
    </row>
    <row r="141" spans="1:4" x14ac:dyDescent="0.2">
      <c r="A141" s="5">
        <v>80</v>
      </c>
      <c r="B141" s="138">
        <f>'Assets-Liab 5-6'!E41</f>
        <v>2630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374053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374053</v>
      </c>
      <c r="D170" s="2" t="str">
        <f t="shared" si="1"/>
        <v>Error?</v>
      </c>
    </row>
    <row r="171" spans="1:4" x14ac:dyDescent="0.2">
      <c r="A171" s="5">
        <v>110</v>
      </c>
      <c r="B171" s="138">
        <f>'Assets-Liab 5-6'!F41</f>
        <v>374053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188069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188069</v>
      </c>
      <c r="D189" s="2" t="str">
        <f t="shared" si="1"/>
        <v>Error?</v>
      </c>
    </row>
    <row r="190" spans="1:4" x14ac:dyDescent="0.2">
      <c r="A190" s="5">
        <v>129</v>
      </c>
      <c r="B190" s="138">
        <f>'Assets-Liab 5-6'!G41</f>
        <v>188069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131324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-64690</v>
      </c>
      <c r="D212" s="2" t="str">
        <f t="shared" si="2"/>
        <v>Error?</v>
      </c>
    </row>
    <row r="213" spans="1:4" x14ac:dyDescent="0.2">
      <c r="A213" s="12">
        <v>152</v>
      </c>
      <c r="B213" s="138">
        <f>'Assets-Liab 5-6'!H41</f>
        <v>131324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73250</v>
      </c>
      <c r="D273" s="2" t="str">
        <f t="shared" si="3"/>
        <v>Error?</v>
      </c>
    </row>
    <row r="274" spans="1:4" x14ac:dyDescent="0.2">
      <c r="A274" s="5">
        <v>213</v>
      </c>
      <c r="B274" s="138">
        <f>'Assets-Liab 5-6'!M17</f>
        <v>1499217</v>
      </c>
      <c r="D274" s="2" t="str">
        <f t="shared" si="3"/>
        <v>Error?</v>
      </c>
    </row>
    <row r="275" spans="1:4" x14ac:dyDescent="0.2">
      <c r="A275" s="5">
        <v>214</v>
      </c>
      <c r="B275" s="138">
        <f>'Assets-Liab 5-6'!M18</f>
        <v>0</v>
      </c>
      <c r="D275" s="2" t="str">
        <f t="shared" si="3"/>
        <v>Error?</v>
      </c>
    </row>
    <row r="276" spans="1:4" x14ac:dyDescent="0.2">
      <c r="A276" s="5">
        <v>215</v>
      </c>
      <c r="B276" s="138">
        <f>'Assets-Liab 5-6'!M19</f>
        <v>433232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2005699</v>
      </c>
      <c r="C279" s="2" t="s">
        <v>573</v>
      </c>
      <c r="D279" s="2" t="str">
        <f t="shared" si="3"/>
        <v>Error?</v>
      </c>
    </row>
    <row r="280" spans="1:4" x14ac:dyDescent="0.2">
      <c r="A280" s="5">
        <v>219</v>
      </c>
      <c r="B280" s="138">
        <f>'Assets-Liab 5-6'!M40</f>
        <v>2005699</v>
      </c>
      <c r="D280" s="2" t="str">
        <f t="shared" si="3"/>
        <v>Error?</v>
      </c>
    </row>
    <row r="281" spans="1:4" x14ac:dyDescent="0.2">
      <c r="A281" s="5">
        <v>220</v>
      </c>
      <c r="B281" s="138">
        <f>'Assets-Liab 5-6'!M41</f>
        <v>2005699</v>
      </c>
      <c r="C281" s="2" t="s">
        <v>573</v>
      </c>
      <c r="D281" s="2" t="str">
        <f t="shared" si="3"/>
        <v>Error?</v>
      </c>
    </row>
    <row r="282" spans="1:4" x14ac:dyDescent="0.2">
      <c r="A282" s="5">
        <v>221</v>
      </c>
      <c r="B282" s="138">
        <f>'Assets-Liab 5-6'!N21</f>
        <v>2630</v>
      </c>
      <c r="D282" s="2" t="str">
        <f t="shared" si="3"/>
        <v>Error?</v>
      </c>
    </row>
    <row r="283" spans="1:4" x14ac:dyDescent="0.2">
      <c r="A283" s="5">
        <v>222</v>
      </c>
      <c r="B283" s="138">
        <f>'Assets-Liab 5-6'!N22</f>
        <v>412370</v>
      </c>
      <c r="D283" s="2" t="str">
        <f t="shared" si="3"/>
        <v>Error?</v>
      </c>
    </row>
    <row r="284" spans="1:4" x14ac:dyDescent="0.2">
      <c r="A284" s="5">
        <v>223</v>
      </c>
      <c r="B284" s="138">
        <f>'Assets-Liab 5-6'!N23</f>
        <v>415000</v>
      </c>
      <c r="C284" s="2" t="s">
        <v>573</v>
      </c>
      <c r="D284" s="2" t="str">
        <f t="shared" si="3"/>
        <v>Error?</v>
      </c>
    </row>
    <row r="285" spans="1:4" x14ac:dyDescent="0.2">
      <c r="A285" s="5">
        <v>224</v>
      </c>
      <c r="B285" s="138">
        <f>'Assets-Liab 5-6'!N36</f>
        <v>415000</v>
      </c>
      <c r="D285" s="2" t="str">
        <f t="shared" si="3"/>
        <v>Error?</v>
      </c>
    </row>
    <row r="286" spans="1:4" x14ac:dyDescent="0.2">
      <c r="A286" s="10">
        <v>225</v>
      </c>
      <c r="D286" s="2" t="str">
        <f t="shared" si="3"/>
        <v>OK</v>
      </c>
    </row>
    <row r="287" spans="1:4" x14ac:dyDescent="0.2">
      <c r="A287" s="5">
        <v>226</v>
      </c>
      <c r="B287" s="138">
        <f>'Assets-Liab 5-6'!N37</f>
        <v>415000</v>
      </c>
      <c r="C287" s="2" t="s">
        <v>573</v>
      </c>
      <c r="D287" s="2" t="str">
        <f t="shared" si="3"/>
        <v>Error?</v>
      </c>
    </row>
    <row r="288" spans="1:4" x14ac:dyDescent="0.2">
      <c r="A288" s="5">
        <v>227</v>
      </c>
      <c r="B288" s="138">
        <f>'Assets-Liab 5-6'!N41</f>
        <v>415000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3030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1334939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168116</v>
      </c>
      <c r="D718" s="2" t="str">
        <f t="shared" si="10"/>
        <v>Error?</v>
      </c>
    </row>
    <row r="719" spans="1:4" x14ac:dyDescent="0.2">
      <c r="A719" s="5">
        <v>658</v>
      </c>
      <c r="B719" s="138">
        <f>'Expenditures 15-22'!C15</f>
        <v>1550</v>
      </c>
      <c r="D719" s="2" t="str">
        <f t="shared" si="10"/>
        <v>Error?</v>
      </c>
    </row>
    <row r="720" spans="1:4" x14ac:dyDescent="0.2">
      <c r="A720" s="5">
        <v>659</v>
      </c>
      <c r="B720" s="138">
        <f>'Expenditures 15-22'!C33</f>
        <v>2342180</v>
      </c>
      <c r="C720" s="2" t="s">
        <v>573</v>
      </c>
      <c r="D720" s="2" t="str">
        <f t="shared" si="10"/>
        <v>Error?</v>
      </c>
    </row>
    <row r="721" spans="1:4" x14ac:dyDescent="0.2">
      <c r="A721" s="5">
        <v>660</v>
      </c>
      <c r="B721" s="138">
        <f>'Expenditures 15-22'!C36</f>
        <v>15389</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14900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30289</v>
      </c>
      <c r="C727" s="2" t="s">
        <v>573</v>
      </c>
      <c r="D727" s="2" t="str">
        <f t="shared" si="10"/>
        <v>Error?</v>
      </c>
    </row>
    <row r="728" spans="1:4" x14ac:dyDescent="0.2">
      <c r="A728" s="5">
        <v>667</v>
      </c>
      <c r="B728" s="138">
        <f>'Expenditures 15-22'!C44</f>
        <v>918</v>
      </c>
      <c r="D728" s="2" t="str">
        <f t="shared" si="10"/>
        <v>Error?</v>
      </c>
    </row>
    <row r="729" spans="1:4" x14ac:dyDescent="0.2">
      <c r="A729" s="5">
        <v>668</v>
      </c>
      <c r="B729" s="138">
        <f>'Expenditures 15-22'!C45</f>
        <v>461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1379</v>
      </c>
      <c r="C731" s="2" t="s">
        <v>573</v>
      </c>
      <c r="D731" s="2" t="str">
        <f t="shared" si="10"/>
        <v>Error?</v>
      </c>
    </row>
    <row r="732" spans="1:4" x14ac:dyDescent="0.2">
      <c r="A732" s="5">
        <v>671</v>
      </c>
      <c r="B732" s="138">
        <f>'Expenditures 15-22'!C49</f>
        <v>2833</v>
      </c>
      <c r="D732" s="2" t="str">
        <f t="shared" si="10"/>
        <v>Error?</v>
      </c>
    </row>
    <row r="733" spans="1:4" x14ac:dyDescent="0.2">
      <c r="A733" s="5">
        <v>672</v>
      </c>
      <c r="B733" s="138">
        <f>'Expenditures 15-22'!C50</f>
        <v>57580</v>
      </c>
      <c r="D733" s="2" t="str">
        <f t="shared" si="10"/>
        <v>Error?</v>
      </c>
    </row>
    <row r="734" spans="1:4" x14ac:dyDescent="0.2">
      <c r="A734" s="5">
        <v>673</v>
      </c>
      <c r="B734" s="138">
        <f>'Expenditures 15-22'!C53</f>
        <v>60413</v>
      </c>
      <c r="C734" s="2" t="s">
        <v>573</v>
      </c>
      <c r="D734" s="2" t="str">
        <f t="shared" si="10"/>
        <v>Error?</v>
      </c>
    </row>
    <row r="735" spans="1:4" x14ac:dyDescent="0.2">
      <c r="A735" s="5">
        <v>674</v>
      </c>
      <c r="B735" s="138">
        <f>'Expenditures 15-22'!C55</f>
        <v>203535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203535</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45887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45887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341503</v>
      </c>
      <c r="C755" s="2" t="s">
        <v>573</v>
      </c>
      <c r="D755" s="2" t="str">
        <f t="shared" si="10"/>
        <v>Error?</v>
      </c>
    </row>
    <row r="756" spans="1:4" x14ac:dyDescent="0.2">
      <c r="A756" s="5">
        <v>695</v>
      </c>
      <c r="B756" s="138">
        <f>'Expenditures 15-22'!C75</f>
        <v>4112</v>
      </c>
      <c r="D756" s="2" t="str">
        <f t="shared" si="10"/>
        <v>Error?</v>
      </c>
    </row>
    <row r="757" spans="1:4" x14ac:dyDescent="0.2">
      <c r="A757" s="5">
        <v>696</v>
      </c>
      <c r="B757" s="138">
        <f>'Expenditures 15-22'!C114</f>
        <v>2687795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179889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16965</v>
      </c>
      <c r="D776" s="2" t="str">
        <f t="shared" si="11"/>
        <v>Error?</v>
      </c>
    </row>
    <row r="777" spans="1:4" x14ac:dyDescent="0.2">
      <c r="A777" s="5">
        <v>716</v>
      </c>
      <c r="B777" s="138">
        <f>'Expenditures 15-22'!D15</f>
        <v>24</v>
      </c>
      <c r="D777" s="2" t="str">
        <f t="shared" si="11"/>
        <v>Error?</v>
      </c>
    </row>
    <row r="778" spans="1:4" x14ac:dyDescent="0.2">
      <c r="A778" s="5">
        <v>717</v>
      </c>
      <c r="B778" s="138">
        <f>'Expenditures 15-22'!D33</f>
        <v>362989</v>
      </c>
      <c r="C778" s="2" t="s">
        <v>573</v>
      </c>
      <c r="D778" s="2" t="str">
        <f t="shared" si="11"/>
        <v>Error?</v>
      </c>
    </row>
    <row r="779" spans="1:4" x14ac:dyDescent="0.2">
      <c r="A779" s="5">
        <v>718</v>
      </c>
      <c r="B779" s="138">
        <f>'Expenditures 15-22'!D36</f>
        <v>1876</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3656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5532</v>
      </c>
      <c r="C785" s="2" t="s">
        <v>573</v>
      </c>
      <c r="D785" s="2" t="str">
        <f t="shared" si="11"/>
        <v>Error?</v>
      </c>
    </row>
    <row r="786" spans="1:4" x14ac:dyDescent="0.2">
      <c r="A786" s="5">
        <v>725</v>
      </c>
      <c r="B786" s="138">
        <f>'Expenditures 15-22'!D44</f>
        <v>17</v>
      </c>
      <c r="D786" s="2" t="str">
        <f t="shared" si="11"/>
        <v>Error?</v>
      </c>
    </row>
    <row r="787" spans="1:4" x14ac:dyDescent="0.2">
      <c r="A787" s="5">
        <v>726</v>
      </c>
      <c r="B787" s="138">
        <f>'Expenditures 15-22'!D45</f>
        <v>244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261</v>
      </c>
      <c r="C789" s="2" t="s">
        <v>573</v>
      </c>
      <c r="D789" s="2" t="str">
        <f t="shared" si="11"/>
        <v>Error?</v>
      </c>
    </row>
    <row r="790" spans="1:4" x14ac:dyDescent="0.2">
      <c r="A790" s="5">
        <v>729</v>
      </c>
      <c r="B790" s="138">
        <f>'Expenditures 15-22'!D49</f>
        <v>26</v>
      </c>
      <c r="D790" s="2" t="str">
        <f t="shared" si="11"/>
        <v>Error?</v>
      </c>
    </row>
    <row r="791" spans="1:4" x14ac:dyDescent="0.2">
      <c r="A791" s="5">
        <v>730</v>
      </c>
      <c r="B791" s="138">
        <f>'Expenditures 15-22'!D50</f>
        <v>12779</v>
      </c>
      <c r="D791" s="2" t="str">
        <f t="shared" si="11"/>
        <v>Error?</v>
      </c>
    </row>
    <row r="792" spans="1:4" x14ac:dyDescent="0.2">
      <c r="A792" s="5">
        <v>731</v>
      </c>
      <c r="B792" s="138">
        <f>'Expenditures 15-22'!D53</f>
        <v>12805</v>
      </c>
      <c r="C792" s="2" t="s">
        <v>573</v>
      </c>
      <c r="D792" s="2" t="str">
        <f t="shared" si="11"/>
        <v>Error?</v>
      </c>
    </row>
    <row r="793" spans="1:4" x14ac:dyDescent="0.2">
      <c r="A793" s="5">
        <v>732</v>
      </c>
      <c r="B793" s="138">
        <f>'Expenditures 15-22'!D55</f>
        <v>46708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46708</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7312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7312</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72618</v>
      </c>
      <c r="C813" s="2" t="s">
        <v>573</v>
      </c>
      <c r="D813" s="2" t="str">
        <f t="shared" si="11"/>
        <v>Error?</v>
      </c>
    </row>
    <row r="814" spans="1:4" x14ac:dyDescent="0.2">
      <c r="A814" s="5">
        <v>753</v>
      </c>
      <c r="B814" s="138">
        <f>'Expenditures 15-22'!D75</f>
        <v>54</v>
      </c>
      <c r="D814" s="2" t="str">
        <f t="shared" si="11"/>
        <v>Error?</v>
      </c>
    </row>
    <row r="815" spans="1:4" x14ac:dyDescent="0.2">
      <c r="A815" s="5">
        <v>754</v>
      </c>
      <c r="B815" s="138">
        <f>'Expenditures 15-22'!D114</f>
        <v>435661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35225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41833</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161701</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161701</v>
      </c>
      <c r="C843" s="2" t="s">
        <v>573</v>
      </c>
      <c r="D843" s="2" t="str">
        <f t="shared" si="12"/>
        <v>Error?</v>
      </c>
    </row>
    <row r="844" spans="1:4" x14ac:dyDescent="0.2">
      <c r="A844" s="5">
        <v>783</v>
      </c>
      <c r="B844" s="138">
        <f>'Expenditures 15-22'!E44</f>
        <v>8456</v>
      </c>
      <c r="D844" s="2" t="str">
        <f t="shared" si="12"/>
        <v>Error?</v>
      </c>
    </row>
    <row r="845" spans="1:4" x14ac:dyDescent="0.2">
      <c r="A845" s="5">
        <v>784</v>
      </c>
      <c r="B845" s="138">
        <f>'Expenditures 15-22'!E45</f>
        <v>92153</v>
      </c>
      <c r="D845" s="2" t="str">
        <f t="shared" si="12"/>
        <v>Error?</v>
      </c>
    </row>
    <row r="846" spans="1:4" x14ac:dyDescent="0.2">
      <c r="A846" s="5">
        <v>785</v>
      </c>
      <c r="B846" s="138">
        <f>'Expenditures 15-22'!E46</f>
        <v>13484</v>
      </c>
      <c r="D846" s="2" t="str">
        <f t="shared" si="12"/>
        <v>Error?</v>
      </c>
    </row>
    <row r="847" spans="1:4" x14ac:dyDescent="0.2">
      <c r="A847" s="5">
        <v>786</v>
      </c>
      <c r="B847" s="138">
        <f>'Expenditures 15-22'!E47</f>
        <v>114093</v>
      </c>
      <c r="C847" s="2" t="s">
        <v>573</v>
      </c>
      <c r="D847" s="2" t="str">
        <f t="shared" si="12"/>
        <v>Error?</v>
      </c>
    </row>
    <row r="848" spans="1:4" x14ac:dyDescent="0.2">
      <c r="A848" s="5">
        <v>787</v>
      </c>
      <c r="B848" s="138">
        <f>'Expenditures 15-22'!E49</f>
        <v>2376</v>
      </c>
      <c r="D848" s="2" t="str">
        <f t="shared" si="12"/>
        <v>Error?</v>
      </c>
    </row>
    <row r="849" spans="1:4" x14ac:dyDescent="0.2">
      <c r="A849" s="5">
        <v>788</v>
      </c>
      <c r="B849" s="138">
        <f>'Expenditures 15-22'!E50</f>
        <v>845</v>
      </c>
      <c r="D849" s="2" t="str">
        <f t="shared" si="12"/>
        <v>Error?</v>
      </c>
    </row>
    <row r="850" spans="1:4" x14ac:dyDescent="0.2">
      <c r="A850" s="5">
        <v>789</v>
      </c>
      <c r="B850" s="138">
        <f>'Expenditures 15-22'!E53</f>
        <v>3221</v>
      </c>
      <c r="C850" s="2" t="s">
        <v>573</v>
      </c>
      <c r="D850" s="2" t="str">
        <f t="shared" si="12"/>
        <v>Error?</v>
      </c>
    </row>
    <row r="851" spans="1:4" x14ac:dyDescent="0.2">
      <c r="A851" s="5">
        <v>790</v>
      </c>
      <c r="B851" s="138">
        <f>'Expenditures 15-22'!E55</f>
        <v>418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418</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7165</v>
      </c>
      <c r="D857" s="2" t="str">
        <f t="shared" si="12"/>
        <v>Error?</v>
      </c>
    </row>
    <row r="858" spans="1:4" x14ac:dyDescent="0.2">
      <c r="A858" s="5">
        <v>797</v>
      </c>
      <c r="B858" s="138">
        <f>'Expenditures 15-22'!E63</f>
        <v>151991</v>
      </c>
      <c r="D858" s="2" t="str">
        <f t="shared" si="12"/>
        <v>Error?</v>
      </c>
    </row>
    <row r="859" spans="1:4" x14ac:dyDescent="0.2">
      <c r="A859" s="5">
        <v>798</v>
      </c>
      <c r="B859" s="138">
        <f>'Expenditures 15-22'!E64</f>
        <v>32291</v>
      </c>
      <c r="D859" s="2" t="str">
        <f t="shared" si="12"/>
        <v>Error?</v>
      </c>
    </row>
    <row r="860" spans="1:4" x14ac:dyDescent="0.2">
      <c r="A860" s="10">
        <v>799</v>
      </c>
      <c r="D860" s="2" t="str">
        <f t="shared" si="12"/>
        <v>OK</v>
      </c>
    </row>
    <row r="861" spans="1:4" x14ac:dyDescent="0.2">
      <c r="A861" s="5">
        <v>800</v>
      </c>
      <c r="B861" s="138">
        <f>'Expenditures 15-22'!E65</f>
        <v>191447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470880</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605506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17066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5546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113250</v>
      </c>
      <c r="C894" s="2" t="s">
        <v>573</v>
      </c>
      <c r="D894" s="2" t="str">
        <f t="shared" si="12"/>
        <v>Error?</v>
      </c>
    </row>
    <row r="895" spans="1:4" x14ac:dyDescent="0.2">
      <c r="A895" s="5">
        <v>834</v>
      </c>
      <c r="B895" s="138">
        <f>'Expenditures 15-22'!F36</f>
        <v>10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823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833</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44422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44422</v>
      </c>
      <c r="C905" s="2" t="s">
        <v>573</v>
      </c>
      <c r="D905" s="2" t="str">
        <f t="shared" si="13"/>
        <v>Error?</v>
      </c>
    </row>
    <row r="906" spans="1:4" x14ac:dyDescent="0.2">
      <c r="A906" s="5">
        <v>845</v>
      </c>
      <c r="B906" s="138">
        <f>'Expenditures 15-22'!F49</f>
        <v>6038</v>
      </c>
      <c r="D906" s="2" t="str">
        <f t="shared" si="13"/>
        <v>Error?</v>
      </c>
    </row>
    <row r="907" spans="1:4" x14ac:dyDescent="0.2">
      <c r="A907" s="5">
        <v>846</v>
      </c>
      <c r="B907" s="138">
        <f>'Expenditures 15-22'!F50</f>
        <v>0</v>
      </c>
      <c r="D907" s="2" t="str">
        <f t="shared" si="13"/>
        <v>Error?</v>
      </c>
    </row>
    <row r="908" spans="1:4" x14ac:dyDescent="0.2">
      <c r="A908" s="5">
        <v>847</v>
      </c>
      <c r="B908" s="138">
        <f>'Expenditures 15-22'!F53</f>
        <v>6038</v>
      </c>
      <c r="C908" s="2" t="s">
        <v>573</v>
      </c>
      <c r="D908" s="2" t="str">
        <f t="shared" si="13"/>
        <v>Error?</v>
      </c>
    </row>
    <row r="909" spans="1:4" x14ac:dyDescent="0.2">
      <c r="A909" s="5">
        <v>848</v>
      </c>
      <c r="B909" s="138">
        <f>'Expenditures 15-22'!F55</f>
        <v>860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860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7519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7579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59732</v>
      </c>
      <c r="C929" s="2" t="s">
        <v>573</v>
      </c>
      <c r="D929" s="2" t="str">
        <f t="shared" si="13"/>
        <v>Error?</v>
      </c>
    </row>
    <row r="930" spans="1:4" x14ac:dyDescent="0.2">
      <c r="A930" s="5">
        <v>869</v>
      </c>
      <c r="B930" s="138">
        <f>'Expenditures 15-22'!F75</f>
        <v>2000</v>
      </c>
      <c r="D930" s="2" t="str">
        <f t="shared" si="13"/>
        <v>Error?</v>
      </c>
    </row>
    <row r="931" spans="1:4" x14ac:dyDescent="0.2">
      <c r="A931" s="5">
        <v>870</v>
      </c>
      <c r="B931" s="138">
        <f>'Expenditures 15-22'!F114</f>
        <v>174982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3956</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3956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53345</v>
      </c>
      <c r="D964" s="2" t="str">
        <f t="shared" si="14"/>
        <v>Error?</v>
      </c>
    </row>
    <row r="965" spans="1:4" x14ac:dyDescent="0.2">
      <c r="A965" s="5">
        <v>904</v>
      </c>
      <c r="B965" s="138">
        <f>'Expenditures 15-22'!G50</f>
        <v>0</v>
      </c>
      <c r="D965" s="2" t="str">
        <f t="shared" si="14"/>
        <v>Error?</v>
      </c>
    </row>
    <row r="966" spans="1:4" x14ac:dyDescent="0.2">
      <c r="A966" s="5">
        <v>905</v>
      </c>
      <c r="B966" s="138">
        <f>'Expenditures 15-22'!G53</f>
        <v>53345</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52860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52860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106205</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110161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2600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3379</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7318</v>
      </c>
      <c r="D1022" s="2" t="str">
        <f t="shared" si="14"/>
        <v>Error?</v>
      </c>
    </row>
    <row r="1023" spans="1:4" x14ac:dyDescent="0.2">
      <c r="A1023" s="5">
        <v>962</v>
      </c>
      <c r="B1023" s="138">
        <f>'Expenditures 15-22'!H50</f>
        <v>422</v>
      </c>
      <c r="D1023" s="2" t="str">
        <f t="shared" ref="D1023:D1086" si="15">IF(ISBLANK(B1023),"OK",IF(A1023-B1023=0,"OK","Error?"))</f>
        <v>Error?</v>
      </c>
    </row>
    <row r="1024" spans="1:4" x14ac:dyDescent="0.2">
      <c r="A1024" s="5">
        <v>963</v>
      </c>
      <c r="B1024" s="138">
        <f>'Expenditures 15-22'!H53</f>
        <v>7740</v>
      </c>
      <c r="C1024" s="2" t="s">
        <v>573</v>
      </c>
      <c r="D1024" s="2" t="str">
        <f t="shared" si="15"/>
        <v>Error?</v>
      </c>
    </row>
    <row r="1025" spans="1:4" x14ac:dyDescent="0.2">
      <c r="A1025" s="5">
        <v>964</v>
      </c>
      <c r="B1025" s="138">
        <f>'Expenditures 15-22'!H55</f>
        <v>732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732</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2246</v>
      </c>
      <c r="D1033" s="2" t="str">
        <f t="shared" si="15"/>
        <v>Error?</v>
      </c>
    </row>
    <row r="1034" spans="1:4" x14ac:dyDescent="0.2">
      <c r="A1034" s="10">
        <v>973</v>
      </c>
      <c r="D1034" s="2" t="str">
        <f t="shared" si="15"/>
        <v>OK</v>
      </c>
    </row>
    <row r="1035" spans="1:4" x14ac:dyDescent="0.2">
      <c r="A1035" s="5">
        <v>974</v>
      </c>
      <c r="B1035" s="138">
        <f>'Expenditures 15-22'!H65</f>
        <v>2246</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10718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166339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180436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1531894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232408</v>
      </c>
      <c r="C1106" s="2" t="s">
        <v>573</v>
      </c>
      <c r="D1106" s="2" t="str">
        <f t="shared" si="16"/>
        <v>Error?</v>
      </c>
    </row>
    <row r="1107" spans="1:4" x14ac:dyDescent="0.2">
      <c r="A1107" s="5">
        <v>1046</v>
      </c>
      <c r="B1107" s="138">
        <f>'Expenditures 15-22'!K15</f>
        <v>1574</v>
      </c>
      <c r="C1107" s="2" t="s">
        <v>573</v>
      </c>
      <c r="D1107" s="2" t="str">
        <f t="shared" si="16"/>
        <v>Error?</v>
      </c>
    </row>
    <row r="1108" spans="1:4" x14ac:dyDescent="0.2">
      <c r="A1108" s="5">
        <v>1047</v>
      </c>
      <c r="B1108" s="138">
        <f>'Expenditures 15-22'!K33</f>
        <v>2867587</v>
      </c>
      <c r="C1108" s="2" t="s">
        <v>573</v>
      </c>
      <c r="D1108" s="2" t="str">
        <f t="shared" si="16"/>
        <v>Error?</v>
      </c>
    </row>
    <row r="1109" spans="1:4" x14ac:dyDescent="0.2">
      <c r="A1109" s="5">
        <v>1048</v>
      </c>
      <c r="B1109" s="138">
        <f>'Expenditures 15-22'!K36</f>
        <v>17275</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19379</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161701</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198355</v>
      </c>
      <c r="C1115" s="2" t="s">
        <v>573</v>
      </c>
      <c r="D1115" s="2" t="str">
        <f t="shared" si="16"/>
        <v>Error?</v>
      </c>
    </row>
    <row r="1116" spans="1:4" x14ac:dyDescent="0.2">
      <c r="A1116" s="5">
        <v>1055</v>
      </c>
      <c r="B1116" s="138">
        <f>'Expenditures 15-22'!K44</f>
        <v>9391</v>
      </c>
      <c r="C1116" s="2" t="s">
        <v>573</v>
      </c>
      <c r="D1116" s="2" t="str">
        <f t="shared" si="16"/>
        <v>Error?</v>
      </c>
    </row>
    <row r="1117" spans="1:4" x14ac:dyDescent="0.2">
      <c r="A1117" s="5">
        <v>1056</v>
      </c>
      <c r="B1117" s="138">
        <f>'Expenditures 15-22'!K45</f>
        <v>137280</v>
      </c>
      <c r="C1117" s="2" t="s">
        <v>573</v>
      </c>
      <c r="D1117" s="2" t="str">
        <f t="shared" si="16"/>
        <v>Error?</v>
      </c>
    </row>
    <row r="1118" spans="1:4" x14ac:dyDescent="0.2">
      <c r="A1118" s="5">
        <v>1057</v>
      </c>
      <c r="B1118" s="138">
        <f>'Expenditures 15-22'!K46</f>
        <v>13484</v>
      </c>
      <c r="C1118" s="2" t="s">
        <v>573</v>
      </c>
      <c r="D1118" s="2" t="str">
        <f t="shared" si="16"/>
        <v>Error?</v>
      </c>
    </row>
    <row r="1119" spans="1:4" x14ac:dyDescent="0.2">
      <c r="A1119" s="5">
        <v>1058</v>
      </c>
      <c r="B1119" s="138">
        <f>'Expenditures 15-22'!K47</f>
        <v>160155</v>
      </c>
      <c r="C1119" s="2" t="s">
        <v>573</v>
      </c>
      <c r="D1119" s="2" t="str">
        <f t="shared" si="16"/>
        <v>Error?</v>
      </c>
    </row>
    <row r="1120" spans="1:4" x14ac:dyDescent="0.2">
      <c r="A1120" s="5">
        <v>1059</v>
      </c>
      <c r="B1120" s="138">
        <f>'Expenditures 15-22'!K49</f>
        <v>71936</v>
      </c>
      <c r="C1120" s="2" t="s">
        <v>573</v>
      </c>
      <c r="D1120" s="2" t="str">
        <f t="shared" si="16"/>
        <v>Error?</v>
      </c>
    </row>
    <row r="1121" spans="1:4" x14ac:dyDescent="0.2">
      <c r="A1121" s="5">
        <v>1060</v>
      </c>
      <c r="B1121" s="138">
        <f>'Expenditures 15-22'!K50</f>
        <v>71626</v>
      </c>
      <c r="C1121" s="2" t="s">
        <v>573</v>
      </c>
      <c r="D1121" s="2" t="str">
        <f t="shared" si="16"/>
        <v>Error?</v>
      </c>
    </row>
    <row r="1122" spans="1:4" x14ac:dyDescent="0.2">
      <c r="A1122" s="5">
        <v>1061</v>
      </c>
      <c r="B1122" s="138">
        <f>'Expenditures 15-22'!K53</f>
        <v>143562</v>
      </c>
      <c r="C1122" s="2" t="s">
        <v>573</v>
      </c>
      <c r="D1122" s="2" t="str">
        <f t="shared" si="16"/>
        <v>Error?</v>
      </c>
    </row>
    <row r="1123" spans="1:4" x14ac:dyDescent="0.2">
      <c r="A1123" s="5">
        <v>1062</v>
      </c>
      <c r="B1123" s="138">
        <f>'Expenditures 15-22'!K55</f>
        <v>252253</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252253</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53259</v>
      </c>
      <c r="C1127" s="2" t="s">
        <v>573</v>
      </c>
      <c r="D1127" s="2" t="str">
        <f t="shared" si="16"/>
        <v>Error?</v>
      </c>
    </row>
    <row r="1128" spans="1:4" x14ac:dyDescent="0.2">
      <c r="A1128" s="5">
        <v>1067</v>
      </c>
      <c r="B1128" s="138">
        <f>'Expenditures 15-22'!K61</f>
        <v>52860</v>
      </c>
      <c r="C1128" s="2" t="s">
        <v>573</v>
      </c>
      <c r="D1128" s="2" t="str">
        <f t="shared" si="16"/>
        <v>Error?</v>
      </c>
    </row>
    <row r="1129" spans="1:4" x14ac:dyDescent="0.2">
      <c r="A1129" s="5">
        <v>1068</v>
      </c>
      <c r="B1129" s="138">
        <f>'Expenditures 15-22'!K62</f>
        <v>7165</v>
      </c>
      <c r="C1129" s="2" t="s">
        <v>573</v>
      </c>
      <c r="D1129" s="2" t="str">
        <f t="shared" si="16"/>
        <v>Error?</v>
      </c>
    </row>
    <row r="1130" spans="1:4" x14ac:dyDescent="0.2">
      <c r="A1130" s="5">
        <v>1069</v>
      </c>
      <c r="B1130" s="138">
        <f>'Expenditures 15-22'!K63</f>
        <v>159510</v>
      </c>
      <c r="C1130" s="2" t="s">
        <v>573</v>
      </c>
      <c r="D1130" s="2" t="str">
        <f t="shared" si="16"/>
        <v>Error?</v>
      </c>
    </row>
    <row r="1131" spans="1:4" x14ac:dyDescent="0.2">
      <c r="A1131" s="5">
        <v>1070</v>
      </c>
      <c r="B1131" s="138">
        <f>'Expenditures 15-22'!K64</f>
        <v>34537</v>
      </c>
      <c r="C1131" s="2" t="s">
        <v>573</v>
      </c>
      <c r="D1131" s="2" t="str">
        <f t="shared" si="16"/>
        <v>Error?</v>
      </c>
    </row>
    <row r="1132" spans="1:4" x14ac:dyDescent="0.2">
      <c r="A1132" s="10">
        <v>1071</v>
      </c>
      <c r="D1132" s="2" t="str">
        <f t="shared" si="16"/>
        <v>OK</v>
      </c>
    </row>
    <row r="1133" spans="1:4" x14ac:dyDescent="0.2">
      <c r="A1133" s="5">
        <v>1072</v>
      </c>
      <c r="B1133" s="138">
        <f>'Expenditures 15-22'!K65</f>
        <v>307331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1061656</v>
      </c>
      <c r="C1143" s="2" t="s">
        <v>573</v>
      </c>
      <c r="D1143" s="2" t="str">
        <f t="shared" si="16"/>
        <v>Error?</v>
      </c>
    </row>
    <row r="1144" spans="1:4" x14ac:dyDescent="0.2">
      <c r="A1144" s="5">
        <v>1083</v>
      </c>
      <c r="B1144" s="138">
        <f>'Expenditures 15-22'!K75</f>
        <v>6166</v>
      </c>
      <c r="C1144" s="2" t="s">
        <v>573</v>
      </c>
      <c r="D1144" s="2" t="str">
        <f t="shared" si="16"/>
        <v>Error?</v>
      </c>
    </row>
    <row r="1145" spans="1:4" x14ac:dyDescent="0.2">
      <c r="A1145" s="5">
        <v>1084</v>
      </c>
      <c r="B1145" s="138">
        <f>'Expenditures 15-22'!K102</f>
        <v>259132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4194541</v>
      </c>
      <c r="C1152" s="2" t="s">
        <v>573</v>
      </c>
      <c r="D1152" s="2" t="str">
        <f t="shared" si="17"/>
        <v>Error?</v>
      </c>
    </row>
    <row r="1153" spans="1:4" x14ac:dyDescent="0.2">
      <c r="A1153" s="5">
        <v>1092</v>
      </c>
      <c r="B1153" s="138">
        <f>'Expenditures 15-22'!K115</f>
        <v>68743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182184</v>
      </c>
      <c r="D1221" s="2" t="str">
        <f t="shared" si="18"/>
        <v>Error?</v>
      </c>
    </row>
    <row r="1222" spans="1:4" x14ac:dyDescent="0.2">
      <c r="A1222" s="10">
        <v>1161</v>
      </c>
      <c r="D1222" s="2" t="str">
        <f t="shared" si="18"/>
        <v>OK</v>
      </c>
    </row>
    <row r="1223" spans="1:4" x14ac:dyDescent="0.2">
      <c r="A1223" s="5">
        <v>1162</v>
      </c>
      <c r="B1223" s="138">
        <f>'Expenditures 15-22'!C127</f>
        <v>182184</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182184</v>
      </c>
      <c r="C1225" s="2" t="s">
        <v>573</v>
      </c>
      <c r="D1225" s="2" t="str">
        <f t="shared" si="18"/>
        <v>Error?</v>
      </c>
    </row>
    <row r="1226" spans="1:4" x14ac:dyDescent="0.2">
      <c r="A1226" s="5">
        <v>1165</v>
      </c>
      <c r="B1226" s="138">
        <f>'Expenditures 15-22'!C151</f>
        <v>182184</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29542</v>
      </c>
      <c r="D1229" s="2" t="str">
        <f t="shared" si="18"/>
        <v>Error?</v>
      </c>
    </row>
    <row r="1230" spans="1:4" x14ac:dyDescent="0.2">
      <c r="A1230" s="10">
        <v>1169</v>
      </c>
      <c r="D1230" s="2" t="str">
        <f t="shared" si="18"/>
        <v>OK</v>
      </c>
    </row>
    <row r="1231" spans="1:4" x14ac:dyDescent="0.2">
      <c r="A1231" s="5">
        <v>1170</v>
      </c>
      <c r="B1231" s="138">
        <f>'Expenditures 15-22'!D127</f>
        <v>29542</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29542</v>
      </c>
      <c r="C1233" s="2" t="s">
        <v>573</v>
      </c>
      <c r="D1233" s="2" t="str">
        <f t="shared" si="18"/>
        <v>Error?</v>
      </c>
    </row>
    <row r="1234" spans="1:4" x14ac:dyDescent="0.2">
      <c r="A1234" s="5">
        <v>1173</v>
      </c>
      <c r="B1234" s="138">
        <f>'Expenditures 15-22'!D151</f>
        <v>29542</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63098</v>
      </c>
      <c r="D1237" s="2" t="str">
        <f t="shared" si="18"/>
        <v>Error?</v>
      </c>
    </row>
    <row r="1238" spans="1:4" x14ac:dyDescent="0.2">
      <c r="A1238" s="10">
        <v>1177</v>
      </c>
      <c r="D1238" s="2" t="str">
        <f t="shared" si="18"/>
        <v>OK</v>
      </c>
    </row>
    <row r="1239" spans="1:4" x14ac:dyDescent="0.2">
      <c r="A1239" s="5">
        <v>1178</v>
      </c>
      <c r="B1239" s="138">
        <f>'Expenditures 15-22'!E127</f>
        <v>63098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63098</v>
      </c>
      <c r="C1241" s="2" t="s">
        <v>573</v>
      </c>
      <c r="D1241" s="2" t="str">
        <f t="shared" si="18"/>
        <v>Error?</v>
      </c>
    </row>
    <row r="1242" spans="1:4" x14ac:dyDescent="0.2">
      <c r="A1242" s="5">
        <v>1181</v>
      </c>
      <c r="B1242" s="138">
        <f>'Expenditures 15-22'!E151</f>
        <v>63098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98150</v>
      </c>
      <c r="D1245" s="2" t="str">
        <f t="shared" si="18"/>
        <v>Error?</v>
      </c>
    </row>
    <row r="1246" spans="1:4" x14ac:dyDescent="0.2">
      <c r="A1246" s="10">
        <v>1185</v>
      </c>
      <c r="D1246" s="2" t="str">
        <f t="shared" si="18"/>
        <v>OK</v>
      </c>
    </row>
    <row r="1247" spans="1:4" x14ac:dyDescent="0.2">
      <c r="A1247" s="5">
        <v>1186</v>
      </c>
      <c r="B1247" s="138">
        <f>'Expenditures 15-22'!F127</f>
        <v>98150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98150</v>
      </c>
      <c r="C1249" s="2" t="s">
        <v>573</v>
      </c>
      <c r="D1249" s="2" t="str">
        <f t="shared" si="18"/>
        <v>Error?</v>
      </c>
    </row>
    <row r="1250" spans="1:4" x14ac:dyDescent="0.2">
      <c r="A1250" s="5">
        <v>1189</v>
      </c>
      <c r="B1250" s="138">
        <f>'Expenditures 15-22'!F151</f>
        <v>98150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53345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53345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53345</v>
      </c>
      <c r="C1258" s="2" t="s">
        <v>573</v>
      </c>
      <c r="D1258" s="2" t="str">
        <f t="shared" si="18"/>
        <v>Error?</v>
      </c>
    </row>
    <row r="1259" spans="1:4" x14ac:dyDescent="0.2">
      <c r="A1259" s="5">
        <v>1198</v>
      </c>
      <c r="B1259" s="138">
        <f>'Expenditures 15-22'!G151</f>
        <v>53345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350</v>
      </c>
      <c r="D1270" s="2" t="str">
        <f t="shared" si="18"/>
        <v>Error?</v>
      </c>
    </row>
    <row r="1271" spans="1:4" x14ac:dyDescent="0.2">
      <c r="A1271" s="10">
        <v>1210</v>
      </c>
      <c r="D1271" s="2" t="str">
        <f t="shared" si="18"/>
        <v>OK</v>
      </c>
    </row>
    <row r="1272" spans="1:4" x14ac:dyDescent="0.2">
      <c r="A1272" s="5">
        <v>1211</v>
      </c>
      <c r="B1272" s="138">
        <f>'Expenditures 15-22'!H149</f>
        <v>350</v>
      </c>
      <c r="C1272" s="2" t="s">
        <v>573</v>
      </c>
      <c r="D1272" s="2" t="str">
        <f t="shared" si="18"/>
        <v>Error?</v>
      </c>
    </row>
    <row r="1273" spans="1:4" x14ac:dyDescent="0.2">
      <c r="A1273" s="5">
        <v>1212</v>
      </c>
      <c r="B1273" s="138">
        <f>'Expenditures 15-22'!H151</f>
        <v>350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426319</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426319</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426319</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350</v>
      </c>
      <c r="C1285" s="2" t="s">
        <v>573</v>
      </c>
      <c r="D1285" s="2" t="str">
        <f t="shared" si="19"/>
        <v>Error?</v>
      </c>
    </row>
    <row r="1286" spans="1:4" x14ac:dyDescent="0.2">
      <c r="A1286" s="10">
        <v>1225</v>
      </c>
      <c r="D1286" s="2" t="str">
        <f t="shared" si="19"/>
        <v>OK</v>
      </c>
    </row>
    <row r="1287" spans="1:4" x14ac:dyDescent="0.2">
      <c r="A1287" s="12">
        <v>1226</v>
      </c>
      <c r="B1287" s="138">
        <f>'Expenditures 15-22'!K149</f>
        <v>350</v>
      </c>
      <c r="C1287" s="2" t="s">
        <v>573</v>
      </c>
      <c r="D1287" s="2" t="str">
        <f t="shared" si="19"/>
        <v>Error?</v>
      </c>
    </row>
    <row r="1288" spans="1:4" x14ac:dyDescent="0.2">
      <c r="A1288" s="5">
        <v>1227</v>
      </c>
      <c r="B1288" s="138">
        <f>'Expenditures 15-22'!K151</f>
        <v>426669</v>
      </c>
      <c r="C1288" s="2" t="s">
        <v>573</v>
      </c>
      <c r="D1288" s="2" t="str">
        <f t="shared" si="19"/>
        <v>Error?</v>
      </c>
    </row>
    <row r="1289" spans="1:4" x14ac:dyDescent="0.2">
      <c r="A1289" s="5">
        <v>1228</v>
      </c>
      <c r="B1289" s="138">
        <f>'Expenditures 15-22'!K152</f>
        <v>-25027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13005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200000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213005</v>
      </c>
      <c r="C1317" s="2" t="s">
        <v>573</v>
      </c>
      <c r="D1317" s="2" t="str">
        <f t="shared" si="19"/>
        <v>Error?</v>
      </c>
    </row>
    <row r="1318" spans="1:4" x14ac:dyDescent="0.2">
      <c r="A1318" s="5">
        <v>1257</v>
      </c>
      <c r="B1318" s="138">
        <f>'Expenditures 15-22'!H174</f>
        <v>213005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13005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200000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213005</v>
      </c>
      <c r="C1331" s="2" t="s">
        <v>573</v>
      </c>
      <c r="D1331" s="2" t="str">
        <f t="shared" si="19"/>
        <v>Error?</v>
      </c>
    </row>
    <row r="1332" spans="1:4" x14ac:dyDescent="0.2">
      <c r="A1332" s="5">
        <v>1271</v>
      </c>
      <c r="B1332" s="138">
        <f>'Expenditures 15-22'!K174</f>
        <v>213005</v>
      </c>
      <c r="C1332" s="2" t="s">
        <v>573</v>
      </c>
      <c r="D1332" s="2" t="str">
        <f t="shared" si="19"/>
        <v>Error?</v>
      </c>
    </row>
    <row r="1333" spans="1:4" x14ac:dyDescent="0.2">
      <c r="A1333" s="5">
        <v>1272</v>
      </c>
      <c r="B1333" s="138">
        <f>'Expenditures 15-22'!K175</f>
        <v>-2200</v>
      </c>
      <c r="C1333" s="2" t="s">
        <v>573</v>
      </c>
      <c r="D1333" s="2" t="str">
        <f t="shared" si="19"/>
        <v>Error?</v>
      </c>
    </row>
    <row r="1334" spans="1:4" x14ac:dyDescent="0.2">
      <c r="A1334" s="10">
        <v>1273</v>
      </c>
      <c r="D1334" s="2" t="str">
        <f t="shared" si="19"/>
        <v>OK</v>
      </c>
    </row>
    <row r="1335" spans="1:4" x14ac:dyDescent="0.2">
      <c r="A1335" s="5">
        <v>1274</v>
      </c>
      <c r="B1335" s="138">
        <f>'Expenditures 15-22'!C182</f>
        <v>2122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2122</v>
      </c>
      <c r="C1339" s="2" t="s">
        <v>573</v>
      </c>
      <c r="D1339" s="2" t="str">
        <f t="shared" si="19"/>
        <v>Error?</v>
      </c>
    </row>
    <row r="1340" spans="1:4" x14ac:dyDescent="0.2">
      <c r="A1340" s="5">
        <v>1279</v>
      </c>
      <c r="B1340" s="138">
        <f>'Expenditures 15-22'!C210</f>
        <v>2122</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189965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189965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189965</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192087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192087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192087</v>
      </c>
      <c r="C1388" s="2" t="s">
        <v>573</v>
      </c>
      <c r="D1388" s="2" t="str">
        <f t="shared" si="20"/>
        <v>Error?</v>
      </c>
    </row>
    <row r="1389" spans="1:4" x14ac:dyDescent="0.2">
      <c r="A1389" s="5">
        <v>1328</v>
      </c>
      <c r="B1389" s="138">
        <f>'Expenditures 15-22'!K211</f>
        <v>-6320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3838</v>
      </c>
      <c r="D1408" s="2" t="str">
        <f t="shared" si="21"/>
        <v>Error?</v>
      </c>
    </row>
    <row r="1409" spans="1:4" x14ac:dyDescent="0.2">
      <c r="A1409" s="5">
        <v>1348</v>
      </c>
      <c r="B1409" s="138">
        <f>'Expenditures 15-22'!D224</f>
        <v>22</v>
      </c>
      <c r="D1409" s="2" t="str">
        <f t="shared" si="21"/>
        <v>Error?</v>
      </c>
    </row>
    <row r="1410" spans="1:4" x14ac:dyDescent="0.2">
      <c r="A1410" s="5">
        <v>1349</v>
      </c>
      <c r="B1410" s="138">
        <f>'Expenditures 15-22'!D229</f>
        <v>83976</v>
      </c>
      <c r="C1410" s="2" t="s">
        <v>573</v>
      </c>
      <c r="D1410" s="2" t="str">
        <f t="shared" si="21"/>
        <v>Error?</v>
      </c>
    </row>
    <row r="1411" spans="1:4" x14ac:dyDescent="0.2">
      <c r="A1411" s="5">
        <v>1350</v>
      </c>
      <c r="B1411" s="138">
        <f>'Expenditures 15-22'!D232</f>
        <v>216</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2417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2633</v>
      </c>
      <c r="C1417" s="2" t="s">
        <v>573</v>
      </c>
      <c r="D1417" s="2" t="str">
        <f t="shared" si="21"/>
        <v>Error?</v>
      </c>
    </row>
    <row r="1418" spans="1:4" x14ac:dyDescent="0.2">
      <c r="A1418" s="5">
        <v>1357</v>
      </c>
      <c r="B1418" s="138">
        <f>'Expenditures 15-22'!D240</f>
        <v>111</v>
      </c>
      <c r="D1418" s="2" t="str">
        <f t="shared" si="21"/>
        <v>Error?</v>
      </c>
    </row>
    <row r="1419" spans="1:4" x14ac:dyDescent="0.2">
      <c r="A1419" s="5">
        <v>1358</v>
      </c>
      <c r="B1419" s="138">
        <f>'Expenditures 15-22'!D241</f>
        <v>9878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9989</v>
      </c>
      <c r="C1421" s="2" t="s">
        <v>573</v>
      </c>
      <c r="D1421" s="2" t="str">
        <f t="shared" si="21"/>
        <v>Error?</v>
      </c>
    </row>
    <row r="1422" spans="1:4" x14ac:dyDescent="0.2">
      <c r="A1422" s="5">
        <v>1361</v>
      </c>
      <c r="B1422" s="138">
        <f>'Expenditures 15-22'!D245</f>
        <v>217</v>
      </c>
      <c r="D1422" s="2" t="str">
        <f t="shared" si="21"/>
        <v>Error?</v>
      </c>
    </row>
    <row r="1423" spans="1:4" x14ac:dyDescent="0.2">
      <c r="A1423" s="5">
        <v>1362</v>
      </c>
      <c r="B1423" s="138">
        <f>'Expenditures 15-22'!D246</f>
        <v>866</v>
      </c>
      <c r="D1423" s="2" t="str">
        <f t="shared" si="21"/>
        <v>Error?</v>
      </c>
    </row>
    <row r="1424" spans="1:4" x14ac:dyDescent="0.2">
      <c r="A1424" s="5">
        <v>1363</v>
      </c>
      <c r="B1424" s="138">
        <f>'Expenditures 15-22'!D257</f>
        <v>1083</v>
      </c>
      <c r="C1424" s="2" t="s">
        <v>573</v>
      </c>
      <c r="D1424" s="2" t="str">
        <f t="shared" si="21"/>
        <v>Error?</v>
      </c>
    </row>
    <row r="1425" spans="1:4" x14ac:dyDescent="0.2">
      <c r="A1425" s="5">
        <v>1364</v>
      </c>
      <c r="B1425" s="138">
        <f>'Expenditures 15-22'!D259</f>
        <v>11143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11143</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7555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25712</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33267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58115</v>
      </c>
      <c r="C1446" s="2" t="s">
        <v>573</v>
      </c>
      <c r="D1446" s="2" t="str">
        <f t="shared" si="21"/>
        <v>Error?</v>
      </c>
    </row>
    <row r="1447" spans="1:4" x14ac:dyDescent="0.2">
      <c r="A1447" s="5">
        <v>1386</v>
      </c>
      <c r="B1447" s="138">
        <f>'Expenditures 15-22'!D280</f>
        <v>124</v>
      </c>
      <c r="D1447" s="2" t="str">
        <f t="shared" si="21"/>
        <v>Error?</v>
      </c>
    </row>
    <row r="1448" spans="1:4" x14ac:dyDescent="0.2">
      <c r="A1448" s="5">
        <v>1387</v>
      </c>
      <c r="B1448" s="138">
        <f>'Expenditures 15-22'!D295</f>
        <v>142215</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3838</v>
      </c>
      <c r="C1472" s="2" t="s">
        <v>573</v>
      </c>
      <c r="D1472" s="2" t="str">
        <f t="shared" si="22"/>
        <v>Error?</v>
      </c>
    </row>
    <row r="1473" spans="1:4" x14ac:dyDescent="0.2">
      <c r="A1473" s="5">
        <v>1412</v>
      </c>
      <c r="B1473" s="138">
        <f>'Expenditures 15-22'!K224</f>
        <v>22</v>
      </c>
      <c r="C1473" s="2" t="s">
        <v>573</v>
      </c>
      <c r="D1473" s="2" t="str">
        <f t="shared" si="22"/>
        <v>Error?</v>
      </c>
    </row>
    <row r="1474" spans="1:4" x14ac:dyDescent="0.2">
      <c r="A1474" s="5">
        <v>1413</v>
      </c>
      <c r="B1474" s="138">
        <f>'Expenditures 15-22'!K229</f>
        <v>83976</v>
      </c>
      <c r="C1474" s="2" t="s">
        <v>573</v>
      </c>
      <c r="D1474" s="2" t="str">
        <f t="shared" si="22"/>
        <v>Error?</v>
      </c>
    </row>
    <row r="1475" spans="1:4" x14ac:dyDescent="0.2">
      <c r="A1475" s="5">
        <v>1414</v>
      </c>
      <c r="B1475" s="138">
        <f>'Expenditures 15-22'!K232</f>
        <v>216</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2417</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2633</v>
      </c>
      <c r="C1481" s="2" t="s">
        <v>573</v>
      </c>
      <c r="D1481" s="2" t="str">
        <f t="shared" si="22"/>
        <v>Error?</v>
      </c>
    </row>
    <row r="1482" spans="1:4" x14ac:dyDescent="0.2">
      <c r="A1482" s="5">
        <v>1421</v>
      </c>
      <c r="B1482" s="138">
        <f>'Expenditures 15-22'!K240</f>
        <v>111</v>
      </c>
      <c r="C1482" s="2" t="s">
        <v>573</v>
      </c>
      <c r="D1482" s="2" t="str">
        <f t="shared" si="22"/>
        <v>Error?</v>
      </c>
    </row>
    <row r="1483" spans="1:4" x14ac:dyDescent="0.2">
      <c r="A1483" s="5">
        <v>1422</v>
      </c>
      <c r="B1483" s="138">
        <f>'Expenditures 15-22'!K241</f>
        <v>9878</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9989</v>
      </c>
      <c r="C1485" s="2" t="s">
        <v>573</v>
      </c>
      <c r="D1485" s="2" t="str">
        <f t="shared" si="22"/>
        <v>Error?</v>
      </c>
    </row>
    <row r="1486" spans="1:4" x14ac:dyDescent="0.2">
      <c r="A1486" s="5">
        <v>1425</v>
      </c>
      <c r="B1486" s="138">
        <f>'Expenditures 15-22'!K245</f>
        <v>217</v>
      </c>
      <c r="C1486" s="2" t="s">
        <v>573</v>
      </c>
      <c r="D1486" s="2" t="str">
        <f t="shared" si="22"/>
        <v>Error?</v>
      </c>
    </row>
    <row r="1487" spans="1:4" x14ac:dyDescent="0.2">
      <c r="A1487" s="5">
        <v>1426</v>
      </c>
      <c r="B1487" s="138">
        <f>'Expenditures 15-22'!K246</f>
        <v>866</v>
      </c>
      <c r="C1487" s="2" t="s">
        <v>573</v>
      </c>
      <c r="D1487" s="2" t="str">
        <f t="shared" si="22"/>
        <v>Error?</v>
      </c>
    </row>
    <row r="1488" spans="1:4" x14ac:dyDescent="0.2">
      <c r="A1488" s="5">
        <v>1427</v>
      </c>
      <c r="B1488" s="138">
        <f>'Expenditures 15-22'!K257</f>
        <v>1083</v>
      </c>
      <c r="C1488" s="2" t="s">
        <v>573</v>
      </c>
      <c r="D1488" s="2" t="str">
        <f t="shared" si="22"/>
        <v>Error?</v>
      </c>
    </row>
    <row r="1489" spans="1:4" x14ac:dyDescent="0.2">
      <c r="A1489" s="5">
        <v>1428</v>
      </c>
      <c r="B1489" s="138">
        <f>'Expenditures 15-22'!K259</f>
        <v>11143</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11143</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7555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25712</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33267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58115</v>
      </c>
      <c r="C1510" s="2" t="s">
        <v>573</v>
      </c>
      <c r="D1510" s="2" t="str">
        <f t="shared" si="22"/>
        <v>Error?</v>
      </c>
    </row>
    <row r="1511" spans="1:4" x14ac:dyDescent="0.2">
      <c r="A1511" s="5">
        <v>1450</v>
      </c>
      <c r="B1511" s="138">
        <f>'Expenditures 15-22'!K280</f>
        <v>124</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142215</v>
      </c>
      <c r="C1517" s="2" t="s">
        <v>573</v>
      </c>
      <c r="D1517" s="2" t="str">
        <f t="shared" si="22"/>
        <v>Error?</v>
      </c>
    </row>
    <row r="1518" spans="1:4" x14ac:dyDescent="0.2">
      <c r="A1518" s="5">
        <v>1457</v>
      </c>
      <c r="B1518" s="138">
        <f>'Expenditures 15-22'!K296</f>
        <v>-1831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73913</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73913</v>
      </c>
      <c r="C1535" s="2" t="s">
        <v>573</v>
      </c>
      <c r="D1535" s="2" t="str">
        <f t="shared" ref="D1535:D1598" si="23">IF(ISBLANK(B1535),"OK",IF(A1535-B1535=0,"OK","Error?"))</f>
        <v>Error?</v>
      </c>
    </row>
    <row r="1536" spans="1:4" x14ac:dyDescent="0.2">
      <c r="A1536" s="5">
        <v>1475</v>
      </c>
      <c r="B1536" s="138">
        <f>'Expenditures 15-22'!E312</f>
        <v>73913</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282399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282399</v>
      </c>
      <c r="C1547" s="2" t="s">
        <v>573</v>
      </c>
      <c r="D1547" s="2" t="str">
        <f t="shared" si="23"/>
        <v>Error?</v>
      </c>
    </row>
    <row r="1548" spans="1:4" x14ac:dyDescent="0.2">
      <c r="A1548" s="5">
        <v>1487</v>
      </c>
      <c r="B1548" s="138">
        <f>'Expenditures 15-22'!G312</f>
        <v>282399</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356312</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356312</v>
      </c>
      <c r="C1559" s="2" t="s">
        <v>573</v>
      </c>
      <c r="D1559" s="2" t="str">
        <f t="shared" si="23"/>
        <v>Error?</v>
      </c>
    </row>
    <row r="1560" spans="1:4" x14ac:dyDescent="0.2">
      <c r="A1560" s="5">
        <v>1499</v>
      </c>
      <c r="B1560" s="138">
        <f>'Expenditures 15-22'!K312</f>
        <v>356312</v>
      </c>
      <c r="C1560" s="2" t="s">
        <v>573</v>
      </c>
      <c r="D1560" s="2" t="str">
        <f t="shared" si="23"/>
        <v>Error?</v>
      </c>
    </row>
    <row r="1561" spans="1:4" x14ac:dyDescent="0.2">
      <c r="A1561" s="5">
        <v>1500</v>
      </c>
      <c r="B1561" s="138">
        <f>'Expenditures 15-22'!K313</f>
        <v>-94913</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1022550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1165706</v>
      </c>
      <c r="C1630" s="2" t="s">
        <v>573</v>
      </c>
      <c r="D1630" s="2" t="str">
        <f t="shared" si="24"/>
        <v>Error?</v>
      </c>
    </row>
    <row r="1631" spans="1:4" x14ac:dyDescent="0.2">
      <c r="A1631" s="5">
        <v>1570</v>
      </c>
      <c r="B1631" s="138">
        <f>'Acct Summary 7-8'!D79</f>
        <v>490799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465772</v>
      </c>
      <c r="C1644" s="2" t="s">
        <v>573</v>
      </c>
      <c r="D1644" s="2" t="str">
        <f t="shared" si="24"/>
        <v>Error?</v>
      </c>
    </row>
    <row r="1645" spans="1:4" x14ac:dyDescent="0.2">
      <c r="A1645" s="5">
        <v>1584</v>
      </c>
      <c r="B1645" s="138">
        <f>'Acct Summary 7-8'!E79</f>
        <v>4830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2630</v>
      </c>
      <c r="C1658" s="2" t="s">
        <v>573</v>
      </c>
      <c r="D1658" s="2" t="str">
        <f t="shared" si="24"/>
        <v>Error?</v>
      </c>
    </row>
    <row r="1659" spans="1:4" x14ac:dyDescent="0.2">
      <c r="A1659" s="5">
        <v>1598</v>
      </c>
      <c r="B1659" s="138">
        <f>'Acct Summary 7-8'!F79</f>
        <v>380373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374053</v>
      </c>
      <c r="C1672" s="2" t="s">
        <v>573</v>
      </c>
      <c r="D1672" s="2" t="str">
        <f t="shared" si="25"/>
        <v>Error?</v>
      </c>
    </row>
    <row r="1673" spans="1:4" x14ac:dyDescent="0.2">
      <c r="A1673" s="5">
        <v>1612</v>
      </c>
      <c r="B1673" s="138">
        <f>'Acct Summary 7-8'!G79</f>
        <v>189900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188069</v>
      </c>
      <c r="C1686" s="2" t="s">
        <v>573</v>
      </c>
      <c r="D1686" s="2" t="str">
        <f t="shared" si="25"/>
        <v>Error?</v>
      </c>
    </row>
    <row r="1687" spans="1:4" x14ac:dyDescent="0.2">
      <c r="A1687" s="5">
        <v>1626</v>
      </c>
      <c r="B1687" s="138">
        <f>'Acct Summary 7-8'!H79</f>
        <v>226237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131324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2594183</v>
      </c>
      <c r="C1744" s="2" t="s">
        <v>573</v>
      </c>
      <c r="D1744" s="2" t="str">
        <f t="shared" si="26"/>
        <v>Error?</v>
      </c>
    </row>
    <row r="1745" spans="1:5" x14ac:dyDescent="0.2">
      <c r="A1745" s="5">
        <v>1684</v>
      </c>
      <c r="B1745" s="138">
        <f>'Tax Sched 23'!B5</f>
        <v>272501</v>
      </c>
      <c r="C1745" s="2" t="s">
        <v>573</v>
      </c>
      <c r="D1745" s="2" t="str">
        <f t="shared" si="26"/>
        <v>Error?</v>
      </c>
    </row>
    <row r="1746" spans="1:5" x14ac:dyDescent="0.2">
      <c r="A1746" s="5">
        <v>1685</v>
      </c>
      <c r="B1746" s="138">
        <f>'Tax Sched 23'!B6</f>
        <v>210548</v>
      </c>
      <c r="C1746" s="2" t="s">
        <v>573</v>
      </c>
      <c r="D1746" s="2" t="str">
        <f t="shared" si="26"/>
        <v>Error?</v>
      </c>
    </row>
    <row r="1747" spans="1:5" x14ac:dyDescent="0.2">
      <c r="A1747" s="5">
        <v>1686</v>
      </c>
      <c r="B1747" s="138">
        <f>'Tax Sched 23'!B7</f>
        <v>130802</v>
      </c>
      <c r="C1747" s="2" t="s">
        <v>573</v>
      </c>
      <c r="D1747" s="2" t="str">
        <f t="shared" si="26"/>
        <v>Error?</v>
      </c>
    </row>
    <row r="1748" spans="1:5" x14ac:dyDescent="0.2">
      <c r="A1748" s="5">
        <v>1687</v>
      </c>
      <c r="B1748" s="138">
        <f>'Tax Sched 23'!B8</f>
        <v>49338</v>
      </c>
      <c r="C1748" s="2" t="s">
        <v>573</v>
      </c>
      <c r="D1748" s="2" t="str">
        <f t="shared" si="26"/>
        <v>Error?</v>
      </c>
    </row>
    <row r="1749" spans="1:5" x14ac:dyDescent="0.2">
      <c r="A1749" s="5">
        <v>1688</v>
      </c>
      <c r="B1749" s="138">
        <f>'Tax Sched 23'!B10</f>
        <v>54502</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310787</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21800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3693799</v>
      </c>
      <c r="C1759" s="2" t="s">
        <v>573</v>
      </c>
      <c r="D1759" s="2" t="str">
        <f t="shared" si="26"/>
        <v>Error?</v>
      </c>
    </row>
    <row r="1760" spans="1:5" x14ac:dyDescent="0.2">
      <c r="A1760" s="5">
        <v>1699</v>
      </c>
      <c r="B1760" s="138">
        <f>'Tax Sched 23'!D4</f>
        <v>2594183</v>
      </c>
      <c r="C1760" s="2" t="s">
        <v>573</v>
      </c>
      <c r="D1760" s="2" t="str">
        <f t="shared" si="26"/>
        <v>Error?</v>
      </c>
    </row>
    <row r="1761" spans="1:5" x14ac:dyDescent="0.2">
      <c r="A1761" s="5">
        <v>1700</v>
      </c>
      <c r="B1761" s="138">
        <f>'Tax Sched 23'!D5</f>
        <v>272501</v>
      </c>
      <c r="C1761" s="2" t="s">
        <v>573</v>
      </c>
      <c r="D1761" s="2" t="str">
        <f t="shared" si="26"/>
        <v>Error?</v>
      </c>
    </row>
    <row r="1762" spans="1:5" s="8" customFormat="1" x14ac:dyDescent="0.2">
      <c r="A1762" s="5">
        <v>1701</v>
      </c>
      <c r="B1762" s="138">
        <f>'Tax Sched 23'!D6</f>
        <v>210548</v>
      </c>
      <c r="C1762" s="2" t="s">
        <v>573</v>
      </c>
      <c r="D1762" s="2" t="str">
        <f t="shared" si="26"/>
        <v>Error?</v>
      </c>
      <c r="E1762" s="9"/>
    </row>
    <row r="1763" spans="1:5" x14ac:dyDescent="0.2">
      <c r="A1763" s="5">
        <v>1702</v>
      </c>
      <c r="B1763" s="138">
        <f>'Tax Sched 23'!D7</f>
        <v>130802</v>
      </c>
      <c r="C1763" s="2" t="s">
        <v>573</v>
      </c>
      <c r="D1763" s="2" t="str">
        <f t="shared" si="26"/>
        <v>Error?</v>
      </c>
    </row>
    <row r="1764" spans="1:5" x14ac:dyDescent="0.2">
      <c r="A1764" s="5">
        <v>1703</v>
      </c>
      <c r="B1764" s="138">
        <f>'Tax Sched 23'!D8</f>
        <v>49338</v>
      </c>
      <c r="C1764" s="2" t="s">
        <v>573</v>
      </c>
      <c r="D1764" s="2" t="str">
        <f t="shared" si="26"/>
        <v>Error?</v>
      </c>
    </row>
    <row r="1765" spans="1:5" x14ac:dyDescent="0.2">
      <c r="A1765" s="5">
        <v>1704</v>
      </c>
      <c r="B1765" s="138">
        <f>'Tax Sched 23'!D10</f>
        <v>54502</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310787</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21800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3693799</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2862192</v>
      </c>
      <c r="C1792" s="2" t="s">
        <v>573</v>
      </c>
      <c r="D1792" s="2" t="str">
        <f t="shared" si="27"/>
        <v>Error?</v>
      </c>
    </row>
    <row r="1793" spans="1:4" x14ac:dyDescent="0.2">
      <c r="A1793" s="5">
        <v>1732</v>
      </c>
      <c r="B1793" s="138">
        <f>'Tax Sched 23'!F5</f>
        <v>296234</v>
      </c>
      <c r="C1793" s="2" t="s">
        <v>573</v>
      </c>
      <c r="D1793" s="2" t="str">
        <f t="shared" si="27"/>
        <v>Error?</v>
      </c>
    </row>
    <row r="1794" spans="1:4" x14ac:dyDescent="0.2">
      <c r="A1794" s="5">
        <v>1733</v>
      </c>
      <c r="B1794" s="138">
        <f>'Tax Sched 23'!F6</f>
        <v>213870</v>
      </c>
      <c r="C1794" s="2" t="s">
        <v>573</v>
      </c>
      <c r="D1794" s="2" t="str">
        <f t="shared" si="27"/>
        <v>Error?</v>
      </c>
    </row>
    <row r="1795" spans="1:4" x14ac:dyDescent="0.2">
      <c r="A1795" s="5">
        <v>1734</v>
      </c>
      <c r="B1795" s="138">
        <f>'Tax Sched 23'!F7</f>
        <v>142192</v>
      </c>
      <c r="C1795" s="2" t="s">
        <v>573</v>
      </c>
      <c r="D1795" s="2" t="str">
        <f t="shared" si="27"/>
        <v>Error?</v>
      </c>
    </row>
    <row r="1796" spans="1:4" x14ac:dyDescent="0.2">
      <c r="A1796" s="5">
        <v>1735</v>
      </c>
      <c r="B1796" s="138">
        <f>'Tax Sched 23'!F8</f>
        <v>50107</v>
      </c>
      <c r="C1796" s="2" t="s">
        <v>573</v>
      </c>
      <c r="D1796" s="2" t="str">
        <f t="shared" si="27"/>
        <v>Error?</v>
      </c>
    </row>
    <row r="1797" spans="1:4" x14ac:dyDescent="0.2">
      <c r="A1797" s="5">
        <v>1736</v>
      </c>
      <c r="B1797" s="138">
        <f>'Tax Sched 23'!F10</f>
        <v>59247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225451</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23699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3923099</v>
      </c>
      <c r="C1807" s="2" t="s">
        <v>573</v>
      </c>
      <c r="D1807" s="2" t="str">
        <f t="shared" si="27"/>
        <v>Error?</v>
      </c>
    </row>
    <row r="1808" spans="1:4" x14ac:dyDescent="0.2">
      <c r="A1808" s="5">
        <v>1747</v>
      </c>
      <c r="B1808" s="138">
        <f>'Tax Sched 23'!E4</f>
        <v>2862192</v>
      </c>
      <c r="D1808" s="2" t="str">
        <f t="shared" si="27"/>
        <v>Error?</v>
      </c>
    </row>
    <row r="1809" spans="1:4" x14ac:dyDescent="0.2">
      <c r="A1809" s="5">
        <v>1748</v>
      </c>
      <c r="B1809" s="138">
        <f>'Tax Sched 23'!E5</f>
        <v>296234</v>
      </c>
      <c r="D1809" s="2" t="str">
        <f t="shared" si="27"/>
        <v>Error?</v>
      </c>
    </row>
    <row r="1810" spans="1:4" x14ac:dyDescent="0.2">
      <c r="A1810" s="5">
        <v>1749</v>
      </c>
      <c r="B1810" s="138">
        <f>'Tax Sched 23'!E6</f>
        <v>213870</v>
      </c>
      <c r="D1810" s="2" t="str">
        <f t="shared" si="27"/>
        <v>Error?</v>
      </c>
    </row>
    <row r="1811" spans="1:4" x14ac:dyDescent="0.2">
      <c r="A1811" s="5">
        <v>1750</v>
      </c>
      <c r="B1811" s="138">
        <f>'Tax Sched 23'!E7</f>
        <v>142192</v>
      </c>
      <c r="D1811" s="2" t="str">
        <f t="shared" si="27"/>
        <v>Error?</v>
      </c>
    </row>
    <row r="1812" spans="1:4" x14ac:dyDescent="0.2">
      <c r="A1812" s="5">
        <v>1751</v>
      </c>
      <c r="B1812" s="138">
        <f>'Tax Sched 23'!E8</f>
        <v>50107</v>
      </c>
      <c r="D1812" s="2" t="str">
        <f t="shared" si="27"/>
        <v>Error?</v>
      </c>
    </row>
    <row r="1813" spans="1:4" x14ac:dyDescent="0.2">
      <c r="A1813" s="5">
        <v>1752</v>
      </c>
      <c r="B1813" s="138">
        <f>'Tax Sched 23'!E10</f>
        <v>59247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225451</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23699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3923099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615000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21800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21800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21800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73250</v>
      </c>
      <c r="D2008" s="2" t="str">
        <f t="shared" si="30"/>
        <v>Error?</v>
      </c>
    </row>
    <row r="2009" spans="1:4" x14ac:dyDescent="0.2">
      <c r="A2009" s="5">
        <v>1948</v>
      </c>
      <c r="B2009" s="138">
        <f>'Cap Outlay Deprec 26'!C8</f>
        <v>2512924</v>
      </c>
      <c r="D2009" s="2" t="str">
        <f t="shared" si="30"/>
        <v>Error?</v>
      </c>
    </row>
    <row r="2010" spans="1:4" x14ac:dyDescent="0.2">
      <c r="A2010" s="5">
        <v>1949</v>
      </c>
      <c r="B2010" s="138">
        <f>'Cap Outlay Deprec 26'!C10</f>
        <v>372760</v>
      </c>
      <c r="D2010" s="2" t="str">
        <f t="shared" si="30"/>
        <v>Error?</v>
      </c>
    </row>
    <row r="2011" spans="1:4" x14ac:dyDescent="0.2">
      <c r="A2011" s="5">
        <v>1950</v>
      </c>
      <c r="B2011" s="138">
        <f>'Cap Outlay Deprec 26'!C12</f>
        <v>1065552</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4024486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397339</v>
      </c>
      <c r="D2016" s="2" t="str">
        <f t="shared" si="30"/>
        <v>Error?</v>
      </c>
    </row>
    <row r="2017" spans="1:4" x14ac:dyDescent="0.2">
      <c r="A2017" s="5">
        <v>1956</v>
      </c>
      <c r="B2017" s="138">
        <f>'Cap Outlay Deprec 26'!D12</f>
        <v>110161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507500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470950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470950</v>
      </c>
      <c r="C2025" s="2" t="s">
        <v>573</v>
      </c>
      <c r="D2025" s="2" t="str">
        <f t="shared" si="30"/>
        <v>Error?</v>
      </c>
    </row>
    <row r="2026" spans="1:4" x14ac:dyDescent="0.2">
      <c r="A2026" s="5">
        <v>1965</v>
      </c>
      <c r="B2026" s="138">
        <f>'Cap Outlay Deprec 26'!F5</f>
        <v>73250</v>
      </c>
      <c r="C2026" s="2" t="s">
        <v>573</v>
      </c>
      <c r="D2026" s="2" t="str">
        <f t="shared" si="30"/>
        <v>Error?</v>
      </c>
    </row>
    <row r="2027" spans="1:4" x14ac:dyDescent="0.2">
      <c r="A2027" s="5">
        <v>1966</v>
      </c>
      <c r="B2027" s="138">
        <f>'Cap Outlay Deprec 26'!F8</f>
        <v>2512924</v>
      </c>
      <c r="C2027" s="2" t="s">
        <v>573</v>
      </c>
      <c r="D2027" s="2" t="str">
        <f t="shared" si="30"/>
        <v>Error?</v>
      </c>
    </row>
    <row r="2028" spans="1:4" x14ac:dyDescent="0.2">
      <c r="A2028" s="5">
        <v>1967</v>
      </c>
      <c r="B2028" s="138">
        <f>'Cap Outlay Deprec 26'!F10</f>
        <v>770099</v>
      </c>
      <c r="C2028" s="2" t="s">
        <v>573</v>
      </c>
      <c r="D2028" s="2" t="str">
        <f t="shared" si="30"/>
        <v>Error?</v>
      </c>
    </row>
    <row r="2029" spans="1:4" x14ac:dyDescent="0.2">
      <c r="A2029" s="5">
        <v>1968</v>
      </c>
      <c r="B2029" s="138">
        <f>'Cap Outlay Deprec 26'!F12</f>
        <v>704763</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4061036</v>
      </c>
      <c r="C2031" s="2" t="s">
        <v>573</v>
      </c>
      <c r="D2031" s="2" t="str">
        <f t="shared" si="30"/>
        <v>Error?</v>
      </c>
    </row>
    <row r="2032" spans="1:4" x14ac:dyDescent="0.2">
      <c r="A2032" s="10">
        <v>1971</v>
      </c>
      <c r="D2032" s="2" t="str">
        <f t="shared" si="30"/>
        <v>OK</v>
      </c>
    </row>
    <row r="2033" spans="1:4" x14ac:dyDescent="0.2">
      <c r="A2033" s="5">
        <v>1972</v>
      </c>
      <c r="B2033" s="138">
        <f>'Cap Outlay Deprec 26'!H8</f>
        <v>1617383</v>
      </c>
      <c r="D2033" s="2" t="str">
        <f t="shared" si="30"/>
        <v>Error?</v>
      </c>
    </row>
    <row r="2034" spans="1:4" x14ac:dyDescent="0.2">
      <c r="A2034" s="5">
        <v>1973</v>
      </c>
      <c r="B2034" s="138">
        <f>'Cap Outlay Deprec 26'!H10</f>
        <v>107452</v>
      </c>
      <c r="D2034" s="2" t="str">
        <f t="shared" si="30"/>
        <v>Error?</v>
      </c>
    </row>
    <row r="2035" spans="1:4" x14ac:dyDescent="0.2">
      <c r="A2035" s="5">
        <v>1974</v>
      </c>
      <c r="B2035" s="138">
        <f>'Cap Outlay Deprec 26'!H12</f>
        <v>682146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2406981</v>
      </c>
      <c r="C2037" s="2" t="s">
        <v>573</v>
      </c>
      <c r="D2037" s="2" t="str">
        <f t="shared" si="30"/>
        <v>Error?</v>
      </c>
    </row>
    <row r="2038" spans="1:4" x14ac:dyDescent="0.2">
      <c r="A2038" s="10">
        <v>1977</v>
      </c>
      <c r="D2038" s="2" t="str">
        <f t="shared" si="30"/>
        <v>OK</v>
      </c>
    </row>
    <row r="2039" spans="1:4" x14ac:dyDescent="0.2">
      <c r="A2039" s="5">
        <v>1978</v>
      </c>
      <c r="B2039" s="138">
        <f>'Cap Outlay Deprec 26'!I8</f>
        <v>50258</v>
      </c>
      <c r="D2039" s="2" t="str">
        <f t="shared" si="30"/>
        <v>Error?</v>
      </c>
    </row>
    <row r="2040" spans="1:4" x14ac:dyDescent="0.2">
      <c r="A2040" s="5">
        <v>1979</v>
      </c>
      <c r="B2040" s="138">
        <f>'Cap Outlay Deprec 26'!I10</f>
        <v>8713</v>
      </c>
      <c r="D2040" s="2" t="str">
        <f t="shared" si="30"/>
        <v>Error?</v>
      </c>
    </row>
    <row r="2041" spans="1:4" x14ac:dyDescent="0.2">
      <c r="A2041" s="5">
        <v>1980</v>
      </c>
      <c r="B2041" s="138">
        <f>'Cap Outlay Deprec 26'!I12</f>
        <v>60335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119306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470950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470950</v>
      </c>
      <c r="C2049" s="2" t="s">
        <v>573</v>
      </c>
      <c r="D2049" s="2" t="str">
        <f t="shared" si="31"/>
        <v>Error?</v>
      </c>
    </row>
    <row r="2050" spans="1:4" x14ac:dyDescent="0.2">
      <c r="A2050" s="10">
        <v>1989</v>
      </c>
      <c r="D2050" s="2" t="str">
        <f t="shared" si="31"/>
        <v>OK</v>
      </c>
    </row>
    <row r="2051" spans="1:4" x14ac:dyDescent="0.2">
      <c r="A2051" s="5">
        <v>1990</v>
      </c>
      <c r="B2051" s="138">
        <f>'Cap Outlay Deprec 26'!K8</f>
        <v>1667641</v>
      </c>
      <c r="C2051" s="2" t="s">
        <v>573</v>
      </c>
      <c r="D2051" s="2" t="str">
        <f t="shared" si="31"/>
        <v>Error?</v>
      </c>
    </row>
    <row r="2052" spans="1:4" x14ac:dyDescent="0.2">
      <c r="A2052" s="5">
        <v>1991</v>
      </c>
      <c r="B2052" s="138">
        <f>'Cap Outlay Deprec 26'!K10</f>
        <v>116165</v>
      </c>
      <c r="C2052" s="2" t="s">
        <v>573</v>
      </c>
      <c r="D2052" s="2" t="str">
        <f t="shared" si="31"/>
        <v>Error?</v>
      </c>
    </row>
    <row r="2053" spans="1:4" x14ac:dyDescent="0.2">
      <c r="A2053" s="5">
        <v>1992</v>
      </c>
      <c r="B2053" s="138">
        <f>'Cap Outlay Deprec 26'!K12</f>
        <v>271531</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2055337</v>
      </c>
      <c r="C2055" s="2" t="s">
        <v>573</v>
      </c>
      <c r="D2055" s="2" t="str">
        <f t="shared" si="31"/>
        <v>Error?</v>
      </c>
    </row>
    <row r="2056" spans="1:4" x14ac:dyDescent="0.2">
      <c r="A2056" s="5">
        <v>1995</v>
      </c>
      <c r="B2056" s="138">
        <f>'Cap Outlay Deprec 26'!L5</f>
        <v>73250</v>
      </c>
      <c r="C2056" s="2" t="s">
        <v>573</v>
      </c>
      <c r="D2056" s="2" t="str">
        <f t="shared" si="31"/>
        <v>Error?</v>
      </c>
    </row>
    <row r="2057" spans="1:4" x14ac:dyDescent="0.2">
      <c r="A2057" s="5">
        <v>1996</v>
      </c>
      <c r="B2057" s="138">
        <f>'Cap Outlay Deprec 26'!L8</f>
        <v>845283</v>
      </c>
      <c r="C2057" s="2" t="s">
        <v>573</v>
      </c>
      <c r="D2057" s="2" t="str">
        <f t="shared" si="31"/>
        <v>Error?</v>
      </c>
    </row>
    <row r="2058" spans="1:4" x14ac:dyDescent="0.2">
      <c r="A2058" s="5">
        <v>1997</v>
      </c>
      <c r="B2058" s="138">
        <f>'Cap Outlay Deprec 26'!L10</f>
        <v>653934</v>
      </c>
      <c r="C2058" s="2" t="s">
        <v>573</v>
      </c>
      <c r="D2058" s="2" t="str">
        <f t="shared" si="31"/>
        <v>Error?</v>
      </c>
    </row>
    <row r="2059" spans="1:4" x14ac:dyDescent="0.2">
      <c r="A2059" s="5">
        <v>1998</v>
      </c>
      <c r="B2059" s="138">
        <f>'Cap Outlay Deprec 26'!L12</f>
        <v>433232</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2005699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92793</v>
      </c>
      <c r="C2088" s="2" t="s">
        <v>573</v>
      </c>
      <c r="D2088" s="2" t="str">
        <f t="shared" si="31"/>
        <v>Error?</v>
      </c>
    </row>
    <row r="2089" spans="1:4" x14ac:dyDescent="0.2">
      <c r="A2089" s="5">
        <v>2028</v>
      </c>
      <c r="B2089" s="138">
        <f>'Expenditures 15-22'!K92</f>
        <v>166339</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3030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852</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196014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2937715</v>
      </c>
      <c r="C2551" s="2" t="s">
        <v>573</v>
      </c>
      <c r="D2551" s="2" t="str">
        <f t="shared" si="38"/>
        <v>Error?</v>
      </c>
    </row>
    <row r="2552" spans="1:4" x14ac:dyDescent="0.2">
      <c r="A2552" s="10">
        <v>2491</v>
      </c>
      <c r="D2552" s="2" t="str">
        <f t="shared" si="38"/>
        <v>OK</v>
      </c>
    </row>
    <row r="2553" spans="1:4" x14ac:dyDescent="0.2">
      <c r="A2553" s="5">
        <v>2492</v>
      </c>
      <c r="B2553" s="138">
        <f>'Acct Summary 7-8'!C6</f>
        <v>1054565</v>
      </c>
      <c r="C2553" s="2" t="s">
        <v>573</v>
      </c>
      <c r="D2553" s="2" t="str">
        <f t="shared" si="38"/>
        <v>Error?</v>
      </c>
    </row>
    <row r="2554" spans="1:4" x14ac:dyDescent="0.2">
      <c r="A2554" s="5">
        <v>2493</v>
      </c>
      <c r="B2554" s="138">
        <f>'Acct Summary 7-8'!C7</f>
        <v>271004</v>
      </c>
      <c r="C2554" s="2" t="s">
        <v>573</v>
      </c>
      <c r="D2554" s="2" t="str">
        <f t="shared" si="38"/>
        <v>Error?</v>
      </c>
    </row>
    <row r="2555" spans="1:4" x14ac:dyDescent="0.2">
      <c r="A2555" s="5">
        <v>2494</v>
      </c>
      <c r="B2555" s="138">
        <f>'Acct Summary 7-8'!C8</f>
        <v>4263284</v>
      </c>
      <c r="C2555" s="2" t="s">
        <v>573</v>
      </c>
      <c r="D2555" s="2" t="str">
        <f t="shared" si="38"/>
        <v>Error?</v>
      </c>
    </row>
    <row r="2556" spans="1:4" x14ac:dyDescent="0.2">
      <c r="A2556" s="5">
        <v>2495</v>
      </c>
      <c r="B2556" s="138">
        <f>'Acct Summary 7-8'!C12</f>
        <v>2867587</v>
      </c>
      <c r="C2556" s="2" t="s">
        <v>573</v>
      </c>
      <c r="D2556" s="2" t="str">
        <f t="shared" si="38"/>
        <v>Error?</v>
      </c>
    </row>
    <row r="2557" spans="1:4" x14ac:dyDescent="0.2">
      <c r="A2557" s="5">
        <v>2496</v>
      </c>
      <c r="B2557" s="138">
        <f>'Acct Summary 7-8'!C13</f>
        <v>1061656</v>
      </c>
      <c r="C2557" s="2" t="s">
        <v>573</v>
      </c>
      <c r="D2557" s="2" t="str">
        <f t="shared" si="38"/>
        <v>Error?</v>
      </c>
    </row>
    <row r="2558" spans="1:4" x14ac:dyDescent="0.2">
      <c r="A2558" s="5">
        <v>2497</v>
      </c>
      <c r="B2558" s="138">
        <f>'Acct Summary 7-8'!C14</f>
        <v>6166</v>
      </c>
      <c r="C2558" s="2" t="s">
        <v>573</v>
      </c>
      <c r="D2558" s="2" t="str">
        <f t="shared" si="38"/>
        <v>Error?</v>
      </c>
    </row>
    <row r="2559" spans="1:4" x14ac:dyDescent="0.2">
      <c r="A2559" s="5">
        <v>2498</v>
      </c>
      <c r="B2559" s="138">
        <f>'Acct Summary 7-8'!C15</f>
        <v>259132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4194541</v>
      </c>
      <c r="C2561" s="2" t="s">
        <v>573</v>
      </c>
      <c r="D2561" s="2" t="str">
        <f t="shared" si="39"/>
        <v>Error?</v>
      </c>
    </row>
    <row r="2562" spans="1:4" x14ac:dyDescent="0.2">
      <c r="A2562" s="5">
        <v>2501</v>
      </c>
      <c r="B2562" s="138">
        <f>'Acct Summary 7-8'!C20</f>
        <v>68743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401642</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401642</v>
      </c>
      <c r="C2568" s="2" t="s">
        <v>573</v>
      </c>
      <c r="D2568" s="2" t="str">
        <f t="shared" si="39"/>
        <v>Error?</v>
      </c>
    </row>
    <row r="2569" spans="1:4" x14ac:dyDescent="0.2">
      <c r="A2569" s="5">
        <v>2508</v>
      </c>
      <c r="B2569" s="138">
        <f>'Acct Summary 7-8'!D13</f>
        <v>426319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350</v>
      </c>
      <c r="C2572" s="2" t="s">
        <v>573</v>
      </c>
      <c r="D2572" s="2" t="str">
        <f t="shared" si="39"/>
        <v>Error?</v>
      </c>
    </row>
    <row r="2573" spans="1:4" x14ac:dyDescent="0.2">
      <c r="A2573" s="5">
        <v>2512</v>
      </c>
      <c r="B2573" s="138">
        <f>'Acct Summary 7-8'!D17</f>
        <v>426669</v>
      </c>
      <c r="C2573" s="2" t="s">
        <v>573</v>
      </c>
      <c r="D2573" s="2" t="str">
        <f t="shared" si="39"/>
        <v>Error?</v>
      </c>
    </row>
    <row r="2574" spans="1:4" x14ac:dyDescent="0.2">
      <c r="A2574" s="5">
        <v>2513</v>
      </c>
      <c r="B2574" s="138">
        <f>'Acct Summary 7-8'!D20</f>
        <v>-25027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133905</v>
      </c>
      <c r="C2591" s="2" t="s">
        <v>573</v>
      </c>
      <c r="D2591" s="2" t="str">
        <f t="shared" si="39"/>
        <v>Error?</v>
      </c>
    </row>
    <row r="2592" spans="1:4" x14ac:dyDescent="0.2">
      <c r="A2592" s="10">
        <v>2531</v>
      </c>
      <c r="D2592" s="2" t="str">
        <f t="shared" si="39"/>
        <v>OK</v>
      </c>
    </row>
    <row r="2593" spans="1:4" x14ac:dyDescent="0.2">
      <c r="A2593" s="5">
        <v>2532</v>
      </c>
      <c r="B2593" s="138">
        <f>'Acct Summary 7-8'!F6</f>
        <v>51862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185767</v>
      </c>
      <c r="C2595" s="2" t="s">
        <v>573</v>
      </c>
      <c r="D2595" s="2" t="str">
        <f t="shared" si="39"/>
        <v>Error?</v>
      </c>
    </row>
    <row r="2596" spans="1:4" x14ac:dyDescent="0.2">
      <c r="A2596" s="5">
        <v>2535</v>
      </c>
      <c r="B2596" s="138">
        <f>'Acct Summary 7-8'!F13</f>
        <v>192087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192087</v>
      </c>
      <c r="C2600" s="2" t="s">
        <v>573</v>
      </c>
      <c r="D2600" s="2" t="str">
        <f t="shared" si="39"/>
        <v>Error?</v>
      </c>
    </row>
    <row r="2601" spans="1:4" x14ac:dyDescent="0.2">
      <c r="A2601" s="5">
        <v>2540</v>
      </c>
      <c r="B2601" s="138">
        <f>'Acct Summary 7-8'!F20</f>
        <v>-6320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140384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140384</v>
      </c>
      <c r="C2606" s="2" t="s">
        <v>573</v>
      </c>
      <c r="D2606" s="2" t="str">
        <f t="shared" si="39"/>
        <v>Error?</v>
      </c>
    </row>
    <row r="2607" spans="1:4" x14ac:dyDescent="0.2">
      <c r="A2607" s="5">
        <v>2546</v>
      </c>
      <c r="B2607" s="138">
        <f>'Acct Summary 7-8'!G12</f>
        <v>83976</v>
      </c>
      <c r="C2607" s="2" t="s">
        <v>573</v>
      </c>
      <c r="D2607" s="2" t="str">
        <f t="shared" si="39"/>
        <v>Error?</v>
      </c>
    </row>
    <row r="2608" spans="1:4" x14ac:dyDescent="0.2">
      <c r="A2608" s="5">
        <v>2547</v>
      </c>
      <c r="B2608" s="138">
        <f>'Acct Summary 7-8'!G13</f>
        <v>58115</v>
      </c>
      <c r="C2608" s="2" t="s">
        <v>573</v>
      </c>
      <c r="D2608" s="2" t="str">
        <f t="shared" si="39"/>
        <v>Error?</v>
      </c>
    </row>
    <row r="2609" spans="1:4" x14ac:dyDescent="0.2">
      <c r="A2609" s="5">
        <v>2548</v>
      </c>
      <c r="B2609" s="138">
        <f>'Acct Summary 7-8'!G14</f>
        <v>124</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142215</v>
      </c>
      <c r="C2612" s="2" t="s">
        <v>573</v>
      </c>
      <c r="D2612" s="2" t="str">
        <f t="shared" si="39"/>
        <v>Error?</v>
      </c>
    </row>
    <row r="2613" spans="1:4" x14ac:dyDescent="0.2">
      <c r="A2613" s="5">
        <v>2552</v>
      </c>
      <c r="B2613" s="138">
        <f>'Acct Summary 7-8'!G20</f>
        <v>-1831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210805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210805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213005</v>
      </c>
      <c r="C2634" s="2" t="s">
        <v>573</v>
      </c>
      <c r="D2634" s="2" t="str">
        <f t="shared" si="40"/>
        <v>Error?</v>
      </c>
    </row>
    <row r="2635" spans="1:4" x14ac:dyDescent="0.2">
      <c r="A2635" s="5">
        <v>2574</v>
      </c>
      <c r="B2635" s="138">
        <f>'Acct Summary 7-8'!E17</f>
        <v>213005</v>
      </c>
      <c r="C2635" s="2" t="s">
        <v>573</v>
      </c>
      <c r="D2635" s="2" t="str">
        <f t="shared" si="40"/>
        <v>Error?</v>
      </c>
    </row>
    <row r="2636" spans="1:4" x14ac:dyDescent="0.2">
      <c r="A2636" s="5">
        <v>2575</v>
      </c>
      <c r="B2636" s="138">
        <f>'Acct Summary 7-8'!E20</f>
        <v>-2200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261399</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261399</v>
      </c>
      <c r="C2658" s="2" t="s">
        <v>573</v>
      </c>
      <c r="D2658" s="2" t="str">
        <f t="shared" si="40"/>
        <v>Error?</v>
      </c>
    </row>
    <row r="2659" spans="1:4" x14ac:dyDescent="0.2">
      <c r="A2659" s="5">
        <v>2598</v>
      </c>
      <c r="B2659" s="138">
        <f>'Acct Summary 7-8'!H13</f>
        <v>356312</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356312</v>
      </c>
      <c r="C2661" s="2" t="s">
        <v>573</v>
      </c>
      <c r="D2661" s="2" t="str">
        <f t="shared" si="40"/>
        <v>Error?</v>
      </c>
    </row>
    <row r="2662" spans="1:4" x14ac:dyDescent="0.2">
      <c r="A2662" s="5">
        <v>2601</v>
      </c>
      <c r="B2662" s="138">
        <f>'Acct Summary 7-8'!H20</f>
        <v>-94913</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92793</v>
      </c>
      <c r="C2789" s="2" t="s">
        <v>573</v>
      </c>
      <c r="D2789" s="2" t="str">
        <f t="shared" si="42"/>
        <v>Error?</v>
      </c>
    </row>
    <row r="2790" spans="1:4" x14ac:dyDescent="0.2">
      <c r="A2790" s="5">
        <v>2729</v>
      </c>
      <c r="B2790" s="138">
        <f>'Expenditures 15-22'!E102</f>
        <v>92793</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1084115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49182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1084115</v>
      </c>
      <c r="D2912" s="2" t="str">
        <f t="shared" si="44"/>
        <v>Error?</v>
      </c>
    </row>
    <row r="2913" spans="1:4" x14ac:dyDescent="0.2">
      <c r="A2913" s="5">
        <v>2852</v>
      </c>
      <c r="B2913" s="138">
        <f>'Assets-Liab 5-6'!I41</f>
        <v>1084115</v>
      </c>
      <c r="C2913" s="2" t="s">
        <v>573</v>
      </c>
      <c r="D2913" s="2" t="str">
        <f t="shared" si="44"/>
        <v>Error?</v>
      </c>
    </row>
    <row r="2914" spans="1:4" x14ac:dyDescent="0.2">
      <c r="A2914" s="5">
        <v>2853</v>
      </c>
      <c r="B2914" s="138">
        <f>'Assets-Liab 5-6'!L33</f>
        <v>49182</v>
      </c>
      <c r="D2914" s="2" t="str">
        <f t="shared" si="44"/>
        <v>Error?</v>
      </c>
    </row>
    <row r="2915" spans="1:4" x14ac:dyDescent="0.2">
      <c r="A2915" s="10">
        <v>2854</v>
      </c>
      <c r="D2915" s="2" t="str">
        <f t="shared" si="44"/>
        <v>OK</v>
      </c>
    </row>
    <row r="2916" spans="1:4" x14ac:dyDescent="0.2">
      <c r="A2916" s="5">
        <v>2855</v>
      </c>
      <c r="B2916" s="138">
        <f>'Assets-Liab 5-6'!L34</f>
        <v>49182</v>
      </c>
      <c r="C2916" s="2" t="s">
        <v>573</v>
      </c>
      <c r="D2916" s="2" t="str">
        <f t="shared" si="44"/>
        <v>Error?</v>
      </c>
    </row>
    <row r="2917" spans="1:4" x14ac:dyDescent="0.2">
      <c r="A2917" s="5">
        <v>2856</v>
      </c>
      <c r="B2917" s="138">
        <f>'Assets-Liab 5-6'!L41</f>
        <v>49182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92793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92793</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45095</v>
      </c>
      <c r="D3055" s="2" t="str">
        <f t="shared" si="46"/>
        <v>Error?</v>
      </c>
    </row>
    <row r="3056" spans="1:4" x14ac:dyDescent="0.2">
      <c r="A3056" s="5">
        <v>2995</v>
      </c>
      <c r="B3056" s="138">
        <f>'Expenditures 15-22'!D10</f>
        <v>17458</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65472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128025</v>
      </c>
      <c r="C3062" s="2" t="s">
        <v>573</v>
      </c>
      <c r="D3062" s="2" t="str">
        <f t="shared" si="46"/>
        <v>Error?</v>
      </c>
    </row>
    <row r="3063" spans="1:4" x14ac:dyDescent="0.2">
      <c r="A3063" s="10">
        <v>3002</v>
      </c>
      <c r="D3063" s="2" t="str">
        <f t="shared" si="46"/>
        <v>OK</v>
      </c>
    </row>
    <row r="3064" spans="1:4" x14ac:dyDescent="0.2">
      <c r="A3064" s="5">
        <v>3003</v>
      </c>
      <c r="B3064" s="138">
        <f>'Expenditures 15-22'!D219</f>
        <v>4598</v>
      </c>
      <c r="D3064" s="2" t="str">
        <f t="shared" si="46"/>
        <v>Error?</v>
      </c>
    </row>
    <row r="3065" spans="1:4" x14ac:dyDescent="0.2">
      <c r="A3065" s="5">
        <v>3004</v>
      </c>
      <c r="B3065" s="138">
        <f>'Expenditures 15-22'!K219</f>
        <v>4598</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57532</v>
      </c>
      <c r="C3225" s="2" t="s">
        <v>573</v>
      </c>
      <c r="D3225" s="2" t="str">
        <f t="shared" si="49"/>
        <v>Error?</v>
      </c>
    </row>
    <row r="3226" spans="1:4" x14ac:dyDescent="0.2">
      <c r="A3226" s="5">
        <v>3165</v>
      </c>
      <c r="B3226" s="138">
        <f>'Acct Summary 7-8'!I8</f>
        <v>57532</v>
      </c>
      <c r="C3226" s="2" t="s">
        <v>573</v>
      </c>
      <c r="D3226" s="2" t="str">
        <f t="shared" si="49"/>
        <v>Error?</v>
      </c>
    </row>
    <row r="3227" spans="1:4" x14ac:dyDescent="0.2">
      <c r="A3227" s="5">
        <v>3166</v>
      </c>
      <c r="B3227" s="138">
        <f>'Acct Summary 7-8'!I20</f>
        <v>57532</v>
      </c>
      <c r="C3227" s="2" t="s">
        <v>573</v>
      </c>
      <c r="D3227" s="2" t="str">
        <f t="shared" si="49"/>
        <v>Error?</v>
      </c>
    </row>
    <row r="3228" spans="1:4" x14ac:dyDescent="0.2">
      <c r="A3228" s="5">
        <v>3167</v>
      </c>
      <c r="B3228" s="138">
        <f>'Acct Summary 7-8'!C43</f>
        <v>71383</v>
      </c>
      <c r="D3228" s="2" t="str">
        <f t="shared" si="49"/>
        <v>Error?</v>
      </c>
    </row>
    <row r="3229" spans="1:4" x14ac:dyDescent="0.2">
      <c r="A3229" s="5">
        <v>3168</v>
      </c>
      <c r="B3229" s="138">
        <f>'Acct Summary 7-8'!C44</f>
        <v>74413</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74413</v>
      </c>
      <c r="C3232" s="2" t="s">
        <v>573</v>
      </c>
      <c r="D3232" s="2" t="str">
        <f t="shared" si="49"/>
        <v>Error?</v>
      </c>
    </row>
    <row r="3233" spans="1:4" x14ac:dyDescent="0.2">
      <c r="A3233" s="5">
        <v>3172</v>
      </c>
      <c r="B3233" s="138">
        <f>'Acct Summary 7-8'!C78</f>
        <v>143156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-25027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-6320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-1831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-2200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-94913</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3030</v>
      </c>
      <c r="C3318" s="2" t="s">
        <v>573</v>
      </c>
      <c r="D3318" s="2" t="str">
        <f t="shared" si="50"/>
        <v>Error?</v>
      </c>
    </row>
    <row r="3319" spans="1:4" x14ac:dyDescent="0.2">
      <c r="A3319" s="5">
        <v>3258</v>
      </c>
      <c r="B3319" s="138">
        <f>'Acct Summary 7-8'!I77</f>
        <v>-3030</v>
      </c>
      <c r="C3319" s="2" t="s">
        <v>573</v>
      </c>
      <c r="D3319" s="2" t="str">
        <f t="shared" si="50"/>
        <v>Error?</v>
      </c>
    </row>
    <row r="3320" spans="1:4" x14ac:dyDescent="0.2">
      <c r="A3320" s="5">
        <v>3259</v>
      </c>
      <c r="B3320" s="138">
        <f>'Acct Summary 7-8'!I78</f>
        <v>54502</v>
      </c>
      <c r="C3320" s="2" t="s">
        <v>573</v>
      </c>
      <c r="D3320" s="2" t="str">
        <f t="shared" si="50"/>
        <v>Error?</v>
      </c>
    </row>
    <row r="3321" spans="1:4" x14ac:dyDescent="0.2">
      <c r="A3321" s="5">
        <v>3260</v>
      </c>
      <c r="B3321" s="138">
        <f>'Acct Summary 7-8'!I79</f>
        <v>1029613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1084115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592223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108565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408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2358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703554</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19642</v>
      </c>
      <c r="D3387" s="2" t="str">
        <f t="shared" si="51"/>
        <v>Error?</v>
      </c>
    </row>
    <row r="3388" spans="1:4" x14ac:dyDescent="0.2">
      <c r="A3388" s="5">
        <v>3327</v>
      </c>
      <c r="B3388" s="138">
        <f>'Expenditures 15-22'!D217</f>
        <v>44206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19642</v>
      </c>
      <c r="C3390" s="2" t="s">
        <v>573</v>
      </c>
      <c r="D3390" s="2" t="str">
        <f t="shared" si="51"/>
        <v>Error?</v>
      </c>
    </row>
    <row r="3391" spans="1:4" x14ac:dyDescent="0.2">
      <c r="A3391" s="5">
        <v>3330</v>
      </c>
      <c r="B3391" s="138">
        <f>'Expenditures 15-22'!K217</f>
        <v>44206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1165706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465772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2630</v>
      </c>
      <c r="D3417" s="2" t="str">
        <f t="shared" si="52"/>
        <v>Error?</v>
      </c>
    </row>
    <row r="3418" spans="1:4" x14ac:dyDescent="0.2">
      <c r="A3418" s="10">
        <v>3357</v>
      </c>
      <c r="D3418" s="2" t="str">
        <f t="shared" si="52"/>
        <v>OK</v>
      </c>
    </row>
    <row r="3419" spans="1:4" x14ac:dyDescent="0.2">
      <c r="A3419" s="5">
        <v>3358</v>
      </c>
      <c r="B3419" s="138">
        <f>'Assets-Liab 5-6'!F4</f>
        <v>374053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188069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131324</v>
      </c>
      <c r="D3425" s="2" t="str">
        <f t="shared" si="52"/>
        <v>Error?</v>
      </c>
    </row>
    <row r="3426" spans="1:4" x14ac:dyDescent="0.2">
      <c r="A3426" s="10">
        <v>3365</v>
      </c>
      <c r="D3426" s="2" t="str">
        <f t="shared" si="52"/>
        <v>OK</v>
      </c>
    </row>
    <row r="3427" spans="1:4" x14ac:dyDescent="0.2">
      <c r="A3427" s="5">
        <v>3366</v>
      </c>
      <c r="B3427" s="138">
        <f>'Assets-Liab 5-6'!I4</f>
        <v>1084115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49182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49338</v>
      </c>
      <c r="C3446" s="2" t="s">
        <v>573</v>
      </c>
      <c r="D3446" s="2" t="str">
        <f t="shared" si="52"/>
        <v>Error?</v>
      </c>
    </row>
    <row r="3447" spans="1:4" x14ac:dyDescent="0.2">
      <c r="A3447" s="5">
        <v>3386</v>
      </c>
      <c r="B3447" s="138">
        <f>'Tax Sched 23'!D16</f>
        <v>49338</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50107</v>
      </c>
      <c r="C3449" s="2" t="s">
        <v>573</v>
      </c>
      <c r="D3449" s="2" t="str">
        <f t="shared" si="52"/>
        <v>Error?</v>
      </c>
    </row>
    <row r="3450" spans="1:4" x14ac:dyDescent="0.2">
      <c r="A3450" s="5">
        <v>3389</v>
      </c>
      <c r="B3450" s="138">
        <f>'Tax Sched 23'!E16</f>
        <v>50107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-1018946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3244338</v>
      </c>
      <c r="C4122" s="2" t="s">
        <v>573</v>
      </c>
      <c r="D4122" s="2" t="str">
        <f t="shared" si="63"/>
        <v>Error?</v>
      </c>
    </row>
    <row r="4123" spans="1:4" x14ac:dyDescent="0.2">
      <c r="A4123" s="5">
        <v>4062</v>
      </c>
      <c r="B4123" s="138">
        <f>'Acct Summary 7-8'!D10</f>
        <v>401642</v>
      </c>
      <c r="C4123" s="2" t="s">
        <v>573</v>
      </c>
      <c r="D4123" s="2" t="str">
        <f t="shared" si="63"/>
        <v>Error?</v>
      </c>
    </row>
    <row r="4124" spans="1:4" x14ac:dyDescent="0.2">
      <c r="A4124" s="5">
        <v>4063</v>
      </c>
      <c r="B4124" s="138">
        <f>'Acct Summary 7-8'!E10</f>
        <v>210805</v>
      </c>
      <c r="C4124" s="2" t="s">
        <v>573</v>
      </c>
      <c r="D4124" s="2" t="str">
        <f t="shared" si="63"/>
        <v>Error?</v>
      </c>
    </row>
    <row r="4125" spans="1:4" x14ac:dyDescent="0.2">
      <c r="A4125" s="5">
        <v>4064</v>
      </c>
      <c r="B4125" s="138">
        <f>'Acct Summary 7-8'!F10</f>
        <v>185767</v>
      </c>
      <c r="C4125" s="2" t="s">
        <v>573</v>
      </c>
      <c r="D4125" s="2" t="str">
        <f t="shared" si="63"/>
        <v>Error?</v>
      </c>
    </row>
    <row r="4126" spans="1:4" x14ac:dyDescent="0.2">
      <c r="A4126" s="5">
        <v>4065</v>
      </c>
      <c r="B4126" s="138">
        <f>'Acct Summary 7-8'!G10</f>
        <v>140384</v>
      </c>
      <c r="C4126" s="2" t="s">
        <v>573</v>
      </c>
      <c r="D4126" s="2" t="str">
        <f t="shared" si="63"/>
        <v>Error?</v>
      </c>
    </row>
    <row r="4127" spans="1:4" x14ac:dyDescent="0.2">
      <c r="A4127" s="5">
        <v>4066</v>
      </c>
      <c r="B4127" s="138">
        <f>'Acct Summary 7-8'!H10</f>
        <v>261399</v>
      </c>
      <c r="C4127" s="2" t="s">
        <v>573</v>
      </c>
      <c r="D4127" s="2" t="str">
        <f t="shared" si="63"/>
        <v>Error?</v>
      </c>
    </row>
    <row r="4128" spans="1:4" x14ac:dyDescent="0.2">
      <c r="A4128" s="5">
        <v>4067</v>
      </c>
      <c r="B4128" s="138">
        <f>'Acct Summary 7-8'!I10</f>
        <v>57532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-1018946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3175595</v>
      </c>
      <c r="C4136" s="2" t="s">
        <v>573</v>
      </c>
      <c r="D4136" s="2" t="str">
        <f t="shared" si="63"/>
        <v>Error?</v>
      </c>
    </row>
    <row r="4137" spans="1:4" x14ac:dyDescent="0.2">
      <c r="A4137" s="5">
        <v>4076</v>
      </c>
      <c r="B4137" s="138">
        <f>'Acct Summary 7-8'!D19</f>
        <v>426669</v>
      </c>
      <c r="C4137" s="2" t="s">
        <v>573</v>
      </c>
      <c r="D4137" s="2" t="str">
        <f t="shared" si="63"/>
        <v>Error?</v>
      </c>
    </row>
    <row r="4138" spans="1:4" x14ac:dyDescent="0.2">
      <c r="A4138" s="5">
        <v>4077</v>
      </c>
      <c r="B4138" s="138">
        <f>'Acct Summary 7-8'!E19</f>
        <v>213005</v>
      </c>
      <c r="C4138" s="2" t="s">
        <v>573</v>
      </c>
      <c r="D4138" s="2" t="str">
        <f t="shared" si="63"/>
        <v>Error?</v>
      </c>
    </row>
    <row r="4139" spans="1:4" x14ac:dyDescent="0.2">
      <c r="A4139" s="5">
        <v>4078</v>
      </c>
      <c r="B4139" s="138">
        <f>'Acct Summary 7-8'!F19</f>
        <v>192087</v>
      </c>
      <c r="C4139" s="2" t="s">
        <v>573</v>
      </c>
      <c r="D4139" s="2" t="str">
        <f t="shared" si="63"/>
        <v>Error?</v>
      </c>
    </row>
    <row r="4140" spans="1:4" x14ac:dyDescent="0.2">
      <c r="A4140" s="5">
        <v>4079</v>
      </c>
      <c r="B4140" s="138">
        <f>'Acct Summary 7-8'!G19</f>
        <v>142215</v>
      </c>
      <c r="C4140" s="2" t="s">
        <v>573</v>
      </c>
      <c r="D4140" s="2" t="str">
        <f t="shared" si="63"/>
        <v>Error?</v>
      </c>
    </row>
    <row r="4141" spans="1:4" x14ac:dyDescent="0.2">
      <c r="A4141" s="5">
        <v>4080</v>
      </c>
      <c r="B4141" s="138">
        <f>'Acct Summary 7-8'!H19</f>
        <v>356312</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415000</v>
      </c>
      <c r="C4171" s="2" t="s">
        <v>573</v>
      </c>
      <c r="D4171" s="2" t="str">
        <f t="shared" si="64"/>
        <v>Error?</v>
      </c>
    </row>
    <row r="4172" spans="1:4" x14ac:dyDescent="0.2">
      <c r="A4172" s="5">
        <v>4111</v>
      </c>
      <c r="B4172" s="138">
        <f>'Short-Term Long-Term Debt 24'!J49</f>
        <v>412370</v>
      </c>
      <c r="C4172" s="2" t="s">
        <v>573</v>
      </c>
      <c r="D4172" s="2" t="str">
        <f t="shared" si="64"/>
        <v>Error?</v>
      </c>
    </row>
    <row r="4173" spans="1:4" x14ac:dyDescent="0.2">
      <c r="A4173" s="5">
        <v>4112</v>
      </c>
      <c r="B4173" s="138">
        <f>'Short-Term Long-Term Debt 24'!H49</f>
        <v>200000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1903</v>
      </c>
    </row>
    <row r="4236" spans="1:5" x14ac:dyDescent="0.2">
      <c r="A4236" s="10">
        <v>4175</v>
      </c>
      <c r="D4236" s="2" t="str">
        <f t="shared" si="65"/>
        <v>OK</v>
      </c>
      <c r="E4236" s="4" t="s">
        <v>1903</v>
      </c>
    </row>
    <row r="4237" spans="1:5" x14ac:dyDescent="0.2">
      <c r="A4237" s="10">
        <v>4176</v>
      </c>
      <c r="D4237" s="2" t="str">
        <f t="shared" si="65"/>
        <v>OK</v>
      </c>
      <c r="E4237" s="4" t="s">
        <v>1903</v>
      </c>
    </row>
    <row r="4238" spans="1:5" x14ac:dyDescent="0.2">
      <c r="A4238" s="10">
        <v>4177</v>
      </c>
      <c r="D4238" s="2" t="str">
        <f t="shared" si="65"/>
        <v>OK</v>
      </c>
      <c r="E4238" s="4" t="s">
        <v>1903</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2380</v>
      </c>
      <c r="C4265" s="2" t="s">
        <v>573</v>
      </c>
      <c r="D4265" s="2" t="str">
        <f t="shared" si="65"/>
        <v>Error?</v>
      </c>
      <c r="E4265" s="128"/>
    </row>
    <row r="4266" spans="1:5" x14ac:dyDescent="0.2">
      <c r="A4266" s="12">
        <v>4205</v>
      </c>
      <c r="B4266" s="138">
        <f>('FP Info 3'!F10)*100000</f>
        <v>250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2750</v>
      </c>
      <c r="C4268" s="2" t="s">
        <v>573</v>
      </c>
      <c r="D4268" s="2" t="str">
        <f t="shared" si="65"/>
        <v>Error?</v>
      </c>
    </row>
    <row r="4269" spans="1:5" x14ac:dyDescent="0.2">
      <c r="A4269" s="12">
        <v>4208</v>
      </c>
      <c r="B4269" s="138">
        <f>'FP Info 3'!J16</f>
        <v>3089646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6017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5383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1903</v>
      </c>
    </row>
    <row r="4400" spans="1:5" x14ac:dyDescent="0.2">
      <c r="A4400" s="10">
        <v>4339</v>
      </c>
      <c r="D4400" s="2" t="str">
        <f t="shared" si="67"/>
        <v>OK</v>
      </c>
      <c r="E4400" s="4" t="s">
        <v>1903</v>
      </c>
    </row>
    <row r="4401" spans="1:5" x14ac:dyDescent="0.2">
      <c r="A4401" s="10">
        <v>4340</v>
      </c>
      <c r="D4401" s="2" t="str">
        <f t="shared" si="67"/>
        <v>OK</v>
      </c>
      <c r="E4401" s="4" t="s">
        <v>1903</v>
      </c>
    </row>
    <row r="4402" spans="1:5" x14ac:dyDescent="0.2">
      <c r="A4402" s="10">
        <v>4341</v>
      </c>
      <c r="D4402" s="2" t="str">
        <f t="shared" si="67"/>
        <v>OK</v>
      </c>
      <c r="E4402" s="4" t="s">
        <v>1903</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118193515</v>
      </c>
      <c r="D4995" s="2" t="str">
        <f t="shared" si="77"/>
        <v>Error?</v>
      </c>
    </row>
    <row r="4996" spans="1:4" x14ac:dyDescent="0.2">
      <c r="A4996" s="12">
        <v>4935</v>
      </c>
      <c r="B4996" s="138">
        <f>'FP Info 3'!H31</f>
        <v>8155352.5350000011</v>
      </c>
      <c r="D4996" s="2" t="str">
        <f t="shared" si="77"/>
        <v>Error?</v>
      </c>
    </row>
    <row r="4997" spans="1:4" x14ac:dyDescent="0.2">
      <c r="A4997" s="12">
        <v>4936</v>
      </c>
      <c r="B4997" s="138">
        <f>'FP Info 3'!H37</f>
        <v>415000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2594183</v>
      </c>
      <c r="D5061" s="2" t="str">
        <f t="shared" si="78"/>
        <v>Error?</v>
      </c>
    </row>
    <row r="5062" spans="1:4" x14ac:dyDescent="0.2">
      <c r="A5062" s="10">
        <v>5001</v>
      </c>
      <c r="D5062" s="2" t="str">
        <f t="shared" si="78"/>
        <v>OK</v>
      </c>
    </row>
    <row r="5063" spans="1:4" x14ac:dyDescent="0.2">
      <c r="A5063" s="5">
        <v>5002</v>
      </c>
      <c r="B5063" s="138">
        <f>'Revenues 9-14'!C7</f>
        <v>21800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2615983</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101383</v>
      </c>
      <c r="D5070" s="2" t="str">
        <f t="shared" si="78"/>
        <v>Error?</v>
      </c>
    </row>
    <row r="5071" spans="1:4" x14ac:dyDescent="0.2">
      <c r="A5071" s="5">
        <v>5010</v>
      </c>
      <c r="B5071" s="138">
        <f>'Revenues 9-14'!C18</f>
        <v>101383</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57482</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57482</v>
      </c>
      <c r="C5087" s="2" t="s">
        <v>573</v>
      </c>
      <c r="D5087" s="2" t="str">
        <f t="shared" si="78"/>
        <v>Error?</v>
      </c>
    </row>
    <row r="5088" spans="1:4" x14ac:dyDescent="0.2">
      <c r="A5088" s="5">
        <v>5027</v>
      </c>
      <c r="B5088" s="138">
        <f>'Revenues 9-14'!C65</f>
        <v>14367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14367</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53500</v>
      </c>
      <c r="C5096" s="2" t="s">
        <v>573</v>
      </c>
      <c r="D5096" s="2" t="str">
        <f t="shared" si="78"/>
        <v>Error?</v>
      </c>
    </row>
    <row r="5097" spans="1:4" x14ac:dyDescent="0.2">
      <c r="A5097" s="5">
        <v>5036</v>
      </c>
      <c r="B5097" s="138">
        <f>'Revenues 9-14'!C77</f>
        <v>2484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2070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4554</v>
      </c>
      <c r="C5102" s="2" t="s">
        <v>573</v>
      </c>
      <c r="D5102" s="2" t="str">
        <f t="shared" si="78"/>
        <v>Error?</v>
      </c>
    </row>
    <row r="5103" spans="1:4" x14ac:dyDescent="0.2">
      <c r="A5103" s="5">
        <v>5042</v>
      </c>
      <c r="B5103" s="138">
        <f>'Revenues 9-14'!C84</f>
        <v>22803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1345</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24148</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66298</v>
      </c>
      <c r="D5119" s="2" t="str">
        <f t="shared" ref="D5119:D5182" si="79">IF(ISBLANK(B5119),"OK",IF(A5119-B5119=0,"OK","Error?"))</f>
        <v>Error?</v>
      </c>
    </row>
    <row r="5120" spans="1:4" x14ac:dyDescent="0.2">
      <c r="A5120" s="5">
        <v>5059</v>
      </c>
      <c r="B5120" s="138">
        <f>'Revenues 9-14'!C108</f>
        <v>66298</v>
      </c>
      <c r="C5120" s="2" t="s">
        <v>573</v>
      </c>
      <c r="D5120" s="2" t="str">
        <f t="shared" si="79"/>
        <v>Error?</v>
      </c>
    </row>
    <row r="5121" spans="1:4" x14ac:dyDescent="0.2">
      <c r="A5121" s="5">
        <v>5060</v>
      </c>
      <c r="B5121" s="138">
        <f>'Revenues 9-14'!C109</f>
        <v>2937715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797949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797949</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6143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6143</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2498</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247225</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1903</v>
      </c>
    </row>
    <row r="5200" spans="1:5" x14ac:dyDescent="0.2">
      <c r="A5200" s="10">
        <v>5139</v>
      </c>
      <c r="D5200" s="2" t="str">
        <f t="shared" si="80"/>
        <v>OK</v>
      </c>
      <c r="E5200" s="4" t="s">
        <v>1903</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256616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1054565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76158</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37860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114018</v>
      </c>
      <c r="C5246" s="2" t="s">
        <v>573</v>
      </c>
      <c r="D5246" s="2" t="str">
        <f t="shared" si="80"/>
        <v>Error?</v>
      </c>
    </row>
    <row r="5247" spans="1:4" x14ac:dyDescent="0.2">
      <c r="A5247" s="5">
        <v>5186</v>
      </c>
      <c r="B5247" s="138">
        <f>'Revenues 9-14'!C200</f>
        <v>124924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1903</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124924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14111</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14111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1903</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6551</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271004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271004</v>
      </c>
      <c r="C5326" s="2" t="s">
        <v>573</v>
      </c>
      <c r="D5326" s="2" t="str">
        <f t="shared" si="82"/>
        <v>Error?</v>
      </c>
    </row>
    <row r="5327" spans="1:5" x14ac:dyDescent="0.2">
      <c r="A5327" s="5">
        <v>5266</v>
      </c>
      <c r="B5327" s="138">
        <f>'Revenues 9-14'!C268</f>
        <v>4263284</v>
      </c>
      <c r="C5327" s="2" t="s">
        <v>573</v>
      </c>
      <c r="D5327" s="2" t="str">
        <f t="shared" si="82"/>
        <v>Error?</v>
      </c>
    </row>
    <row r="5328" spans="1:5" x14ac:dyDescent="0.2">
      <c r="A5328" s="5">
        <v>5267</v>
      </c>
      <c r="B5328" s="138">
        <f>'Revenues 9-14'!D5</f>
        <v>272501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272501</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124700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124700</v>
      </c>
      <c r="C5339" s="2" t="s">
        <v>573</v>
      </c>
      <c r="D5339" s="2" t="str">
        <f t="shared" si="82"/>
        <v>Error?</v>
      </c>
    </row>
    <row r="5340" spans="1:4" x14ac:dyDescent="0.2">
      <c r="A5340" s="5">
        <v>5279</v>
      </c>
      <c r="B5340" s="138">
        <f>'Revenues 9-14'!D65</f>
        <v>2605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2605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1836</v>
      </c>
      <c r="D5354" s="2" t="str">
        <f t="shared" si="82"/>
        <v>Error?</v>
      </c>
    </row>
    <row r="5355" spans="1:4" x14ac:dyDescent="0.2">
      <c r="A5355" s="5">
        <v>5294</v>
      </c>
      <c r="B5355" s="138">
        <f>'Revenues 9-14'!D108</f>
        <v>1836</v>
      </c>
      <c r="C5355" s="2" t="s">
        <v>573</v>
      </c>
      <c r="D5355" s="2" t="str">
        <f t="shared" si="82"/>
        <v>Error?</v>
      </c>
    </row>
    <row r="5356" spans="1:4" x14ac:dyDescent="0.2">
      <c r="A5356" s="5">
        <v>5295</v>
      </c>
      <c r="B5356" s="138">
        <f>'Revenues 9-14'!D109</f>
        <v>401642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1903</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401642</v>
      </c>
      <c r="C5508" s="2" t="s">
        <v>573</v>
      </c>
      <c r="D5508" s="2" t="str">
        <f t="shared" si="85"/>
        <v>Error?</v>
      </c>
    </row>
    <row r="5509" spans="1:4" x14ac:dyDescent="0.2">
      <c r="A5509" s="5">
        <v>5448</v>
      </c>
      <c r="B5509" s="138">
        <f>'Revenues 9-14'!E5</f>
        <v>210548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210548</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257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257</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210805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210805</v>
      </c>
      <c r="C5552" s="2" t="s">
        <v>573</v>
      </c>
      <c r="D5552" s="2" t="str">
        <f t="shared" si="85"/>
        <v>Error?</v>
      </c>
    </row>
    <row r="5553" spans="1:4" x14ac:dyDescent="0.2">
      <c r="A5553" s="5">
        <v>5492</v>
      </c>
      <c r="B5553" s="138">
        <f>'Revenues 9-14'!F5</f>
        <v>130802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130802</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3103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3103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133905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9589</v>
      </c>
      <c r="D5615" s="2" t="str">
        <f t="shared" si="86"/>
        <v>Error?</v>
      </c>
    </row>
    <row r="5616" spans="1:4" x14ac:dyDescent="0.2">
      <c r="A5616" s="10">
        <v>5555</v>
      </c>
      <c r="D5616" s="2" t="str">
        <f t="shared" si="86"/>
        <v>OK</v>
      </c>
    </row>
    <row r="5617" spans="1:5" x14ac:dyDescent="0.2">
      <c r="A5617" s="5">
        <v>5556</v>
      </c>
      <c r="B5617" s="138">
        <f>'Revenues 9-14'!F153</f>
        <v>42273</v>
      </c>
      <c r="D5617" s="2" t="str">
        <f t="shared" si="86"/>
        <v>Error?</v>
      </c>
    </row>
    <row r="5618" spans="1:5" x14ac:dyDescent="0.2">
      <c r="A5618" s="5">
        <v>5557</v>
      </c>
      <c r="B5618" s="138">
        <f>'Revenues 9-14'!F155</f>
        <v>51862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1903</v>
      </c>
    </row>
    <row r="5631" spans="1:5" x14ac:dyDescent="0.2">
      <c r="A5631" s="10">
        <v>5570</v>
      </c>
      <c r="D5631" s="2" t="str">
        <f t="shared" ref="D5631:D5694" si="87">IF(ISBLANK(B5631),"OK",IF(A5631-B5631=0,"OK","Error?"))</f>
        <v>OK</v>
      </c>
      <c r="E5631" s="4" t="s">
        <v>1903</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51862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51862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1903</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1903</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185767</v>
      </c>
      <c r="C5720" s="2" t="s">
        <v>573</v>
      </c>
      <c r="D5720" s="2" t="str">
        <f t="shared" si="88"/>
        <v>Error?</v>
      </c>
    </row>
    <row r="5721" spans="1:4" x14ac:dyDescent="0.2">
      <c r="A5721" s="5">
        <v>5660</v>
      </c>
      <c r="B5721" s="138">
        <f>'Revenues 9-14'!G5</f>
        <v>49338</v>
      </c>
      <c r="D5721" s="2" t="str">
        <f t="shared" si="88"/>
        <v>Error?</v>
      </c>
    </row>
    <row r="5722" spans="1:4" x14ac:dyDescent="0.2">
      <c r="A5722" s="5">
        <v>5661</v>
      </c>
      <c r="B5722" s="138">
        <f>'Revenues 9-14'!G7</f>
        <v>0</v>
      </c>
      <c r="D5722" s="2" t="str">
        <f t="shared" si="88"/>
        <v>Error?</v>
      </c>
    </row>
    <row r="5723" spans="1:4" x14ac:dyDescent="0.2">
      <c r="A5723" s="5">
        <v>5662</v>
      </c>
      <c r="B5723" s="138">
        <f>'Revenues 9-14'!G8</f>
        <v>49338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98676</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40000</v>
      </c>
      <c r="C5730" s="2" t="s">
        <v>573</v>
      </c>
      <c r="D5730" s="2" t="str">
        <f t="shared" si="88"/>
        <v>Error?</v>
      </c>
    </row>
    <row r="5731" spans="1:4" x14ac:dyDescent="0.2">
      <c r="A5731" s="5">
        <v>5670</v>
      </c>
      <c r="B5731" s="138">
        <f>'Revenues 9-14'!G65</f>
        <v>1708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1708</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1903</v>
      </c>
    </row>
    <row r="5768" spans="1:5" x14ac:dyDescent="0.2">
      <c r="A5768" s="10">
        <v>5707</v>
      </c>
      <c r="D5768" s="2" t="str">
        <f t="shared" si="89"/>
        <v>OK</v>
      </c>
      <c r="E5768" s="4" t="s">
        <v>1903</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1903</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1903</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140384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1860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1860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259539</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261399</v>
      </c>
      <c r="C5915" s="2" t="s">
        <v>573</v>
      </c>
      <c r="D5915" s="2" t="str">
        <f t="shared" si="91"/>
        <v>Error?</v>
      </c>
    </row>
    <row r="5916" spans="1:4" x14ac:dyDescent="0.2">
      <c r="A5916" s="5">
        <v>5855</v>
      </c>
      <c r="B5916" s="138">
        <f>'Revenues 9-14'!I5</f>
        <v>54502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54502</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3030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3030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57532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140384</v>
      </c>
      <c r="C6024" s="2" t="s">
        <v>573</v>
      </c>
      <c r="D6024" s="2" t="str">
        <f t="shared" si="93"/>
        <v>Error?</v>
      </c>
    </row>
    <row r="6025" spans="1:5" x14ac:dyDescent="0.2">
      <c r="A6025" s="5">
        <v>5964</v>
      </c>
      <c r="B6025" s="138">
        <f>'Revenues 9-14'!H109</f>
        <v>261399</v>
      </c>
      <c r="C6025" s="2" t="s">
        <v>573</v>
      </c>
      <c r="D6025" s="2" t="str">
        <f t="shared" si="93"/>
        <v>Error?</v>
      </c>
    </row>
    <row r="6026" spans="1:5" x14ac:dyDescent="0.2">
      <c r="A6026" s="5">
        <v>5965</v>
      </c>
      <c r="B6026" s="138">
        <f>'Revenues 9-14'!I109</f>
        <v>57532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53500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13301</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470.69</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294086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294086</v>
      </c>
      <c r="D6215" s="2" t="str">
        <f t="shared" si="96"/>
        <v>Error?</v>
      </c>
      <c r="E6215" s="2" t="s">
        <v>190</v>
      </c>
    </row>
    <row r="6216" spans="1:5" x14ac:dyDescent="0.2">
      <c r="A6216">
        <v>6155</v>
      </c>
      <c r="B6216" s="138">
        <f>'Assets-Liab 5-6'!J41</f>
        <v>294086</v>
      </c>
      <c r="D6216" s="2" t="str">
        <f t="shared" si="96"/>
        <v>Error?</v>
      </c>
      <c r="E6216" s="2" t="s">
        <v>190</v>
      </c>
    </row>
    <row r="6217" spans="1:5" x14ac:dyDescent="0.2">
      <c r="A6217">
        <v>6156</v>
      </c>
      <c r="B6217" s="138">
        <f>'Assets-Liab 5-6'!J4</f>
        <v>294086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313231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313231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313231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65253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65253</v>
      </c>
      <c r="D6229" s="2" t="str">
        <f t="shared" si="96"/>
        <v>Error?</v>
      </c>
      <c r="E6229" s="2" t="s">
        <v>190</v>
      </c>
    </row>
    <row r="6230" spans="1:5" x14ac:dyDescent="0.2">
      <c r="A6230">
        <v>6169</v>
      </c>
      <c r="B6230" s="138">
        <f>'Acct Summary 7-8'!J20</f>
        <v>247978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71383</v>
      </c>
      <c r="D6260" s="2" t="str">
        <f t="shared" si="96"/>
        <v>Error?</v>
      </c>
      <c r="E6260" s="2" t="s">
        <v>190</v>
      </c>
    </row>
    <row r="6261" spans="1:5" x14ac:dyDescent="0.2">
      <c r="A6261">
        <v>6200</v>
      </c>
      <c r="B6261" s="138">
        <f>'Acct Summary 7-8'!J76</f>
        <v>71383</v>
      </c>
      <c r="D6261" s="2" t="str">
        <f t="shared" si="96"/>
        <v>Error?</v>
      </c>
      <c r="E6261" s="2" t="s">
        <v>190</v>
      </c>
    </row>
    <row r="6262" spans="1:5" x14ac:dyDescent="0.2">
      <c r="A6262">
        <v>6201</v>
      </c>
      <c r="B6262" s="138">
        <f>'Acct Summary 7-8'!J77</f>
        <v>-71383</v>
      </c>
      <c r="D6262" s="2" t="str">
        <f t="shared" si="96"/>
        <v>Error?</v>
      </c>
      <c r="E6262" s="2" t="s">
        <v>190</v>
      </c>
    </row>
    <row r="6263" spans="1:5" x14ac:dyDescent="0.2">
      <c r="A6263">
        <v>6202</v>
      </c>
      <c r="B6263" s="138">
        <f>'Acct Summary 7-8'!J78</f>
        <v>176595</v>
      </c>
      <c r="D6263" s="2" t="str">
        <f t="shared" si="96"/>
        <v>Error?</v>
      </c>
      <c r="E6263" s="2" t="s">
        <v>190</v>
      </c>
    </row>
    <row r="6264" spans="1:5" x14ac:dyDescent="0.2">
      <c r="A6264">
        <v>6203</v>
      </c>
      <c r="B6264" s="138">
        <f>'Acct Summary 7-8'!J79</f>
        <v>117491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294086</v>
      </c>
      <c r="D6266" s="2" t="str">
        <f t="shared" si="96"/>
        <v>Error?</v>
      </c>
      <c r="E6266" s="2" t="s">
        <v>190</v>
      </c>
    </row>
    <row r="6267" spans="1:5" x14ac:dyDescent="0.2">
      <c r="A6267">
        <v>6206</v>
      </c>
      <c r="B6267" s="138">
        <f>'Acct Summary 7-8'!C82</f>
        <v>143156</v>
      </c>
      <c r="D6267" s="2" t="str">
        <f t="shared" si="96"/>
        <v>Error?</v>
      </c>
      <c r="E6267" s="2" t="s">
        <v>190</v>
      </c>
    </row>
    <row r="6268" spans="1:5" x14ac:dyDescent="0.2">
      <c r="A6268">
        <v>6207</v>
      </c>
      <c r="B6268" s="138">
        <f>'Acct Summary 7-8'!D82</f>
        <v>-25027</v>
      </c>
      <c r="D6268" s="2" t="str">
        <f t="shared" si="96"/>
        <v>Error?</v>
      </c>
      <c r="E6268" s="2" t="s">
        <v>190</v>
      </c>
    </row>
    <row r="6269" spans="1:5" x14ac:dyDescent="0.2">
      <c r="A6269">
        <v>6208</v>
      </c>
      <c r="B6269" s="138">
        <f>'Acct Summary 7-8'!E82</f>
        <v>-2200</v>
      </c>
      <c r="D6269" s="2" t="str">
        <f t="shared" si="96"/>
        <v>Error?</v>
      </c>
      <c r="E6269" s="2" t="s">
        <v>190</v>
      </c>
    </row>
    <row r="6270" spans="1:5" x14ac:dyDescent="0.2">
      <c r="A6270">
        <v>6209</v>
      </c>
      <c r="B6270" s="138">
        <f>'Acct Summary 7-8'!F82</f>
        <v>-6320</v>
      </c>
      <c r="D6270" s="2" t="str">
        <f t="shared" si="96"/>
        <v>Error?</v>
      </c>
      <c r="E6270" s="2" t="s">
        <v>190</v>
      </c>
    </row>
    <row r="6271" spans="1:5" x14ac:dyDescent="0.2">
      <c r="A6271">
        <v>6210</v>
      </c>
      <c r="B6271" s="138">
        <f>'Acct Summary 7-8'!G82</f>
        <v>-1831</v>
      </c>
      <c r="D6271" s="2" t="str">
        <f t="shared" ref="D6271:D6334" si="97">IF(ISBLANK(B6271),"OK",IF(A6271-B6271=0,"OK","Error?"))</f>
        <v>Error?</v>
      </c>
      <c r="E6271" s="2" t="s">
        <v>190</v>
      </c>
    </row>
    <row r="6272" spans="1:5" x14ac:dyDescent="0.2">
      <c r="A6272">
        <v>6211</v>
      </c>
      <c r="B6272" s="138">
        <f>'Acct Summary 7-8'!H82</f>
        <v>-94913</v>
      </c>
      <c r="D6272" s="2" t="str">
        <f t="shared" si="97"/>
        <v>Error?</v>
      </c>
      <c r="E6272" s="2" t="s">
        <v>190</v>
      </c>
    </row>
    <row r="6273" spans="1:5" x14ac:dyDescent="0.2">
      <c r="A6273">
        <v>6212</v>
      </c>
      <c r="B6273" s="138">
        <f>'Acct Summary 7-8'!I82</f>
        <v>54502</v>
      </c>
      <c r="D6273" s="2" t="str">
        <f t="shared" si="97"/>
        <v>Error?</v>
      </c>
      <c r="E6273" s="2" t="s">
        <v>190</v>
      </c>
    </row>
    <row r="6274" spans="1:5" x14ac:dyDescent="0.2">
      <c r="A6274">
        <v>6213</v>
      </c>
      <c r="B6274" s="138">
        <f>'Acct Summary 7-8'!J82</f>
        <v>176595</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0.12280626504453096</v>
      </c>
      <c r="D6276" s="2" t="str">
        <f t="shared" si="97"/>
        <v>Error?</v>
      </c>
      <c r="E6276" s="2" t="s">
        <v>190</v>
      </c>
    </row>
    <row r="6277" spans="1:5" x14ac:dyDescent="0.2">
      <c r="A6277">
        <v>6216</v>
      </c>
      <c r="B6277" s="138">
        <f>'Acct Summary 7-8'!D83</f>
        <v>-5.3732298205989196E-2</v>
      </c>
      <c r="D6277" s="2" t="str">
        <f t="shared" si="97"/>
        <v>Error?</v>
      </c>
      <c r="E6277" s="2" t="s">
        <v>190</v>
      </c>
    </row>
    <row r="6278" spans="1:5" x14ac:dyDescent="0.2">
      <c r="A6278">
        <v>6217</v>
      </c>
      <c r="B6278" s="138">
        <f>'Acct Summary 7-8'!E83</f>
        <v>-0.83650190114068446</v>
      </c>
      <c r="D6278" s="2" t="str">
        <f t="shared" si="97"/>
        <v>Error?</v>
      </c>
      <c r="E6278" s="2" t="s">
        <v>190</v>
      </c>
    </row>
    <row r="6279" spans="1:5" x14ac:dyDescent="0.2">
      <c r="A6279">
        <v>6218</v>
      </c>
      <c r="B6279" s="138">
        <f>'Acct Summary 7-8'!F83</f>
        <v>-1.6896001368789985E-2</v>
      </c>
      <c r="D6279" s="2" t="str">
        <f t="shared" si="97"/>
        <v>Error?</v>
      </c>
      <c r="E6279" s="2" t="s">
        <v>190</v>
      </c>
    </row>
    <row r="6280" spans="1:5" x14ac:dyDescent="0.2">
      <c r="A6280">
        <v>6219</v>
      </c>
      <c r="B6280" s="138">
        <f>'Acct Summary 7-8'!G83</f>
        <v>-9.7357884606181777E-3</v>
      </c>
      <c r="D6280" s="2" t="str">
        <f t="shared" si="97"/>
        <v>Error?</v>
      </c>
      <c r="E6280" s="2" t="s">
        <v>190</v>
      </c>
    </row>
    <row r="6281" spans="1:5" x14ac:dyDescent="0.2">
      <c r="A6281">
        <v>6220</v>
      </c>
      <c r="B6281" s="138">
        <f>'Acct Summary 7-8'!H83</f>
        <v>-0.72273917943407151</v>
      </c>
      <c r="D6281" s="2" t="str">
        <f t="shared" si="97"/>
        <v>Error?</v>
      </c>
      <c r="E6281" s="2" t="s">
        <v>190</v>
      </c>
    </row>
    <row r="6282" spans="1:5" x14ac:dyDescent="0.2">
      <c r="A6282">
        <v>6221</v>
      </c>
      <c r="B6282" s="138">
        <f>'Acct Summary 7-8'!I83</f>
        <v>5.0273264367710069E-2</v>
      </c>
      <c r="D6282" s="2" t="str">
        <f t="shared" si="97"/>
        <v>Error?</v>
      </c>
      <c r="E6282" s="2" t="s">
        <v>190</v>
      </c>
    </row>
    <row r="6283" spans="1:5" x14ac:dyDescent="0.2">
      <c r="A6283">
        <v>6222</v>
      </c>
      <c r="B6283" s="138">
        <f>'Acct Summary 7-8'!J83</f>
        <v>0.60048761246710147</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310787</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310787</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2444</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2444</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313231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1902</v>
      </c>
    </row>
    <row r="6383" spans="1:6" x14ac:dyDescent="0.2">
      <c r="A6383" s="129">
        <v>6322</v>
      </c>
      <c r="D6383" s="2" t="str">
        <f t="shared" si="98"/>
        <v>OK</v>
      </c>
      <c r="E6383" s="2" t="s">
        <v>190</v>
      </c>
      <c r="F6383" s="1" t="s">
        <v>1902</v>
      </c>
    </row>
    <row r="6384" spans="1:6" x14ac:dyDescent="0.2">
      <c r="A6384" s="129">
        <v>6323</v>
      </c>
      <c r="D6384" s="2" t="str">
        <f t="shared" si="98"/>
        <v>OK</v>
      </c>
      <c r="E6384" s="2" t="s">
        <v>190</v>
      </c>
      <c r="F6384" s="1" t="s">
        <v>1902</v>
      </c>
    </row>
    <row r="6385" spans="1:6" x14ac:dyDescent="0.2">
      <c r="A6385" s="129">
        <v>6324</v>
      </c>
      <c r="D6385" s="2" t="str">
        <f t="shared" si="98"/>
        <v>OK</v>
      </c>
      <c r="E6385" s="2" t="s">
        <v>190</v>
      </c>
      <c r="F6385" s="1" t="s">
        <v>1902</v>
      </c>
    </row>
    <row r="6386" spans="1:6" x14ac:dyDescent="0.2">
      <c r="A6386" s="129">
        <v>6325</v>
      </c>
      <c r="D6386" s="2" t="str">
        <f t="shared" si="98"/>
        <v>OK</v>
      </c>
      <c r="E6386" s="2" t="s">
        <v>190</v>
      </c>
      <c r="F6386" s="1" t="s">
        <v>1902</v>
      </c>
    </row>
    <row r="6387" spans="1:6" x14ac:dyDescent="0.2">
      <c r="A6387" s="129">
        <v>6326</v>
      </c>
      <c r="D6387" s="2" t="str">
        <f t="shared" si="98"/>
        <v>OK</v>
      </c>
      <c r="E6387" s="2" t="s">
        <v>190</v>
      </c>
      <c r="F6387" s="1" t="s">
        <v>1902</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1902</v>
      </c>
    </row>
    <row r="6411" spans="1:6" x14ac:dyDescent="0.2">
      <c r="A6411" s="129">
        <v>6350</v>
      </c>
      <c r="D6411" s="2" t="str">
        <f t="shared" si="99"/>
        <v>OK</v>
      </c>
      <c r="E6411" s="2" t="s">
        <v>190</v>
      </c>
      <c r="F6411" s="1" t="s">
        <v>1902</v>
      </c>
    </row>
    <row r="6412" spans="1:6" x14ac:dyDescent="0.2">
      <c r="A6412" s="129">
        <v>6351</v>
      </c>
      <c r="D6412" s="2" t="str">
        <f t="shared" si="99"/>
        <v>OK</v>
      </c>
      <c r="E6412" s="2" t="s">
        <v>190</v>
      </c>
      <c r="F6412" s="1" t="s">
        <v>1902</v>
      </c>
    </row>
    <row r="6413" spans="1:6" x14ac:dyDescent="0.2">
      <c r="A6413" s="129">
        <v>6352</v>
      </c>
      <c r="D6413" s="2" t="str">
        <f t="shared" si="99"/>
        <v>OK</v>
      </c>
      <c r="E6413" s="2" t="s">
        <v>190</v>
      </c>
      <c r="F6413" s="1" t="s">
        <v>1902</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124779</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1902</v>
      </c>
    </row>
    <row r="6842" spans="1:5" x14ac:dyDescent="0.2">
      <c r="A6842" s="129">
        <v>6781</v>
      </c>
      <c r="D6842" s="2" t="str">
        <f t="shared" si="105"/>
        <v>OK</v>
      </c>
      <c r="E6842" s="1" t="s">
        <v>1902</v>
      </c>
    </row>
    <row r="6843" spans="1:5" x14ac:dyDescent="0.2">
      <c r="A6843" s="129">
        <v>6782</v>
      </c>
      <c r="D6843" s="2" t="str">
        <f t="shared" si="105"/>
        <v>OK</v>
      </c>
      <c r="E6843" s="1" t="s">
        <v>1902</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184584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85548</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166339</v>
      </c>
      <c r="D6983" s="2" t="str">
        <f t="shared" si="108"/>
        <v>Error?</v>
      </c>
    </row>
    <row r="6984" spans="1:4" x14ac:dyDescent="0.2">
      <c r="A6984">
        <v>6923</v>
      </c>
      <c r="B6984" s="138">
        <f>'Expenditures 15-22'!K86</f>
        <v>166339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166339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65253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350</v>
      </c>
      <c r="D7047" s="2" t="str">
        <f t="shared" si="109"/>
        <v>Error?</v>
      </c>
    </row>
    <row r="7048" spans="1:5" x14ac:dyDescent="0.2">
      <c r="A7048">
        <v>6987</v>
      </c>
      <c r="B7048" s="138">
        <f>'Expenditures 15-22'!K147</f>
        <v>350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313231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5975</v>
      </c>
      <c r="D7073" s="2" t="str">
        <f t="shared" si="109"/>
        <v>Error?</v>
      </c>
    </row>
    <row r="7074" spans="1:4" x14ac:dyDescent="0.2">
      <c r="A7074">
        <v>7013</v>
      </c>
      <c r="B7074" s="138">
        <f>'Expenditures 15-22'!K216</f>
        <v>5975</v>
      </c>
      <c r="D7074" s="2" t="str">
        <f t="shared" si="109"/>
        <v>Error?</v>
      </c>
    </row>
    <row r="7075" spans="1:4" x14ac:dyDescent="0.2">
      <c r="A7075">
        <v>7014</v>
      </c>
      <c r="B7075" s="138">
        <f>'Expenditures 15-22'!D218</f>
        <v>5695</v>
      </c>
      <c r="D7075" s="2" t="str">
        <f t="shared" si="109"/>
        <v>Error?</v>
      </c>
    </row>
    <row r="7076" spans="1:4" x14ac:dyDescent="0.2">
      <c r="A7076">
        <v>7015</v>
      </c>
      <c r="B7076" s="138">
        <f>'Expenditures 15-22'!K218</f>
        <v>5695</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10996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10996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22150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22150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13972</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13972</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10705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10705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663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663</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65253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65253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65253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65253</v>
      </c>
      <c r="D7224" s="2" t="str">
        <f t="shared" si="111"/>
        <v>Error?</v>
      </c>
    </row>
    <row r="7225" spans="1:4" x14ac:dyDescent="0.2">
      <c r="A7225">
        <v>7164</v>
      </c>
      <c r="B7225" s="138">
        <f>'Expenditures 15-22'!K343</f>
        <v>247978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30098</v>
      </c>
      <c r="D7246" s="2" t="str">
        <f t="shared" si="112"/>
        <v>Error?</v>
      </c>
    </row>
    <row r="7247" spans="1:4" x14ac:dyDescent="0.2">
      <c r="A7247">
        <f t="shared" si="113"/>
        <v>7186</v>
      </c>
      <c r="B7247" s="138">
        <f>'Expenditures 15-22'!E7</f>
        <v>6200</v>
      </c>
      <c r="D7247" s="2" t="str">
        <f t="shared" si="112"/>
        <v>Error?</v>
      </c>
    </row>
    <row r="7248" spans="1:4" x14ac:dyDescent="0.2">
      <c r="A7248">
        <f t="shared" si="113"/>
        <v>7187</v>
      </c>
      <c r="B7248" s="138">
        <f>'Expenditures 15-22'!F7</f>
        <v>22728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779</v>
      </c>
      <c r="D7250" s="2" t="str">
        <f t="shared" si="112"/>
        <v>Error?</v>
      </c>
    </row>
    <row r="7251" spans="1:4" x14ac:dyDescent="0.2">
      <c r="A7251">
        <f t="shared" si="113"/>
        <v>7190</v>
      </c>
      <c r="B7251" s="138">
        <f>'Expenditures 15-22'!C9</f>
        <v>75478</v>
      </c>
      <c r="D7251" s="2" t="str">
        <f t="shared" si="112"/>
        <v>Error?</v>
      </c>
    </row>
    <row r="7252" spans="1:4" x14ac:dyDescent="0.2">
      <c r="A7252">
        <f t="shared" si="113"/>
        <v>7191</v>
      </c>
      <c r="B7252" s="138">
        <f>'Expenditures 15-22'!D9</f>
        <v>9990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80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119306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6191</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6191</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576</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576</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219726</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259539</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259539</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21800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282399</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282399</v>
      </c>
      <c r="D7730" s="2" t="str">
        <f t="shared" si="126"/>
        <v>Error?</v>
      </c>
      <c r="E7730" s="2" t="s">
        <v>827</v>
      </c>
    </row>
    <row r="7731" spans="1:6" x14ac:dyDescent="0.2">
      <c r="A7731">
        <v>7670</v>
      </c>
      <c r="B7731" s="138">
        <f>'Revenues 9-14'!H103</f>
        <v>259539</v>
      </c>
      <c r="D7731" s="2" t="str">
        <f t="shared" si="126"/>
        <v>Error?</v>
      </c>
      <c r="E7731" s="2" t="s">
        <v>827</v>
      </c>
    </row>
    <row r="7732" spans="1:6" x14ac:dyDescent="0.2">
      <c r="A7732">
        <v>7671</v>
      </c>
      <c r="B7732" s="138">
        <f>'Rest Tax Levies-Tort Im 25'!J24</f>
        <v>196866</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196866</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1431</v>
      </c>
    </row>
    <row r="7757" spans="1:6" x14ac:dyDescent="0.2">
      <c r="A7757">
        <v>7696</v>
      </c>
      <c r="B7757" s="138">
        <f>'Aud Quest 2'!E87</f>
        <v>0</v>
      </c>
      <c r="D7757" s="2" t="str">
        <f t="shared" si="127"/>
        <v>Error?</v>
      </c>
      <c r="E7757" s="4" t="s">
        <v>1333</v>
      </c>
      <c r="F7757" t="s">
        <v>1431</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1408</v>
      </c>
    </row>
    <row r="7762" spans="1:5" x14ac:dyDescent="0.2">
      <c r="A7762">
        <v>7701</v>
      </c>
      <c r="B7762" s="138">
        <f>'Expenditures 15-22'!E6</f>
        <v>0</v>
      </c>
      <c r="D7762" s="2" t="str">
        <f t="shared" si="127"/>
        <v>Error?</v>
      </c>
      <c r="E7762" s="4" t="s">
        <v>1418</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1446</v>
      </c>
    </row>
    <row r="7765" spans="1:5" x14ac:dyDescent="0.2">
      <c r="A7765">
        <v>7704</v>
      </c>
      <c r="B7765" s="138">
        <f>'Revenues 9-14'!C254</f>
        <v>0</v>
      </c>
      <c r="D7765" s="2" t="str">
        <f t="shared" si="127"/>
        <v>Error?</v>
      </c>
      <c r="E7765" s="4" t="s">
        <v>1450</v>
      </c>
    </row>
    <row r="7766" spans="1:5" x14ac:dyDescent="0.2">
      <c r="A7766">
        <v>7705</v>
      </c>
      <c r="B7766" s="138">
        <f>'Revenues 9-14'!D254</f>
        <v>0</v>
      </c>
      <c r="D7766" s="2" t="str">
        <f t="shared" si="127"/>
        <v>Error?</v>
      </c>
      <c r="E7766" s="4" t="s">
        <v>1450</v>
      </c>
    </row>
    <row r="7767" spans="1:5" x14ac:dyDescent="0.2">
      <c r="A7767" s="129">
        <v>7706</v>
      </c>
      <c r="E7767" s="4"/>
    </row>
    <row r="7768" spans="1:5" x14ac:dyDescent="0.2">
      <c r="A7768">
        <v>7707</v>
      </c>
      <c r="B7768" s="138">
        <f>'Revenues 9-14'!F254</f>
        <v>0</v>
      </c>
      <c r="D7768" s="2" t="str">
        <f t="shared" si="127"/>
        <v>Error?</v>
      </c>
      <c r="E7768" s="4" t="s">
        <v>1450</v>
      </c>
    </row>
    <row r="7769" spans="1:5" x14ac:dyDescent="0.2">
      <c r="A7769">
        <v>7708</v>
      </c>
      <c r="B7769" s="138">
        <f>'Revenues 9-14'!G254</f>
        <v>0</v>
      </c>
      <c r="D7769" s="2" t="str">
        <f t="shared" si="127"/>
        <v>Error?</v>
      </c>
      <c r="E7769" s="4" t="s">
        <v>1450</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1451</v>
      </c>
    </row>
    <row r="7773" spans="1:5" x14ac:dyDescent="0.2">
      <c r="A7773">
        <v>7712</v>
      </c>
      <c r="B7773" s="138">
        <f>'Rest Tax Levies-Tort Im 25'!J22</f>
        <v>0</v>
      </c>
      <c r="D7773" s="2" t="str">
        <f t="shared" si="127"/>
        <v>Error?</v>
      </c>
      <c r="E7773" s="4" t="s">
        <v>1522</v>
      </c>
    </row>
    <row r="7774" spans="1:5" x14ac:dyDescent="0.2">
      <c r="A7774">
        <v>7713</v>
      </c>
      <c r="B7774" s="138">
        <f>'Expenditures 15-22'!E133</f>
        <v>0</v>
      </c>
      <c r="D7774" s="2" t="str">
        <f t="shared" si="127"/>
        <v>Error?</v>
      </c>
      <c r="E7774" s="4" t="s">
        <v>1820</v>
      </c>
    </row>
    <row r="7775" spans="1:5" x14ac:dyDescent="0.2">
      <c r="A7775">
        <v>7714</v>
      </c>
      <c r="B7775" s="138">
        <f>'Expenditures 15-22'!H133</f>
        <v>0</v>
      </c>
      <c r="D7775" s="2" t="str">
        <f t="shared" si="127"/>
        <v>Error?</v>
      </c>
      <c r="E7775" s="4" t="s">
        <v>1820</v>
      </c>
    </row>
    <row r="7776" spans="1:5" x14ac:dyDescent="0.2">
      <c r="A7776">
        <v>7715</v>
      </c>
      <c r="B7776" s="138">
        <f>'Expenditures 15-22'!K133</f>
        <v>0</v>
      </c>
      <c r="D7776" s="2" t="str">
        <f t="shared" si="127"/>
        <v>Error?</v>
      </c>
      <c r="E7776" s="4" t="s">
        <v>1820</v>
      </c>
    </row>
    <row r="7777" spans="1:5" x14ac:dyDescent="0.2">
      <c r="A7777">
        <v>7716</v>
      </c>
      <c r="B7777" s="138">
        <f>'Expenditures 15-22'!H157</f>
        <v>0</v>
      </c>
      <c r="D7777" s="2" t="str">
        <f t="shared" si="127"/>
        <v>Error?</v>
      </c>
      <c r="E7777" s="4" t="s">
        <v>1820</v>
      </c>
    </row>
    <row r="7778" spans="1:5" x14ac:dyDescent="0.2">
      <c r="A7778">
        <v>7717</v>
      </c>
      <c r="B7778" s="138">
        <f>'Expenditures 15-22'!K157</f>
        <v>0</v>
      </c>
      <c r="D7778" s="2" t="str">
        <f t="shared" si="127"/>
        <v>Error?</v>
      </c>
      <c r="E7778" s="4" t="s">
        <v>1820</v>
      </c>
    </row>
    <row r="7779" spans="1:5" x14ac:dyDescent="0.2">
      <c r="A7779">
        <v>7718</v>
      </c>
      <c r="B7779" s="138">
        <f>'Expenditures 15-22'!H158</f>
        <v>0</v>
      </c>
      <c r="D7779" s="2" t="str">
        <f t="shared" si="127"/>
        <v>Error?</v>
      </c>
      <c r="E7779" s="4" t="s">
        <v>1820</v>
      </c>
    </row>
    <row r="7780" spans="1:5" x14ac:dyDescent="0.2">
      <c r="A7780">
        <v>7719</v>
      </c>
      <c r="B7780" s="138">
        <f>'Expenditures 15-22'!K158</f>
        <v>0</v>
      </c>
      <c r="D7780" s="2" t="str">
        <f t="shared" si="127"/>
        <v>Error?</v>
      </c>
      <c r="E7780" s="4" t="s">
        <v>1820</v>
      </c>
    </row>
    <row r="7781" spans="1:5" x14ac:dyDescent="0.2">
      <c r="A7781">
        <v>7720</v>
      </c>
      <c r="B7781" s="138">
        <f>'Expenditures 15-22'!H159</f>
        <v>0</v>
      </c>
      <c r="D7781" s="2" t="str">
        <f t="shared" si="127"/>
        <v>Error?</v>
      </c>
      <c r="E7781" s="4" t="s">
        <v>1820</v>
      </c>
    </row>
    <row r="7782" spans="1:5" x14ac:dyDescent="0.2">
      <c r="A7782">
        <v>7721</v>
      </c>
      <c r="B7782" s="138">
        <f>'Expenditures 15-22'!K159</f>
        <v>0</v>
      </c>
      <c r="D7782" s="2" t="str">
        <f t="shared" si="127"/>
        <v>Error?</v>
      </c>
      <c r="E7782" s="4" t="s">
        <v>1820</v>
      </c>
    </row>
    <row r="7783" spans="1:5" x14ac:dyDescent="0.2">
      <c r="A7783">
        <v>7722</v>
      </c>
      <c r="B7783" s="138">
        <f>'Expenditures 15-22'!D282</f>
        <v>0</v>
      </c>
      <c r="D7783" s="2" t="str">
        <f t="shared" si="127"/>
        <v>Error?</v>
      </c>
      <c r="E7783" s="4" t="s">
        <v>1820</v>
      </c>
    </row>
    <row r="7784" spans="1:5" x14ac:dyDescent="0.2">
      <c r="A7784">
        <v>7723</v>
      </c>
      <c r="B7784" s="138">
        <f>'Expenditures 15-22'!K282</f>
        <v>0</v>
      </c>
      <c r="D7784" s="2" t="str">
        <f t="shared" si="127"/>
        <v>Error?</v>
      </c>
      <c r="E7784" s="4" t="s">
        <v>1820</v>
      </c>
    </row>
    <row r="7785" spans="1:5" x14ac:dyDescent="0.2">
      <c r="A7785">
        <v>7724</v>
      </c>
      <c r="B7785" s="138">
        <f>'Expenditures 15-22'!H332</f>
        <v>0</v>
      </c>
      <c r="D7785" s="2" t="str">
        <f t="shared" si="127"/>
        <v>Error?</v>
      </c>
      <c r="E7785" s="4" t="s">
        <v>1820</v>
      </c>
    </row>
    <row r="7786" spans="1:5" x14ac:dyDescent="0.2">
      <c r="A7786">
        <v>7725</v>
      </c>
      <c r="B7786" s="138">
        <f>'Expenditures 15-22'!K332</f>
        <v>0</v>
      </c>
      <c r="D7786" s="2" t="str">
        <f t="shared" si="127"/>
        <v>Error?</v>
      </c>
      <c r="E7786" s="4" t="s">
        <v>1820</v>
      </c>
    </row>
    <row r="7787" spans="1:5" x14ac:dyDescent="0.2">
      <c r="A7787">
        <v>7726</v>
      </c>
      <c r="B7787" s="138">
        <f>'Expenditures 15-22'!H333</f>
        <v>0</v>
      </c>
      <c r="D7787" s="2" t="str">
        <f t="shared" si="127"/>
        <v>Error?</v>
      </c>
      <c r="E7787" s="4" t="s">
        <v>1820</v>
      </c>
    </row>
    <row r="7788" spans="1:5" x14ac:dyDescent="0.2">
      <c r="A7788">
        <v>7727</v>
      </c>
      <c r="B7788" s="138">
        <f>'Expenditures 15-22'!K333</f>
        <v>0</v>
      </c>
      <c r="D7788" s="2" t="str">
        <f t="shared" si="127"/>
        <v>Error?</v>
      </c>
      <c r="E7788" s="4" t="s">
        <v>1820</v>
      </c>
    </row>
    <row r="7789" spans="1:5" x14ac:dyDescent="0.2">
      <c r="A7789">
        <v>7728</v>
      </c>
      <c r="B7789" s="138">
        <f>'Expenditures 15-22'!H334</f>
        <v>0</v>
      </c>
      <c r="D7789" s="2" t="str">
        <f t="shared" si="127"/>
        <v>Error?</v>
      </c>
      <c r="E7789" s="4" t="s">
        <v>1820</v>
      </c>
    </row>
    <row r="7790" spans="1:5" x14ac:dyDescent="0.2">
      <c r="A7790">
        <v>7729</v>
      </c>
      <c r="B7790" s="138">
        <f>'Expenditures 15-22'!K334</f>
        <v>0</v>
      </c>
      <c r="D7790" s="2" t="str">
        <f t="shared" si="127"/>
        <v>Error?</v>
      </c>
      <c r="E7790" s="4" t="s">
        <v>1820</v>
      </c>
    </row>
    <row r="7791" spans="1:5" x14ac:dyDescent="0.2">
      <c r="A7791">
        <v>7730</v>
      </c>
      <c r="B7791" s="138">
        <f>'Expenditures 15-22'!H354</f>
        <v>0</v>
      </c>
      <c r="D7791" s="2" t="str">
        <f t="shared" si="127"/>
        <v>Error?</v>
      </c>
      <c r="E7791" s="4" t="s">
        <v>1820</v>
      </c>
    </row>
    <row r="7792" spans="1:5" x14ac:dyDescent="0.2">
      <c r="A7792">
        <v>7731</v>
      </c>
      <c r="B7792" s="138">
        <f>'Expenditures 15-22'!K354</f>
        <v>0</v>
      </c>
      <c r="D7792" s="2" t="str">
        <f t="shared" si="127"/>
        <v>Error?</v>
      </c>
      <c r="E7792" s="4" t="s">
        <v>1820</v>
      </c>
    </row>
    <row r="7793" spans="1:5" x14ac:dyDescent="0.2">
      <c r="A7793">
        <v>7732</v>
      </c>
      <c r="B7793" s="138">
        <f>'Expenditures 15-22'!H355</f>
        <v>0</v>
      </c>
      <c r="D7793" s="2" t="str">
        <f t="shared" si="127"/>
        <v>Error?</v>
      </c>
      <c r="E7793" s="4" t="s">
        <v>1820</v>
      </c>
    </row>
    <row r="7794" spans="1:5" x14ac:dyDescent="0.2">
      <c r="A7794">
        <v>7733</v>
      </c>
      <c r="B7794" s="138">
        <f>'Expenditures 15-22'!K355</f>
        <v>0</v>
      </c>
      <c r="D7794" s="2" t="str">
        <f t="shared" si="127"/>
        <v>Error?</v>
      </c>
      <c r="E7794" s="4" t="s">
        <v>1820</v>
      </c>
    </row>
    <row r="7795" spans="1:5" x14ac:dyDescent="0.2">
      <c r="A7795">
        <v>7734</v>
      </c>
      <c r="B7795" s="138">
        <f>'Expenditures 15-22'!E138</f>
        <v>0</v>
      </c>
      <c r="D7795" s="2" t="str">
        <f t="shared" si="127"/>
        <v>Error?</v>
      </c>
      <c r="E7795" s="4" t="s">
        <v>1820</v>
      </c>
    </row>
    <row r="7796" spans="1:5" x14ac:dyDescent="0.2">
      <c r="A7796">
        <v>7735</v>
      </c>
      <c r="B7796" s="138">
        <f>'Acct Summary 7-8'!J15</f>
        <v>0</v>
      </c>
      <c r="D7796" s="2" t="str">
        <f t="shared" si="127"/>
        <v>Error?</v>
      </c>
      <c r="E7796" s="4" t="s">
        <v>1820</v>
      </c>
    </row>
    <row r="7797" spans="1:5" x14ac:dyDescent="0.2">
      <c r="A7797">
        <v>7736</v>
      </c>
      <c r="B7797" s="138">
        <f>'Contracts Paid in CY 29'!D141</f>
        <v>0</v>
      </c>
      <c r="D7797" s="2" t="str">
        <f t="shared" si="127"/>
        <v>Error?</v>
      </c>
      <c r="E7797" s="4" t="s">
        <v>1869</v>
      </c>
    </row>
    <row r="7798" spans="1:5" x14ac:dyDescent="0.2">
      <c r="A7798">
        <v>7737</v>
      </c>
      <c r="B7798" s="138">
        <f>'Contracts Paid in CY 29'!F141</f>
        <v>0</v>
      </c>
      <c r="D7798" s="2" t="str">
        <f t="shared" si="127"/>
        <v>Error?</v>
      </c>
      <c r="E7798" s="4" t="s">
        <v>1869</v>
      </c>
    </row>
    <row r="7799" spans="1:5" x14ac:dyDescent="0.2">
      <c r="A7799">
        <v>7738</v>
      </c>
      <c r="B7799" s="138">
        <f>'Contracts Paid in CY 29'!G141</f>
        <v>0</v>
      </c>
      <c r="D7799" s="2" t="str">
        <f t="shared" si="127"/>
        <v>Error?</v>
      </c>
      <c r="E7799" s="4" t="s">
        <v>1869</v>
      </c>
    </row>
    <row r="7800" spans="1:5" x14ac:dyDescent="0.2">
      <c r="A7800">
        <v>7739</v>
      </c>
      <c r="D7800" s="2" t="str">
        <f t="shared" si="127"/>
        <v>OK</v>
      </c>
    </row>
    <row r="7801" spans="1:5" x14ac:dyDescent="0.2">
      <c r="A7801">
        <v>7740</v>
      </c>
      <c r="B7801" s="138">
        <f>'Revenues 9-14'!C120</f>
        <v>0</v>
      </c>
      <c r="D7801" s="2" t="str">
        <f t="shared" si="127"/>
        <v>Error?</v>
      </c>
      <c r="E7801" s="4" t="s">
        <v>1904</v>
      </c>
    </row>
    <row r="7802" spans="1:5" x14ac:dyDescent="0.2">
      <c r="A7802">
        <v>7741</v>
      </c>
      <c r="B7802" s="138">
        <f>'Revenues 9-14'!D120</f>
        <v>0</v>
      </c>
      <c r="D7802" s="2" t="str">
        <f t="shared" si="127"/>
        <v>Error?</v>
      </c>
      <c r="E7802" s="4" t="s">
        <v>1904</v>
      </c>
    </row>
    <row r="7803" spans="1:5" x14ac:dyDescent="0.2">
      <c r="A7803">
        <v>7742</v>
      </c>
      <c r="B7803" s="138">
        <f>'Revenues 9-14'!E120</f>
        <v>0</v>
      </c>
      <c r="D7803" s="2" t="str">
        <f t="shared" si="127"/>
        <v>Error?</v>
      </c>
      <c r="E7803" s="4" t="s">
        <v>1904</v>
      </c>
    </row>
    <row r="7804" spans="1:5" x14ac:dyDescent="0.2">
      <c r="A7804">
        <v>7743</v>
      </c>
      <c r="B7804" s="138">
        <f>'Revenues 9-14'!F120</f>
        <v>0</v>
      </c>
      <c r="D7804" s="2" t="str">
        <f t="shared" si="127"/>
        <v>Error?</v>
      </c>
      <c r="E7804" s="4" t="s">
        <v>1904</v>
      </c>
    </row>
    <row r="7805" spans="1:5" x14ac:dyDescent="0.2">
      <c r="A7805">
        <v>7744</v>
      </c>
      <c r="B7805" s="138">
        <f>'Revenues 9-14'!G120</f>
        <v>0</v>
      </c>
      <c r="D7805" s="2" t="str">
        <f t="shared" si="127"/>
        <v>Error?</v>
      </c>
      <c r="E7805" s="4" t="s">
        <v>1904</v>
      </c>
    </row>
    <row r="7806" spans="1:5" x14ac:dyDescent="0.2">
      <c r="A7806">
        <v>7745</v>
      </c>
      <c r="B7806" s="138">
        <f>'Revenues 9-14'!H120</f>
        <v>0</v>
      </c>
      <c r="D7806" s="2" t="str">
        <f t="shared" si="127"/>
        <v>Error?</v>
      </c>
      <c r="E7806" s="4" t="s">
        <v>1904</v>
      </c>
    </row>
    <row r="7807" spans="1:5" x14ac:dyDescent="0.2">
      <c r="A7807">
        <v>7746</v>
      </c>
      <c r="B7807" s="138">
        <f>'Revenues 9-14'!J120</f>
        <v>0</v>
      </c>
      <c r="D7807" s="2" t="str">
        <f t="shared" ref="D7807:D7816" si="128">IF(ISBLANK(B7807),"OK",IF(A7807-B7807=0,"OK","Error?"))</f>
        <v>Error?</v>
      </c>
      <c r="E7807" s="4" t="s">
        <v>1904</v>
      </c>
    </row>
    <row r="7808" spans="1:5" x14ac:dyDescent="0.2">
      <c r="A7808">
        <v>7747</v>
      </c>
      <c r="B7808" s="138">
        <f>'Revenues 9-14'!K120</f>
        <v>0</v>
      </c>
      <c r="D7808" s="2" t="str">
        <f t="shared" si="128"/>
        <v>Error?</v>
      </c>
      <c r="E7808" s="4" t="s">
        <v>1904</v>
      </c>
    </row>
    <row r="7809" spans="1:5" x14ac:dyDescent="0.2">
      <c r="A7809">
        <v>7748</v>
      </c>
      <c r="B7809" s="138">
        <f>'Revenues 9-14'!C261</f>
        <v>0</v>
      </c>
      <c r="D7809" s="2" t="str">
        <f t="shared" si="128"/>
        <v>Error?</v>
      </c>
      <c r="E7809" s="4" t="s">
        <v>1905</v>
      </c>
    </row>
    <row r="7810" spans="1:5" x14ac:dyDescent="0.2">
      <c r="A7810">
        <v>7749</v>
      </c>
      <c r="B7810" s="138">
        <f>'Revenues 9-14'!D261</f>
        <v>0</v>
      </c>
      <c r="D7810" s="2" t="str">
        <f t="shared" si="128"/>
        <v>Error?</v>
      </c>
      <c r="E7810" s="4" t="s">
        <v>1905</v>
      </c>
    </row>
    <row r="7811" spans="1:5" x14ac:dyDescent="0.2">
      <c r="A7811">
        <v>7750</v>
      </c>
      <c r="B7811" s="138">
        <f>'Revenues 9-14'!F261</f>
        <v>0</v>
      </c>
      <c r="D7811" s="2" t="str">
        <f t="shared" si="128"/>
        <v>Error?</v>
      </c>
      <c r="E7811" s="4" t="s">
        <v>1905</v>
      </c>
    </row>
    <row r="7812" spans="1:5" x14ac:dyDescent="0.2">
      <c r="A7812">
        <v>7751</v>
      </c>
      <c r="B7812" s="138">
        <f>'Revenues 9-14'!G261</f>
        <v>0</v>
      </c>
      <c r="D7812" s="2" t="str">
        <f t="shared" si="128"/>
        <v>Error?</v>
      </c>
      <c r="E7812" s="4" t="s">
        <v>1905</v>
      </c>
    </row>
    <row r="7813" spans="1:5" x14ac:dyDescent="0.2">
      <c r="A7813">
        <v>7752</v>
      </c>
      <c r="B7813" s="138">
        <f>'Revenues 9-14'!C262</f>
        <v>0</v>
      </c>
      <c r="D7813" s="2" t="str">
        <f t="shared" si="128"/>
        <v>Error?</v>
      </c>
      <c r="E7813" s="4" t="s">
        <v>1906</v>
      </c>
    </row>
    <row r="7814" spans="1:5" x14ac:dyDescent="0.2">
      <c r="A7814">
        <v>7753</v>
      </c>
      <c r="B7814" s="138">
        <f>'Revenues 9-14'!D262</f>
        <v>0</v>
      </c>
      <c r="D7814" s="2" t="str">
        <f t="shared" si="128"/>
        <v>Error?</v>
      </c>
      <c r="E7814" s="4" t="s">
        <v>1906</v>
      </c>
    </row>
    <row r="7815" spans="1:5" x14ac:dyDescent="0.2">
      <c r="A7815">
        <v>7754</v>
      </c>
      <c r="B7815" s="138">
        <f>'Revenues 9-14'!F262</f>
        <v>0</v>
      </c>
      <c r="D7815" s="2" t="str">
        <f t="shared" si="128"/>
        <v>Error?</v>
      </c>
      <c r="E7815" s="4" t="s">
        <v>1906</v>
      </c>
    </row>
    <row r="7816" spans="1:5" x14ac:dyDescent="0.2">
      <c r="A7816">
        <v>7755</v>
      </c>
      <c r="B7816" s="138">
        <f>'Revenues 9-14'!G262</f>
        <v>0</v>
      </c>
      <c r="D7816" s="2" t="str">
        <f t="shared" si="128"/>
        <v>Error?</v>
      </c>
      <c r="E7816" s="4" t="s">
        <v>1906</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X29" sqref="X29"/>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42" t="s">
        <v>1191</v>
      </c>
      <c r="B2" s="2342"/>
      <c r="C2" s="2342"/>
      <c r="D2" s="2342"/>
      <c r="E2" s="2342"/>
      <c r="F2" s="2342"/>
      <c r="G2" s="2342"/>
      <c r="H2" s="2342"/>
      <c r="I2" s="2342"/>
      <c r="J2" s="2342"/>
      <c r="K2" s="2342"/>
      <c r="L2" s="2342"/>
    </row>
    <row r="3" spans="1:29" ht="13.5" customHeight="1" x14ac:dyDescent="0.2">
      <c r="A3" s="2328" t="s">
        <v>1190</v>
      </c>
      <c r="B3" s="2328"/>
      <c r="C3" s="2328"/>
      <c r="D3" s="2328"/>
      <c r="E3" s="2328"/>
      <c r="F3" s="2328"/>
      <c r="G3" s="2328"/>
      <c r="H3" s="2328"/>
      <c r="I3" s="2328"/>
      <c r="J3" s="2328"/>
      <c r="K3" s="2328"/>
      <c r="L3" s="2328"/>
    </row>
    <row r="4" spans="1:29" ht="13.5" customHeight="1" x14ac:dyDescent="0.2">
      <c r="A4" s="2342" t="s">
        <v>1951</v>
      </c>
      <c r="B4" s="2359"/>
      <c r="C4" s="2359"/>
      <c r="D4" s="2359"/>
      <c r="E4" s="2359"/>
      <c r="F4" s="2359"/>
      <c r="G4" s="2359"/>
      <c r="H4" s="2359"/>
      <c r="I4" s="2359"/>
      <c r="J4" s="2359"/>
      <c r="K4" s="2359"/>
      <c r="L4" s="235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7" customHeight="1" x14ac:dyDescent="0.2">
      <c r="A7" s="2322" t="str">
        <f>COVER!A17</f>
        <v>Dwight Common SD 232</v>
      </c>
      <c r="B7" s="2323"/>
      <c r="C7" s="2323"/>
      <c r="D7" s="2360"/>
      <c r="E7" s="2361">
        <f>COVER!A13</f>
        <v>17053232002</v>
      </c>
      <c r="F7" s="2362"/>
      <c r="G7" s="2329" t="str">
        <f>COVER!T23</f>
        <v>066-004023</v>
      </c>
      <c r="H7" s="2330"/>
      <c r="I7" s="2330"/>
      <c r="J7" s="2330"/>
      <c r="K7" s="2330"/>
      <c r="L7" s="2331"/>
    </row>
    <row r="8" spans="1:29" ht="13.5" customHeight="1" x14ac:dyDescent="0.2">
      <c r="A8" s="1184" t="s">
        <v>1503</v>
      </c>
      <c r="B8" s="1185"/>
      <c r="C8" s="1186"/>
      <c r="D8" s="1186"/>
      <c r="E8" s="1191"/>
      <c r="F8" s="1190"/>
      <c r="G8" s="1192" t="s">
        <v>1186</v>
      </c>
      <c r="H8" s="1193"/>
      <c r="I8" s="1193"/>
      <c r="J8" s="1193"/>
      <c r="K8" s="1193"/>
      <c r="L8" s="1194"/>
    </row>
    <row r="9" spans="1:29" ht="13.5" customHeight="1" x14ac:dyDescent="0.2">
      <c r="A9" s="2332"/>
      <c r="B9" s="2333"/>
      <c r="C9" s="2333"/>
      <c r="D9" s="2333"/>
      <c r="E9" s="2333"/>
      <c r="F9" s="2334"/>
      <c r="G9" s="2335" t="str">
        <f>COVER!T13</f>
        <v>Wipfli LLP</v>
      </c>
      <c r="H9" s="2336"/>
      <c r="I9" s="2336"/>
      <c r="J9" s="2336"/>
      <c r="K9" s="2336"/>
      <c r="L9" s="2337"/>
    </row>
    <row r="10" spans="1:29" ht="13.5" customHeight="1" x14ac:dyDescent="0.2">
      <c r="A10" s="2319" t="str">
        <f>COVER!A38</f>
        <v>Dr. Richard Jancek</v>
      </c>
      <c r="B10" s="2320"/>
      <c r="C10" s="2320"/>
      <c r="D10" s="2320"/>
      <c r="E10" s="2320"/>
      <c r="F10" s="2321"/>
      <c r="G10" s="2335" t="str">
        <f>COVER!T17</f>
        <v>403 East 3rd Street</v>
      </c>
      <c r="H10" s="2348"/>
      <c r="I10" s="2348"/>
      <c r="J10" s="2348"/>
      <c r="K10" s="2348"/>
      <c r="L10" s="2349"/>
    </row>
    <row r="11" spans="1:29" ht="13.5" customHeight="1" x14ac:dyDescent="0.2">
      <c r="A11" s="1184" t="s">
        <v>1505</v>
      </c>
      <c r="B11" s="1185"/>
      <c r="C11" s="1186"/>
      <c r="D11" s="1191"/>
      <c r="E11" s="1186"/>
      <c r="F11" s="1190"/>
      <c r="G11" s="2335" t="str">
        <f>COVER!T19</f>
        <v>Sterling</v>
      </c>
      <c r="H11" s="2348"/>
      <c r="I11" s="2348"/>
      <c r="J11" s="2348"/>
      <c r="K11" s="2348"/>
      <c r="L11" s="2349"/>
    </row>
    <row r="12" spans="1:29" ht="13.5" customHeight="1" x14ac:dyDescent="0.2">
      <c r="A12" s="2353" t="s">
        <v>1504</v>
      </c>
      <c r="B12" s="2354"/>
      <c r="C12" s="2354"/>
      <c r="D12" s="2354"/>
      <c r="E12" s="2354"/>
      <c r="F12" s="2355"/>
      <c r="G12" s="2350"/>
      <c r="H12" s="2351"/>
      <c r="I12" s="2351"/>
      <c r="J12" s="2351"/>
      <c r="K12" s="2351"/>
      <c r="L12" s="2352"/>
    </row>
    <row r="13" spans="1:29" ht="13.5" customHeight="1" x14ac:dyDescent="0.2">
      <c r="A13" s="2335"/>
      <c r="B13" s="2348"/>
      <c r="C13" s="2348"/>
      <c r="D13" s="2348"/>
      <c r="E13" s="2348"/>
      <c r="F13" s="2349"/>
      <c r="G13" s="2343" t="s">
        <v>1506</v>
      </c>
      <c r="H13" s="2344"/>
      <c r="I13" s="2356" t="str">
        <f>COVER!T25</f>
        <v>mschueler@wipfli.com</v>
      </c>
      <c r="J13" s="2357"/>
      <c r="K13" s="2357"/>
      <c r="L13" s="2358"/>
    </row>
    <row r="14" spans="1:29" ht="13.5" customHeight="1" x14ac:dyDescent="0.2">
      <c r="A14" s="2335" t="str">
        <f>COVER!A19</f>
        <v>801 S Franklin St</v>
      </c>
      <c r="B14" s="2348"/>
      <c r="C14" s="2348"/>
      <c r="D14" s="2348"/>
      <c r="E14" s="2348"/>
      <c r="F14" s="2349"/>
      <c r="G14" s="1195" t="s">
        <v>1185</v>
      </c>
      <c r="H14" s="1193"/>
      <c r="I14" s="1193"/>
      <c r="J14" s="1193"/>
      <c r="K14" s="1193"/>
      <c r="L14" s="1194"/>
    </row>
    <row r="15" spans="1:29" ht="13.5" customHeight="1" x14ac:dyDescent="0.2">
      <c r="A15" s="2335" t="str">
        <f>COVER!A21</f>
        <v>Dwight</v>
      </c>
      <c r="B15" s="2348"/>
      <c r="C15" s="2348"/>
      <c r="D15" s="2348"/>
      <c r="E15" s="2348"/>
      <c r="F15" s="2349"/>
      <c r="G15" s="2345" t="str">
        <f>COVER!T15</f>
        <v>Matthew Schueler</v>
      </c>
      <c r="H15" s="2346"/>
      <c r="I15" s="2346"/>
      <c r="J15" s="2346"/>
      <c r="K15" s="2346"/>
      <c r="L15" s="2347"/>
    </row>
    <row r="16" spans="1:29" ht="12.2" customHeight="1" x14ac:dyDescent="0.2">
      <c r="A16" s="2325">
        <f>COVER!A25</f>
        <v>60420</v>
      </c>
      <c r="B16" s="2326"/>
      <c r="C16" s="2326"/>
      <c r="D16" s="2326"/>
      <c r="E16" s="2326"/>
      <c r="F16" s="2327"/>
      <c r="G16" s="2338"/>
      <c r="H16" s="2339"/>
      <c r="I16" s="2339"/>
      <c r="J16" s="2339"/>
      <c r="K16" s="2339"/>
      <c r="L16" s="2340"/>
    </row>
    <row r="17" spans="1:13" ht="12.2" customHeight="1" x14ac:dyDescent="0.2">
      <c r="A17" s="2341"/>
      <c r="B17" s="2326"/>
      <c r="C17" s="2326"/>
      <c r="D17" s="2326"/>
      <c r="E17" s="2326"/>
      <c r="F17" s="2327"/>
      <c r="G17" s="1195" t="s">
        <v>1184</v>
      </c>
      <c r="H17" s="1193"/>
      <c r="I17" s="1193"/>
      <c r="J17" s="1193"/>
      <c r="K17" s="1197" t="s">
        <v>1183</v>
      </c>
      <c r="L17" s="1190"/>
      <c r="M17" s="1183"/>
    </row>
    <row r="18" spans="1:13" ht="12.2" customHeight="1" x14ac:dyDescent="0.2">
      <c r="A18" s="2319"/>
      <c r="B18" s="2320"/>
      <c r="C18" s="2320"/>
      <c r="D18" s="2320"/>
      <c r="E18" s="2320"/>
      <c r="F18" s="2321"/>
      <c r="G18" s="2322" t="str">
        <f>COVER!T21</f>
        <v>815-626-1277</v>
      </c>
      <c r="H18" s="2323"/>
      <c r="I18" s="2323"/>
      <c r="J18" s="2323"/>
      <c r="K18" s="2322" t="str">
        <f>COVER!X21</f>
        <v>815-626-9118</v>
      </c>
      <c r="L18" s="232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1663</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4" customHeight="1" x14ac:dyDescent="0.2">
      <c r="B25" s="1203" t="s">
        <v>1169</v>
      </c>
      <c r="C25" s="1204"/>
    </row>
    <row r="26" spans="1:13" s="1198" customFormat="1" ht="12.2" customHeight="1" x14ac:dyDescent="0.2">
      <c r="B26" s="1201"/>
      <c r="C26" s="1202" t="s">
        <v>1664</v>
      </c>
    </row>
    <row r="27" spans="1:13" s="1198" customFormat="1" ht="9.4" customHeight="1" x14ac:dyDescent="0.2">
      <c r="B27" s="1203"/>
      <c r="C27" s="1202"/>
    </row>
    <row r="28" spans="1:13" s="1198" customFormat="1" ht="12.2" customHeight="1" x14ac:dyDescent="0.2">
      <c r="A28" s="1205"/>
      <c r="B28" s="1201"/>
      <c r="C28" s="1202" t="s">
        <v>1665</v>
      </c>
    </row>
    <row r="29" spans="1:13" s="1198" customFormat="1" ht="9.4" customHeight="1" x14ac:dyDescent="0.2">
      <c r="A29" s="1205"/>
      <c r="B29" s="1203"/>
      <c r="C29" s="1202"/>
    </row>
    <row r="30" spans="1:13" s="1198" customFormat="1" ht="12.2" customHeight="1" x14ac:dyDescent="0.2">
      <c r="B30" s="1201"/>
      <c r="C30" s="1202" t="s">
        <v>1531</v>
      </c>
      <c r="D30" s="1196"/>
      <c r="E30" s="1196"/>
    </row>
    <row r="31" spans="1:13" s="1198" customFormat="1" ht="9.4" customHeight="1" x14ac:dyDescent="0.2">
      <c r="B31" s="1203"/>
      <c r="C31" s="1202"/>
      <c r="D31" s="1196"/>
      <c r="E31" s="1196"/>
    </row>
    <row r="32" spans="1:13" s="1198" customFormat="1" ht="12.2" customHeight="1" x14ac:dyDescent="0.2">
      <c r="B32" s="1201"/>
      <c r="C32" s="1202" t="s">
        <v>1532</v>
      </c>
      <c r="D32" s="1196"/>
      <c r="E32" s="1196"/>
    </row>
    <row r="33" spans="1:8" s="1198" customFormat="1" ht="10.9" customHeight="1" x14ac:dyDescent="0.2">
      <c r="B33" s="1203"/>
      <c r="C33" s="1206" t="s">
        <v>1666</v>
      </c>
      <c r="D33" s="1196"/>
      <c r="E33" s="1196"/>
    </row>
    <row r="34" spans="1:8" ht="9.4" customHeight="1" x14ac:dyDescent="0.2">
      <c r="B34" s="1203"/>
      <c r="C34" s="1206"/>
    </row>
    <row r="35" spans="1:8" s="1198" customFormat="1" ht="13.5" customHeight="1" x14ac:dyDescent="0.2">
      <c r="B35" s="1201"/>
      <c r="C35" s="1202" t="s">
        <v>1533</v>
      </c>
    </row>
    <row r="36" spans="1:8" s="1198" customFormat="1" ht="10.9" customHeight="1" x14ac:dyDescent="0.2">
      <c r="B36" s="1203"/>
      <c r="C36" s="1206" t="s">
        <v>1534</v>
      </c>
    </row>
    <row r="37" spans="1:8" ht="9.4" customHeight="1" x14ac:dyDescent="0.2">
      <c r="B37" s="1203"/>
      <c r="C37" s="1206"/>
    </row>
    <row r="38" spans="1:8" s="1198" customFormat="1" ht="12.2" customHeight="1" x14ac:dyDescent="0.2">
      <c r="B38" s="1201"/>
      <c r="C38" s="1202" t="s">
        <v>1535</v>
      </c>
    </row>
    <row r="39" spans="1:8" ht="9.4" customHeight="1" x14ac:dyDescent="0.2">
      <c r="B39" s="1203"/>
      <c r="C39" s="1206"/>
    </row>
    <row r="40" spans="1:8" s="1198" customFormat="1" ht="13.5" customHeight="1" x14ac:dyDescent="0.2">
      <c r="B40" s="1201"/>
      <c r="C40" s="1202" t="s">
        <v>1536</v>
      </c>
    </row>
    <row r="41" spans="1:8" ht="9.4" customHeight="1" x14ac:dyDescent="0.2">
      <c r="A41" s="1207"/>
      <c r="B41" s="1203"/>
      <c r="C41" s="1206"/>
    </row>
    <row r="42" spans="1:8" s="1198" customFormat="1" ht="13.5" customHeight="1" x14ac:dyDescent="0.2">
      <c r="B42" s="1201"/>
      <c r="C42" s="1202" t="s">
        <v>1801</v>
      </c>
      <c r="D42" s="1196"/>
      <c r="E42" s="1196"/>
      <c r="F42" s="1196"/>
      <c r="G42" s="1196"/>
      <c r="H42" s="1196"/>
    </row>
    <row r="43" spans="1:8" s="1198" customFormat="1" ht="13.1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1537</v>
      </c>
      <c r="D46" s="1196"/>
      <c r="E46" s="1196"/>
      <c r="F46" s="1196"/>
      <c r="G46" s="1196"/>
      <c r="H46" s="1196"/>
    </row>
    <row r="47" spans="1:8" ht="9.4" customHeight="1" x14ac:dyDescent="0.2"/>
    <row r="48" spans="1:8" ht="12.2" customHeight="1" x14ac:dyDescent="0.2">
      <c r="B48" s="1896"/>
      <c r="C48" s="1210" t="s">
        <v>1538</v>
      </c>
    </row>
    <row r="49" spans="1:12" ht="9.4"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3.1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X29" sqref="X29"/>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363" t="str">
        <f>'Single Audit Cover'!A7</f>
        <v>Dwight Common SD 232</v>
      </c>
      <c r="B1" s="2359"/>
      <c r="C1" s="2359"/>
      <c r="D1" s="2359"/>
    </row>
    <row r="2" spans="1:11" s="1212" customFormat="1" ht="12.75" x14ac:dyDescent="0.2">
      <c r="A2" s="2364">
        <f>'Single Audit Cover'!E7</f>
        <v>17053232002</v>
      </c>
      <c r="B2" s="2365"/>
      <c r="C2" s="2365"/>
      <c r="D2" s="2365"/>
    </row>
    <row r="3" spans="1:11" s="1212" customFormat="1" ht="12.75" x14ac:dyDescent="0.2">
      <c r="A3" s="2363" t="s">
        <v>1499</v>
      </c>
      <c r="B3" s="2359"/>
      <c r="C3" s="2359"/>
      <c r="D3" s="2359"/>
    </row>
    <row r="4" spans="1:11" s="1212" customFormat="1" ht="4.5" customHeight="1" x14ac:dyDescent="0.2">
      <c r="A4" s="1213"/>
      <c r="B4" s="1214"/>
      <c r="C4" s="1214"/>
      <c r="D4" s="1214"/>
    </row>
    <row r="5" spans="1:11" x14ac:dyDescent="0.2">
      <c r="B5" s="1216" t="s">
        <v>1500</v>
      </c>
      <c r="C5" s="1217"/>
      <c r="D5" s="1218"/>
    </row>
    <row r="6" spans="1:11" x14ac:dyDescent="0.2">
      <c r="B6" s="1216" t="s">
        <v>1225</v>
      </c>
      <c r="C6" s="1217"/>
      <c r="D6" s="1218"/>
    </row>
    <row r="7" spans="1:11" x14ac:dyDescent="0.2">
      <c r="B7" s="1216" t="s">
        <v>1501</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1667</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1668</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1669</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1670</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1691</v>
      </c>
      <c r="E24" s="1225"/>
      <c r="F24" s="1225"/>
      <c r="G24" s="1225"/>
      <c r="H24" s="1225"/>
      <c r="I24" s="1225"/>
      <c r="J24" s="1225"/>
      <c r="K24" s="1225"/>
    </row>
    <row r="25" spans="1:11" x14ac:dyDescent="0.2">
      <c r="A25" s="1219"/>
      <c r="B25" s="1228"/>
      <c r="D25" s="1227" t="s">
        <v>1671</v>
      </c>
      <c r="E25" s="1225"/>
      <c r="F25" s="1225"/>
      <c r="G25" s="1225"/>
      <c r="H25" s="1225"/>
      <c r="I25" s="1225"/>
      <c r="J25" s="1225"/>
      <c r="K25" s="1225"/>
    </row>
    <row r="26" spans="1:11" x14ac:dyDescent="0.2">
      <c r="A26" s="1219"/>
      <c r="B26" s="1228"/>
      <c r="D26" s="1232" t="s">
        <v>1672</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1539</v>
      </c>
      <c r="E28" s="1225"/>
      <c r="F28" s="1225"/>
      <c r="G28" s="1225"/>
      <c r="H28" s="1225"/>
      <c r="I28" s="1225"/>
      <c r="J28" s="1225"/>
      <c r="K28" s="1225"/>
    </row>
    <row r="29" spans="1:11" ht="10.5" customHeight="1" x14ac:dyDescent="0.2">
      <c r="A29" s="1219"/>
      <c r="D29" s="1233" t="s">
        <v>1540</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1541</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1541</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1542</v>
      </c>
    </row>
    <row r="41" spans="1:5" ht="3" customHeight="1" x14ac:dyDescent="0.2">
      <c r="A41" s="1219"/>
      <c r="B41" s="1236"/>
      <c r="C41" s="1237"/>
      <c r="D41" s="1218"/>
    </row>
    <row r="42" spans="1:5" ht="10.5" customHeight="1" x14ac:dyDescent="0.2">
      <c r="A42" s="1219"/>
      <c r="B42" s="1238"/>
      <c r="C42" s="1229">
        <v>11</v>
      </c>
      <c r="D42" s="1240" t="s">
        <v>1543</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1544</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1673</v>
      </c>
    </row>
    <row r="57" spans="1:4" ht="10.5" customHeight="1" x14ac:dyDescent="0.2">
      <c r="A57" s="1219"/>
      <c r="D57" s="1234" t="s">
        <v>1674</v>
      </c>
    </row>
    <row r="58" spans="1:4" x14ac:dyDescent="0.2">
      <c r="A58" s="1219"/>
      <c r="C58" s="1241"/>
      <c r="D58" s="1234" t="s">
        <v>1675</v>
      </c>
    </row>
    <row r="59" spans="1:4" ht="10.5" customHeight="1" x14ac:dyDescent="0.2">
      <c r="A59" s="1219"/>
      <c r="D59" s="1218" t="s">
        <v>1209</v>
      </c>
    </row>
    <row r="60" spans="1:4" ht="10.5" customHeight="1" x14ac:dyDescent="0.2">
      <c r="A60" s="1219"/>
      <c r="D60" s="1242" t="s">
        <v>1568</v>
      </c>
    </row>
    <row r="61" spans="1:4" ht="10.5" customHeight="1" x14ac:dyDescent="0.2">
      <c r="A61" s="1219"/>
      <c r="C61" s="1241"/>
      <c r="D61" s="1234" t="s">
        <v>1676</v>
      </c>
    </row>
    <row r="62" spans="1:4" ht="10.5" customHeight="1" x14ac:dyDescent="0.2">
      <c r="A62" s="1219"/>
      <c r="D62" s="1243" t="s">
        <v>1208</v>
      </c>
    </row>
    <row r="63" spans="1:4" ht="10.5" customHeight="1" x14ac:dyDescent="0.2">
      <c r="A63" s="1219"/>
      <c r="D63" s="1218" t="s">
        <v>1545</v>
      </c>
    </row>
    <row r="64" spans="1:4" ht="10.5" customHeight="1" x14ac:dyDescent="0.2">
      <c r="A64" s="1219"/>
      <c r="D64" s="1242" t="s">
        <v>1567</v>
      </c>
    </row>
    <row r="65" spans="1:4" x14ac:dyDescent="0.2">
      <c r="A65" s="1219"/>
      <c r="C65" s="1241"/>
      <c r="D65" s="1234" t="s">
        <v>1677</v>
      </c>
    </row>
    <row r="66" spans="1:4" ht="10.5" customHeight="1" x14ac:dyDescent="0.2">
      <c r="A66" s="1219"/>
      <c r="D66" s="1244" t="s">
        <v>1207</v>
      </c>
    </row>
    <row r="67" spans="1:4" ht="10.5" customHeight="1" x14ac:dyDescent="0.2">
      <c r="A67" s="1219"/>
      <c r="D67" s="1218" t="s">
        <v>1546</v>
      </c>
    </row>
    <row r="68" spans="1:4" ht="10.5" customHeight="1" x14ac:dyDescent="0.2">
      <c r="A68" s="1219"/>
      <c r="D68" s="1242" t="s">
        <v>1567</v>
      </c>
    </row>
    <row r="69" spans="1:4" ht="10.5" customHeight="1" x14ac:dyDescent="0.2">
      <c r="A69" s="1219"/>
      <c r="C69" s="1241"/>
      <c r="D69" s="1234" t="s">
        <v>1678</v>
      </c>
    </row>
    <row r="70" spans="1:4" x14ac:dyDescent="0.2">
      <c r="A70" s="1219"/>
      <c r="D70" s="1243" t="s">
        <v>1206</v>
      </c>
    </row>
    <row r="71" spans="1:4" ht="3" customHeight="1" x14ac:dyDescent="0.2">
      <c r="A71" s="1219"/>
      <c r="D71" s="1218"/>
    </row>
    <row r="72" spans="1:4" x14ac:dyDescent="0.2">
      <c r="A72" s="1219"/>
      <c r="B72" s="1222"/>
      <c r="C72" s="1223">
        <f>C56+1</f>
        <v>18</v>
      </c>
      <c r="D72" s="1244" t="s">
        <v>1679</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1680</v>
      </c>
    </row>
    <row r="77" spans="1:4" ht="3" customHeight="1" x14ac:dyDescent="0.2">
      <c r="A77" s="1219"/>
      <c r="B77" s="1226"/>
      <c r="C77" s="1223"/>
      <c r="D77" s="1245"/>
    </row>
    <row r="78" spans="1:4" x14ac:dyDescent="0.2">
      <c r="A78" s="1219"/>
      <c r="B78" s="1222"/>
      <c r="C78" s="1223">
        <f>C76+1</f>
        <v>21</v>
      </c>
      <c r="D78" s="1218" t="s">
        <v>1681</v>
      </c>
    </row>
    <row r="79" spans="1:4" ht="3" customHeight="1" x14ac:dyDescent="0.2">
      <c r="A79" s="1219"/>
      <c r="B79" s="1226"/>
      <c r="C79" s="1223"/>
      <c r="D79" s="1218"/>
    </row>
    <row r="80" spans="1:4" x14ac:dyDescent="0.2">
      <c r="A80" s="1219"/>
      <c r="B80" s="1222"/>
      <c r="C80" s="1223">
        <f>C78+1</f>
        <v>22</v>
      </c>
      <c r="D80" s="1246" t="s">
        <v>1682</v>
      </c>
    </row>
    <row r="81" spans="1:4" ht="3" customHeight="1" x14ac:dyDescent="0.2">
      <c r="A81" s="1219"/>
      <c r="B81" s="1226"/>
      <c r="C81" s="1223"/>
      <c r="D81" s="1246"/>
    </row>
    <row r="82" spans="1:4" x14ac:dyDescent="0.2">
      <c r="A82" s="1219"/>
      <c r="B82" s="1222"/>
      <c r="C82" s="1223">
        <f>C80+1</f>
        <v>23</v>
      </c>
      <c r="D82" s="1245" t="s">
        <v>1683</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1684</v>
      </c>
    </row>
    <row r="92" spans="1:4" x14ac:dyDescent="0.2">
      <c r="A92" s="1219"/>
      <c r="B92" s="1247"/>
      <c r="C92" s="1241"/>
      <c r="D92" s="1234" t="s">
        <v>1200</v>
      </c>
    </row>
    <row r="93" spans="1:4" ht="4.5" customHeight="1" x14ac:dyDescent="0.2">
      <c r="A93" s="1219"/>
      <c r="D93" s="1218"/>
    </row>
    <row r="94" spans="1:4" x14ac:dyDescent="0.2">
      <c r="A94" s="1219"/>
      <c r="B94" s="1220" t="s">
        <v>1547</v>
      </c>
      <c r="C94" s="1221"/>
      <c r="D94" s="1218"/>
    </row>
    <row r="95" spans="1:4" ht="4.5" customHeight="1" x14ac:dyDescent="0.2">
      <c r="A95" s="1219"/>
      <c r="B95" s="1220"/>
      <c r="C95" s="1221"/>
      <c r="D95" s="1218"/>
    </row>
    <row r="96" spans="1:4" x14ac:dyDescent="0.2">
      <c r="A96" s="1219"/>
      <c r="B96" s="1222"/>
      <c r="C96" s="1223">
        <f>C91+1</f>
        <v>28</v>
      </c>
      <c r="D96" s="1234" t="s">
        <v>1685</v>
      </c>
    </row>
    <row r="97" spans="1:4" ht="3" customHeight="1" x14ac:dyDescent="0.2">
      <c r="A97" s="1219"/>
      <c r="B97" s="1226"/>
      <c r="C97" s="1223"/>
      <c r="D97" s="1234"/>
    </row>
    <row r="98" spans="1:4" x14ac:dyDescent="0.2">
      <c r="A98" s="1219"/>
      <c r="B98" s="1222"/>
      <c r="C98" s="1223">
        <f>C96+1</f>
        <v>29</v>
      </c>
      <c r="D98" s="1248" t="s">
        <v>1686</v>
      </c>
    </row>
    <row r="99" spans="1:4" ht="3" customHeight="1" x14ac:dyDescent="0.2">
      <c r="A99" s="1219"/>
      <c r="B99" s="1226"/>
      <c r="C99" s="1223"/>
      <c r="D99" s="1248"/>
    </row>
    <row r="100" spans="1:4" x14ac:dyDescent="0.2">
      <c r="A100" s="1219"/>
      <c r="B100" s="1222"/>
      <c r="C100" s="1223">
        <f>C98+1</f>
        <v>30</v>
      </c>
      <c r="D100" s="1234" t="s">
        <v>1687</v>
      </c>
    </row>
    <row r="101" spans="1:4" ht="3" customHeight="1" x14ac:dyDescent="0.2">
      <c r="A101" s="1219"/>
      <c r="B101" s="1226"/>
      <c r="C101" s="1223"/>
      <c r="D101" s="1249"/>
    </row>
    <row r="102" spans="1:4" x14ac:dyDescent="0.2">
      <c r="A102" s="1219"/>
      <c r="B102" s="1222"/>
      <c r="C102" s="1223">
        <f>C100+1</f>
        <v>31</v>
      </c>
      <c r="D102" s="1234" t="s">
        <v>1548</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1549</v>
      </c>
    </row>
    <row r="107" spans="1:4" ht="3" customHeight="1" x14ac:dyDescent="0.2">
      <c r="A107" s="1219"/>
      <c r="B107" s="1226"/>
      <c r="C107" s="1223"/>
      <c r="D107" s="1218"/>
    </row>
    <row r="108" spans="1:4" x14ac:dyDescent="0.2">
      <c r="A108" s="1219"/>
      <c r="B108" s="1222"/>
      <c r="C108" s="1223">
        <v>33</v>
      </c>
      <c r="D108" s="1218" t="s">
        <v>1688</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1689</v>
      </c>
    </row>
    <row r="118" spans="1:4" ht="3" customHeight="1" x14ac:dyDescent="0.2">
      <c r="A118" s="1219"/>
      <c r="B118" s="1226"/>
      <c r="C118" s="1223"/>
      <c r="D118" s="1234"/>
    </row>
    <row r="119" spans="1:4" x14ac:dyDescent="0.2">
      <c r="A119" s="1219"/>
      <c r="B119" s="1222"/>
      <c r="C119" s="1223">
        <f>C117+1</f>
        <v>38</v>
      </c>
      <c r="D119" s="1234" t="s">
        <v>1690</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1802</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X29" sqref="X29"/>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367" t="str">
        <f>'Single Audit Cover'!A7</f>
        <v>Dwight Common SD 232</v>
      </c>
      <c r="B1" s="2367"/>
      <c r="C1" s="2367"/>
      <c r="D1" s="2367"/>
      <c r="E1" s="2367"/>
    </row>
    <row r="2" spans="1:5" x14ac:dyDescent="0.2">
      <c r="A2" s="2368">
        <f>'Single Audit Cover'!E7</f>
        <v>17053232002</v>
      </c>
      <c r="B2" s="2368"/>
      <c r="C2" s="2368"/>
      <c r="D2" s="2368"/>
      <c r="E2" s="2368"/>
    </row>
    <row r="3" spans="1:5" ht="4.5" customHeight="1" x14ac:dyDescent="0.2"/>
    <row r="4" spans="1:5" x14ac:dyDescent="0.2">
      <c r="A4" s="2367" t="s">
        <v>1245</v>
      </c>
      <c r="B4" s="2367"/>
      <c r="C4" s="2367"/>
      <c r="D4" s="2367"/>
      <c r="E4" s="2367"/>
    </row>
    <row r="5" spans="1:5" x14ac:dyDescent="0.2">
      <c r="A5" s="2370" t="str">
        <f>'Single Audit Cover'!A4</f>
        <v>Year Ending June 30, 2019</v>
      </c>
      <c r="B5" s="2370"/>
      <c r="C5" s="2370"/>
      <c r="D5" s="2370"/>
      <c r="E5" s="2370"/>
    </row>
    <row r="6" spans="1:5" x14ac:dyDescent="0.2">
      <c r="A6" s="2367" t="s">
        <v>1244</v>
      </c>
      <c r="B6" s="2367"/>
      <c r="C6" s="2367"/>
      <c r="D6" s="2367"/>
      <c r="E6" s="2367"/>
    </row>
    <row r="8" spans="1:5" x14ac:dyDescent="0.2">
      <c r="A8" s="1257" t="s">
        <v>1243</v>
      </c>
    </row>
    <row r="10" spans="1:5" x14ac:dyDescent="0.2">
      <c r="A10" s="1258" t="s">
        <v>1242</v>
      </c>
      <c r="B10" s="1259" t="s">
        <v>1241</v>
      </c>
      <c r="C10" s="1259"/>
      <c r="D10" s="1260">
        <f>SUM('Acct Summary 7-8'!C7:K7)</f>
        <v>271004</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1692</v>
      </c>
      <c r="B14" s="1259"/>
      <c r="C14" s="1259"/>
      <c r="D14" s="1261">
        <f>'ICR Computation 30'!E11</f>
        <v>13301</v>
      </c>
    </row>
    <row r="15" spans="1:5" x14ac:dyDescent="0.2">
      <c r="A15" s="1258"/>
      <c r="B15" s="1259"/>
      <c r="C15" s="1259"/>
    </row>
    <row r="16" spans="1:5" x14ac:dyDescent="0.2">
      <c r="A16" s="1258" t="s">
        <v>1809</v>
      </c>
      <c r="B16" s="1259"/>
      <c r="C16" s="1259"/>
    </row>
    <row r="17" spans="1:4" x14ac:dyDescent="0.2">
      <c r="A17" s="1258" t="s">
        <v>2023</v>
      </c>
      <c r="B17" s="1259" t="s">
        <v>1236</v>
      </c>
      <c r="C17" s="1259"/>
      <c r="D17" s="1261">
        <f>-SUM('Revenues 9-14'!C264:D264,'Revenues 9-14'!F264:G264)</f>
        <v>-5383</v>
      </c>
    </row>
    <row r="19" spans="1:4" ht="13.5" thickBot="1" x14ac:dyDescent="0.25">
      <c r="A19" s="1262" t="s">
        <v>1235</v>
      </c>
      <c r="D19" s="1263">
        <f>SUM(D10:D17)</f>
        <v>278922</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369"/>
      <c r="B24" s="2369"/>
      <c r="D24" s="1265"/>
    </row>
    <row r="25" spans="1:4" x14ac:dyDescent="0.2">
      <c r="A25" s="2366"/>
      <c r="B25" s="2366"/>
      <c r="D25" s="1265"/>
    </row>
    <row r="26" spans="1:4" x14ac:dyDescent="0.2">
      <c r="A26" s="2366"/>
      <c r="B26" s="2366"/>
      <c r="D26" s="1265"/>
    </row>
    <row r="27" spans="1:4" x14ac:dyDescent="0.2">
      <c r="A27" s="2366"/>
      <c r="B27" s="2366"/>
      <c r="D27" s="1265"/>
    </row>
    <row r="28" spans="1:4" x14ac:dyDescent="0.2">
      <c r="A28" s="2366"/>
      <c r="B28" s="2366"/>
      <c r="D28" s="1265"/>
    </row>
    <row r="29" spans="1:4" x14ac:dyDescent="0.2">
      <c r="A29" s="2366"/>
      <c r="B29" s="2366"/>
      <c r="D29" s="1265"/>
    </row>
    <row r="30" spans="1:4" x14ac:dyDescent="0.2">
      <c r="A30" s="2366"/>
      <c r="B30" s="2366"/>
      <c r="D30" s="1265"/>
    </row>
    <row r="32" spans="1:4" x14ac:dyDescent="0.2">
      <c r="A32" s="1257" t="s">
        <v>1233</v>
      </c>
      <c r="D32" s="1260">
        <f>SUM(D19:D30)</f>
        <v>278922</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366"/>
      <c r="B40" s="2366"/>
      <c r="D40" s="1265"/>
    </row>
    <row r="41" spans="1:4" x14ac:dyDescent="0.2">
      <c r="A41" s="2366"/>
      <c r="B41" s="2366"/>
      <c r="D41" s="1268"/>
    </row>
    <row r="42" spans="1:4" x14ac:dyDescent="0.2">
      <c r="A42" s="2366"/>
      <c r="B42" s="2366"/>
      <c r="D42" s="1268"/>
    </row>
    <row r="43" spans="1:4" x14ac:dyDescent="0.2">
      <c r="A43" s="2366"/>
      <c r="B43" s="2366"/>
      <c r="D43" s="1268"/>
    </row>
    <row r="44" spans="1:4" x14ac:dyDescent="0.2">
      <c r="A44" s="2366"/>
      <c r="B44" s="2366"/>
      <c r="D44" s="1268"/>
    </row>
    <row r="45" spans="1:4" x14ac:dyDescent="0.2">
      <c r="A45" s="2366"/>
      <c r="B45" s="2366"/>
      <c r="D45" s="1268"/>
    </row>
    <row r="47" spans="1:4" x14ac:dyDescent="0.2">
      <c r="B47" s="1269" t="s">
        <v>1227</v>
      </c>
      <c r="C47" s="1269"/>
      <c r="D47" s="1270">
        <f>SUM(D35:D45)</f>
        <v>0</v>
      </c>
    </row>
    <row r="49" spans="2:4" x14ac:dyDescent="0.2">
      <c r="B49" s="1269" t="s">
        <v>1226</v>
      </c>
      <c r="C49" s="1269"/>
      <c r="D49" s="1270">
        <f>D32-D47</f>
        <v>278922</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topLeftCell="A19" zoomScaleNormal="100" workbookViewId="0">
      <selection activeCell="B1" sqref="B1:M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28" t="str">
        <f>'Single Audit Cover'!A7</f>
        <v>Dwight Common SD 232</v>
      </c>
      <c r="C1" s="2371"/>
      <c r="D1" s="2371"/>
      <c r="E1" s="2371"/>
      <c r="F1" s="2371"/>
      <c r="G1" s="2371"/>
      <c r="H1" s="2371"/>
      <c r="I1" s="2371"/>
      <c r="J1" s="2371"/>
      <c r="K1" s="2371"/>
      <c r="L1" s="2371"/>
      <c r="M1" s="2371"/>
    </row>
    <row r="2" spans="2:14" ht="15" x14ac:dyDescent="0.2">
      <c r="B2" s="2372">
        <f>'Single Audit Cover'!E7</f>
        <v>17053232002</v>
      </c>
      <c r="C2" s="2372"/>
      <c r="D2" s="2372"/>
      <c r="E2" s="2372"/>
      <c r="F2" s="2372"/>
      <c r="G2" s="2372"/>
      <c r="H2" s="2372"/>
      <c r="I2" s="2372"/>
      <c r="J2" s="2372"/>
      <c r="K2" s="2372"/>
      <c r="L2" s="2372"/>
      <c r="M2" s="2372"/>
      <c r="N2" s="1299"/>
    </row>
    <row r="3" spans="2:14" ht="15" x14ac:dyDescent="0.2">
      <c r="B3" s="2373" t="s">
        <v>1219</v>
      </c>
      <c r="C3" s="2373"/>
      <c r="D3" s="2373"/>
      <c r="E3" s="2373"/>
      <c r="F3" s="2373"/>
      <c r="G3" s="2373"/>
      <c r="H3" s="2373"/>
      <c r="I3" s="2373"/>
      <c r="J3" s="2373"/>
      <c r="K3" s="2373"/>
      <c r="L3" s="2373"/>
      <c r="M3" s="2373"/>
      <c r="N3" s="1299"/>
    </row>
    <row r="4" spans="2:14" ht="15" x14ac:dyDescent="0.2">
      <c r="B4" s="2374" t="str">
        <f>'Single Audit Cover'!A4</f>
        <v>Year Ending June 30, 2019</v>
      </c>
      <c r="C4" s="2374"/>
      <c r="D4" s="2374"/>
      <c r="E4" s="2374"/>
      <c r="F4" s="2374"/>
      <c r="G4" s="2374"/>
      <c r="H4" s="2374"/>
      <c r="I4" s="2374"/>
      <c r="J4" s="2374"/>
      <c r="K4" s="2374"/>
      <c r="L4" s="2374"/>
      <c r="M4" s="2374"/>
      <c r="N4" s="1299"/>
    </row>
    <row r="6" spans="2:14" x14ac:dyDescent="0.2">
      <c r="B6" s="1300"/>
      <c r="C6" s="1301"/>
      <c r="D6" s="1302" t="s">
        <v>1265</v>
      </c>
      <c r="E6" s="1303" t="s">
        <v>527</v>
      </c>
      <c r="F6" s="1304"/>
      <c r="G6" s="1305" t="s">
        <v>1699</v>
      </c>
      <c r="H6" s="1303"/>
      <c r="I6" s="1303"/>
      <c r="J6" s="1303"/>
      <c r="K6" s="1306"/>
      <c r="L6" s="1307"/>
      <c r="M6" s="1308"/>
    </row>
    <row r="7" spans="2:14" x14ac:dyDescent="0.2">
      <c r="B7" s="1309" t="s">
        <v>1550</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1804</v>
      </c>
      <c r="I8" s="1316" t="s">
        <v>1262</v>
      </c>
      <c r="J8" s="1315" t="s">
        <v>1952</v>
      </c>
      <c r="K8" s="1316" t="s">
        <v>1261</v>
      </c>
      <c r="L8" s="1317" t="s">
        <v>1257</v>
      </c>
      <c r="M8" s="1318" t="s">
        <v>30</v>
      </c>
    </row>
    <row r="9" spans="2:14" ht="14.25" x14ac:dyDescent="0.2">
      <c r="B9" s="1322" t="s">
        <v>1259</v>
      </c>
      <c r="C9" s="1310" t="s">
        <v>1700</v>
      </c>
      <c r="D9" s="1311" t="s">
        <v>1701</v>
      </c>
      <c r="E9" s="1319" t="s">
        <v>1804</v>
      </c>
      <c r="F9" s="1320" t="s">
        <v>1952</v>
      </c>
      <c r="G9" s="1321" t="s">
        <v>1804</v>
      </c>
      <c r="H9" s="1314" t="s">
        <v>1551</v>
      </c>
      <c r="I9" s="1316" t="s">
        <v>1952</v>
      </c>
      <c r="J9" s="1315" t="s">
        <v>1551</v>
      </c>
      <c r="K9" s="1316" t="s">
        <v>1258</v>
      </c>
      <c r="L9" s="1323" t="s">
        <v>1552</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25" customHeight="1" x14ac:dyDescent="0.2">
      <c r="B11" s="1334"/>
      <c r="C11" s="1335"/>
      <c r="D11" s="1336"/>
      <c r="E11" s="1337"/>
      <c r="F11" s="1337"/>
      <c r="G11" s="1337"/>
      <c r="H11" s="1337"/>
      <c r="I11" s="1337"/>
      <c r="J11" s="1337"/>
      <c r="K11" s="1337"/>
      <c r="L11" s="1337">
        <f>+G11+I11+K11</f>
        <v>0</v>
      </c>
      <c r="M11" s="1337"/>
    </row>
    <row r="12" spans="2:14" ht="20.25" customHeight="1" x14ac:dyDescent="0.2">
      <c r="B12" s="1334"/>
      <c r="C12" s="1338"/>
      <c r="D12" s="1339"/>
      <c r="E12" s="1340"/>
      <c r="F12" s="1340"/>
      <c r="G12" s="1340"/>
      <c r="H12" s="1340"/>
      <c r="I12" s="1340"/>
      <c r="J12" s="1340"/>
      <c r="K12" s="1340"/>
      <c r="L12" s="1337">
        <f t="shared" ref="L12:L27" si="0">+G12+I12+K12</f>
        <v>0</v>
      </c>
      <c r="M12" s="1340"/>
    </row>
    <row r="13" spans="2:14" ht="20.25" customHeight="1" x14ac:dyDescent="0.2">
      <c r="B13" s="1334"/>
      <c r="C13" s="1338"/>
      <c r="D13" s="1339"/>
      <c r="E13" s="1340"/>
      <c r="F13" s="1340"/>
      <c r="G13" s="1340"/>
      <c r="H13" s="1340"/>
      <c r="I13" s="1340"/>
      <c r="J13" s="1340"/>
      <c r="K13" s="1340"/>
      <c r="L13" s="1337">
        <f t="shared" si="0"/>
        <v>0</v>
      </c>
      <c r="M13" s="1340"/>
    </row>
    <row r="14" spans="2:14" ht="20.25" customHeight="1" x14ac:dyDescent="0.2">
      <c r="B14" s="1334"/>
      <c r="C14" s="1338"/>
      <c r="D14" s="1339"/>
      <c r="E14" s="1340"/>
      <c r="F14" s="1340"/>
      <c r="G14" s="1340"/>
      <c r="H14" s="1340"/>
      <c r="I14" s="1340"/>
      <c r="J14" s="1340"/>
      <c r="K14" s="1340"/>
      <c r="L14" s="1337">
        <f t="shared" si="0"/>
        <v>0</v>
      </c>
      <c r="M14" s="1340"/>
    </row>
    <row r="15" spans="2:14" ht="20.25" customHeight="1" x14ac:dyDescent="0.2">
      <c r="B15" s="1334" t="s">
        <v>1169</v>
      </c>
      <c r="C15" s="1338"/>
      <c r="D15" s="1339"/>
      <c r="E15" s="1340"/>
      <c r="F15" s="1340"/>
      <c r="G15" s="1340"/>
      <c r="H15" s="1340"/>
      <c r="I15" s="1340"/>
      <c r="J15" s="1340"/>
      <c r="K15" s="1340"/>
      <c r="L15" s="1337">
        <f t="shared" si="0"/>
        <v>0</v>
      </c>
      <c r="M15" s="1340"/>
    </row>
    <row r="16" spans="2:14" ht="20.25" customHeight="1" x14ac:dyDescent="0.2">
      <c r="B16" s="1334"/>
      <c r="C16" s="1338"/>
      <c r="D16" s="1339"/>
      <c r="E16" s="1340"/>
      <c r="F16" s="1340"/>
      <c r="G16" s="1340"/>
      <c r="H16" s="1340"/>
      <c r="I16" s="1340"/>
      <c r="J16" s="1340"/>
      <c r="K16" s="1340"/>
      <c r="L16" s="1337">
        <f t="shared" si="0"/>
        <v>0</v>
      </c>
      <c r="M16" s="1340"/>
    </row>
    <row r="17" spans="2:14" ht="20.25" customHeight="1" x14ac:dyDescent="0.2">
      <c r="B17" s="1334"/>
      <c r="C17" s="1338"/>
      <c r="D17" s="1339"/>
      <c r="E17" s="1340"/>
      <c r="F17" s="1340"/>
      <c r="G17" s="1340"/>
      <c r="H17" s="1340"/>
      <c r="I17" s="1340"/>
      <c r="J17" s="1340"/>
      <c r="K17" s="1340"/>
      <c r="L17" s="1337">
        <f t="shared" si="0"/>
        <v>0</v>
      </c>
      <c r="M17" s="1340"/>
    </row>
    <row r="18" spans="2:14" ht="20.25" customHeight="1" x14ac:dyDescent="0.2">
      <c r="B18" s="1334"/>
      <c r="C18" s="1338"/>
      <c r="D18" s="1339"/>
      <c r="E18" s="1340"/>
      <c r="F18" s="1340"/>
      <c r="G18" s="1340"/>
      <c r="H18" s="1340"/>
      <c r="I18" s="1340"/>
      <c r="J18" s="1340"/>
      <c r="K18" s="1340"/>
      <c r="L18" s="1337">
        <f t="shared" si="0"/>
        <v>0</v>
      </c>
      <c r="M18" s="1340"/>
    </row>
    <row r="19" spans="2:14" ht="20.25" customHeight="1" x14ac:dyDescent="0.2">
      <c r="B19" s="1334"/>
      <c r="C19" s="1338"/>
      <c r="D19" s="1339"/>
      <c r="E19" s="1340"/>
      <c r="F19" s="1340"/>
      <c r="G19" s="1340"/>
      <c r="H19" s="1340"/>
      <c r="I19" s="1340"/>
      <c r="J19" s="1340"/>
      <c r="K19" s="1340"/>
      <c r="L19" s="1337">
        <f t="shared" si="0"/>
        <v>0</v>
      </c>
      <c r="M19" s="1340"/>
    </row>
    <row r="20" spans="2:14" ht="20.25" customHeight="1" x14ac:dyDescent="0.2">
      <c r="B20" s="1334"/>
      <c r="C20" s="1338"/>
      <c r="D20" s="1339"/>
      <c r="E20" s="1340"/>
      <c r="F20" s="1340"/>
      <c r="G20" s="1340"/>
      <c r="H20" s="1340"/>
      <c r="I20" s="1340"/>
      <c r="J20" s="1340"/>
      <c r="K20" s="1340"/>
      <c r="L20" s="1337">
        <f t="shared" si="0"/>
        <v>0</v>
      </c>
      <c r="M20" s="1340"/>
    </row>
    <row r="21" spans="2:14" ht="20.25" customHeight="1" x14ac:dyDescent="0.2">
      <c r="B21" s="1334"/>
      <c r="C21" s="1338"/>
      <c r="D21" s="1339"/>
      <c r="E21" s="1340"/>
      <c r="F21" s="1340"/>
      <c r="G21" s="1340"/>
      <c r="H21" s="1340"/>
      <c r="I21" s="1340"/>
      <c r="J21" s="1340"/>
      <c r="K21" s="1340"/>
      <c r="L21" s="1337">
        <f t="shared" si="0"/>
        <v>0</v>
      </c>
      <c r="M21" s="1340"/>
    </row>
    <row r="22" spans="2:14" ht="20.25" customHeight="1" x14ac:dyDescent="0.2">
      <c r="B22" s="1334"/>
      <c r="C22" s="1338"/>
      <c r="D22" s="1339"/>
      <c r="E22" s="1340"/>
      <c r="F22" s="1340"/>
      <c r="G22" s="1340"/>
      <c r="H22" s="1340"/>
      <c r="I22" s="1340"/>
      <c r="J22" s="1340"/>
      <c r="K22" s="1340"/>
      <c r="L22" s="1337">
        <f t="shared" si="0"/>
        <v>0</v>
      </c>
      <c r="M22" s="1340"/>
    </row>
    <row r="23" spans="2:14" ht="20.25" customHeight="1" x14ac:dyDescent="0.2">
      <c r="B23" s="1334"/>
      <c r="C23" s="1338"/>
      <c r="D23" s="1339"/>
      <c r="E23" s="1340"/>
      <c r="F23" s="1340"/>
      <c r="G23" s="1340"/>
      <c r="H23" s="1340"/>
      <c r="I23" s="1340"/>
      <c r="J23" s="1340"/>
      <c r="K23" s="1340"/>
      <c r="L23" s="1337">
        <f t="shared" si="0"/>
        <v>0</v>
      </c>
      <c r="M23" s="1340"/>
    </row>
    <row r="24" spans="2:14" ht="20.25" customHeight="1" x14ac:dyDescent="0.2">
      <c r="B24" s="1334"/>
      <c r="C24" s="1338"/>
      <c r="D24" s="1339"/>
      <c r="E24" s="1340"/>
      <c r="F24" s="1340"/>
      <c r="G24" s="1340"/>
      <c r="H24" s="1340"/>
      <c r="I24" s="1340"/>
      <c r="J24" s="1340"/>
      <c r="K24" s="1340"/>
      <c r="L24" s="1337">
        <f t="shared" si="0"/>
        <v>0</v>
      </c>
      <c r="M24" s="1340"/>
    </row>
    <row r="25" spans="2:14" ht="20.25" customHeight="1" x14ac:dyDescent="0.2">
      <c r="B25" s="1334"/>
      <c r="C25" s="1338"/>
      <c r="D25" s="1339"/>
      <c r="E25" s="1340"/>
      <c r="F25" s="1340"/>
      <c r="G25" s="1340"/>
      <c r="H25" s="1340"/>
      <c r="I25" s="1340"/>
      <c r="J25" s="1340"/>
      <c r="K25" s="1340"/>
      <c r="L25" s="1337">
        <f t="shared" si="0"/>
        <v>0</v>
      </c>
      <c r="M25" s="1340"/>
    </row>
    <row r="26" spans="2:14" ht="20.25" customHeight="1" x14ac:dyDescent="0.2">
      <c r="B26" s="1334"/>
      <c r="C26" s="1338"/>
      <c r="D26" s="1339"/>
      <c r="E26" s="1340"/>
      <c r="F26" s="1340"/>
      <c r="G26" s="1340"/>
      <c r="H26" s="1340"/>
      <c r="I26" s="1340"/>
      <c r="J26" s="1340"/>
      <c r="K26" s="1340"/>
      <c r="L26" s="1337">
        <f t="shared" si="0"/>
        <v>0</v>
      </c>
      <c r="M26" s="1340"/>
    </row>
    <row r="27" spans="2:14" ht="20.25" customHeight="1" x14ac:dyDescent="0.2">
      <c r="B27" s="1334"/>
      <c r="C27" s="1338"/>
      <c r="D27" s="1339"/>
      <c r="E27" s="1340"/>
      <c r="F27" s="1340"/>
      <c r="G27" s="1340"/>
      <c r="H27" s="1340"/>
      <c r="I27" s="1340"/>
      <c r="J27" s="1340"/>
      <c r="K27" s="1340"/>
      <c r="L27" s="1337">
        <f t="shared" si="0"/>
        <v>0</v>
      </c>
      <c r="M27" s="1340"/>
      <c r="N27" s="1341"/>
    </row>
    <row r="28" spans="2:14" ht="13.1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1702</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1805</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1703</v>
      </c>
      <c r="C37" s="1362"/>
      <c r="D37" s="1362"/>
      <c r="E37" s="1362"/>
      <c r="F37" s="1362"/>
      <c r="G37" s="1362"/>
      <c r="H37" s="1362"/>
      <c r="I37" s="1363"/>
      <c r="J37" s="1363"/>
      <c r="K37" s="1363"/>
      <c r="L37" s="1363"/>
      <c r="M37" s="1363"/>
    </row>
    <row r="38" spans="2:13" ht="11.25" customHeight="1" x14ac:dyDescent="0.2">
      <c r="B38" s="1364" t="s">
        <v>1553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1704</v>
      </c>
      <c r="C40" s="1363"/>
      <c r="D40" s="1363"/>
      <c r="E40" s="1363"/>
      <c r="F40" s="1363"/>
      <c r="G40" s="1363"/>
      <c r="H40" s="1363"/>
      <c r="I40" s="1363"/>
      <c r="J40" s="1363"/>
      <c r="K40" s="1363"/>
      <c r="L40" s="1363"/>
      <c r="M40" s="1363"/>
    </row>
    <row r="41" spans="2:13" ht="11.25" customHeight="1" x14ac:dyDescent="0.2">
      <c r="B41" s="1297" t="s">
        <v>1554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1705</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1706</v>
      </c>
      <c r="C45" s="1365"/>
      <c r="D45" s="1366"/>
      <c r="E45" s="1297"/>
      <c r="F45" s="1297"/>
      <c r="G45" s="1297"/>
      <c r="H45" s="1297"/>
      <c r="I45" s="1297"/>
      <c r="J45" s="1297"/>
      <c r="K45" s="1367"/>
      <c r="L45" s="1367"/>
      <c r="M45" s="1297"/>
    </row>
    <row r="46" spans="2:13" ht="11.25" customHeight="1" x14ac:dyDescent="0.2">
      <c r="B46" s="1297" t="s">
        <v>1555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1"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X29" sqref="X29"/>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376" t="str">
        <f>'Single Audit Cover'!A7</f>
        <v>Dwight Common SD 232</v>
      </c>
      <c r="B1" s="2376"/>
      <c r="C1" s="2376"/>
      <c r="D1" s="2376"/>
      <c r="E1" s="2376"/>
      <c r="F1" s="2376"/>
    </row>
    <row r="2" spans="1:7" ht="13.5" customHeight="1" x14ac:dyDescent="0.2">
      <c r="A2" s="2372">
        <f>'Single Audit Cover'!E7</f>
        <v>17053232002</v>
      </c>
      <c r="B2" s="2372"/>
      <c r="C2" s="2372"/>
      <c r="D2" s="2372"/>
      <c r="E2" s="2372"/>
      <c r="F2" s="2372"/>
      <c r="G2" s="1272"/>
    </row>
    <row r="3" spans="1:7" ht="15.75" customHeight="1" x14ac:dyDescent="0.2">
      <c r="A3" s="2377" t="s">
        <v>1271</v>
      </c>
      <c r="B3" s="2377"/>
      <c r="C3" s="2377"/>
      <c r="D3" s="2377"/>
      <c r="E3" s="2377"/>
      <c r="F3" s="2377"/>
    </row>
    <row r="4" spans="1:7" ht="13.5" customHeight="1" x14ac:dyDescent="0.2">
      <c r="A4" s="2378" t="str">
        <f>'Single Audit Cover'!A4</f>
        <v>Year Ending June 30, 2019</v>
      </c>
      <c r="B4" s="2378"/>
      <c r="C4" s="2378"/>
      <c r="D4" s="2378"/>
      <c r="E4" s="2378"/>
      <c r="F4" s="2378"/>
    </row>
    <row r="5" spans="1:7" ht="8.25" customHeight="1" x14ac:dyDescent="0.2">
      <c r="C5" s="317"/>
      <c r="D5" s="317"/>
    </row>
    <row r="6" spans="1:7" ht="13.5" customHeight="1" x14ac:dyDescent="0.2">
      <c r="A6" s="1273" t="s">
        <v>1693</v>
      </c>
      <c r="C6" s="317"/>
      <c r="D6" s="317"/>
    </row>
    <row r="7" spans="1:7" ht="60.95" customHeight="1" x14ac:dyDescent="0.2">
      <c r="A7" s="2375" t="s">
        <v>1694</v>
      </c>
      <c r="B7" s="2375"/>
      <c r="C7" s="2375"/>
      <c r="D7" s="2375"/>
      <c r="E7" s="2375"/>
      <c r="F7" s="2375"/>
    </row>
    <row r="8" spans="1:7" ht="12" customHeight="1" x14ac:dyDescent="0.2">
      <c r="A8" s="1273"/>
      <c r="B8" s="1279"/>
      <c r="C8" s="1279"/>
      <c r="D8" s="1279"/>
    </row>
    <row r="9" spans="1:7" ht="15" customHeight="1" x14ac:dyDescent="0.2">
      <c r="A9" s="1274" t="s">
        <v>1695</v>
      </c>
      <c r="B9" s="1277"/>
      <c r="C9" s="1277"/>
      <c r="D9" s="1277"/>
      <c r="E9" s="1275"/>
      <c r="F9" s="1275"/>
      <c r="G9" s="1275"/>
    </row>
    <row r="10" spans="1:7" ht="15" customHeight="1" x14ac:dyDescent="0.2">
      <c r="A10" s="1276" t="s">
        <v>1516</v>
      </c>
      <c r="B10" s="1277"/>
      <c r="C10" s="1278"/>
      <c r="D10" s="1277" t="s">
        <v>1517</v>
      </c>
      <c r="E10" s="1278"/>
      <c r="F10" s="1277" t="s">
        <v>99</v>
      </c>
      <c r="G10" s="1275"/>
    </row>
    <row r="11" spans="1:7" ht="12" customHeight="1" x14ac:dyDescent="0.2">
      <c r="A11" s="1276"/>
      <c r="B11" s="1277"/>
      <c r="C11" s="1862"/>
      <c r="D11" s="1277"/>
      <c r="E11" s="1862"/>
      <c r="F11" s="1277"/>
      <c r="G11" s="1275"/>
    </row>
    <row r="12" spans="1:7" x14ac:dyDescent="0.2">
      <c r="A12" s="1273" t="s">
        <v>1556</v>
      </c>
      <c r="C12" s="1257"/>
      <c r="D12" s="1257"/>
    </row>
    <row r="13" spans="1:7" ht="15" customHeight="1" x14ac:dyDescent="0.2">
      <c r="A13" s="2375" t="s">
        <v>1696</v>
      </c>
      <c r="B13" s="2375"/>
      <c r="C13" s="2375"/>
      <c r="D13" s="2375"/>
      <c r="E13" s="2375"/>
      <c r="F13" s="2375"/>
    </row>
    <row r="14" spans="1:7" ht="9.75" customHeight="1" x14ac:dyDescent="0.2">
      <c r="C14" s="1257"/>
      <c r="D14" s="1257"/>
    </row>
    <row r="15" spans="1:7" ht="13.5" customHeight="1" x14ac:dyDescent="0.2">
      <c r="C15" s="1846" t="s">
        <v>1270</v>
      </c>
      <c r="D15" s="2380" t="s">
        <v>1269</v>
      </c>
      <c r="E15" s="2380"/>
      <c r="F15" s="2380"/>
    </row>
    <row r="16" spans="1:7" ht="13.5" customHeight="1" x14ac:dyDescent="0.2">
      <c r="A16" s="1279"/>
      <c r="B16" s="1273" t="s">
        <v>1268</v>
      </c>
      <c r="C16" s="1846" t="s">
        <v>1267</v>
      </c>
      <c r="D16" s="2381" t="s">
        <v>1557</v>
      </c>
      <c r="E16" s="2381"/>
      <c r="F16" s="2381"/>
    </row>
    <row r="17" spans="1:6" ht="20.45" customHeight="1" x14ac:dyDescent="0.2">
      <c r="A17" s="1280"/>
      <c r="B17" s="1281"/>
      <c r="C17" s="1282"/>
      <c r="D17" s="2379"/>
      <c r="E17" s="2379"/>
      <c r="F17" s="2379"/>
    </row>
    <row r="18" spans="1:6" ht="20.65" customHeight="1" x14ac:dyDescent="0.2">
      <c r="A18" s="1280"/>
      <c r="B18" s="1281"/>
      <c r="C18" s="1282"/>
      <c r="D18" s="2379"/>
      <c r="E18" s="2379"/>
      <c r="F18" s="2379"/>
    </row>
    <row r="19" spans="1:6" ht="20.65" customHeight="1" x14ac:dyDescent="0.2">
      <c r="A19" s="1280"/>
      <c r="B19" s="1281"/>
      <c r="C19" s="1282"/>
      <c r="D19" s="2379"/>
      <c r="E19" s="2379"/>
      <c r="F19" s="2379"/>
    </row>
    <row r="20" spans="1:6" ht="20.65" customHeight="1" x14ac:dyDescent="0.2">
      <c r="A20" s="1280"/>
      <c r="B20" s="1281"/>
      <c r="C20" s="1282"/>
      <c r="D20" s="2379"/>
      <c r="E20" s="2379"/>
      <c r="F20" s="2379"/>
    </row>
    <row r="21" spans="1:6" ht="20.65" customHeight="1" x14ac:dyDescent="0.2">
      <c r="A21" s="1280"/>
      <c r="B21" s="1281"/>
      <c r="C21" s="1282"/>
      <c r="D21" s="2379"/>
      <c r="E21" s="2379"/>
      <c r="F21" s="2379"/>
    </row>
    <row r="22" spans="1:6" ht="20.65" customHeight="1" x14ac:dyDescent="0.2">
      <c r="A22" s="1280"/>
      <c r="B22" s="1281"/>
      <c r="C22" s="1282"/>
      <c r="D22" s="2379"/>
      <c r="E22" s="2379"/>
      <c r="F22" s="2379"/>
    </row>
    <row r="23" spans="1:6" ht="20.65" customHeight="1" x14ac:dyDescent="0.2">
      <c r="A23" s="1280"/>
      <c r="B23" s="1281"/>
      <c r="C23" s="1282"/>
      <c r="D23" s="2379"/>
      <c r="E23" s="2379"/>
      <c r="F23" s="2379"/>
    </row>
    <row r="24" spans="1:6" ht="20.65" customHeight="1" x14ac:dyDescent="0.2">
      <c r="A24" s="1280"/>
      <c r="B24" s="1281"/>
      <c r="C24" s="1282"/>
      <c r="D24" s="2379"/>
      <c r="E24" s="2379"/>
      <c r="F24" s="2379"/>
    </row>
    <row r="25" spans="1:6" ht="20.65" customHeight="1" x14ac:dyDescent="0.2">
      <c r="A25" s="1280"/>
      <c r="B25" s="1281"/>
      <c r="C25" s="1282"/>
      <c r="D25" s="2379"/>
      <c r="E25" s="2379"/>
      <c r="F25" s="2379"/>
    </row>
    <row r="26" spans="1:6" ht="20.65" customHeight="1" x14ac:dyDescent="0.2">
      <c r="A26" s="1280"/>
      <c r="B26" s="1281"/>
      <c r="C26" s="1282"/>
      <c r="D26" s="2379"/>
      <c r="E26" s="2379"/>
      <c r="F26" s="2379"/>
    </row>
    <row r="27" spans="1:6" ht="20.65" customHeight="1" x14ac:dyDescent="0.2">
      <c r="A27" s="1280"/>
      <c r="B27" s="1281"/>
      <c r="C27" s="1282"/>
      <c r="D27" s="2379"/>
      <c r="E27" s="2379"/>
      <c r="F27" s="2379"/>
    </row>
    <row r="28" spans="1:6" ht="20.65" customHeight="1" x14ac:dyDescent="0.2">
      <c r="A28" s="1280"/>
      <c r="B28" s="1281"/>
      <c r="C28" s="1282"/>
      <c r="D28" s="2379"/>
      <c r="E28" s="2379"/>
      <c r="F28" s="2379"/>
    </row>
    <row r="29" spans="1:6" ht="20.65" customHeight="1" x14ac:dyDescent="0.2">
      <c r="A29" s="1280"/>
      <c r="B29" s="1281"/>
      <c r="C29" s="1282"/>
      <c r="D29" s="2379"/>
      <c r="E29" s="2379"/>
      <c r="F29" s="2379"/>
    </row>
    <row r="30" spans="1:6" ht="12" customHeight="1" x14ac:dyDescent="0.2">
      <c r="A30" s="328"/>
      <c r="B30" s="328"/>
      <c r="C30" s="1462"/>
      <c r="D30" s="1863"/>
      <c r="E30" s="1283"/>
    </row>
    <row r="31" spans="1:6" ht="12" customHeight="1" x14ac:dyDescent="0.2">
      <c r="A31" s="1284" t="s">
        <v>1518</v>
      </c>
      <c r="B31" s="328"/>
      <c r="C31" s="1462"/>
      <c r="D31" s="1863"/>
      <c r="E31" s="1283"/>
    </row>
    <row r="32" spans="1:6" ht="30" customHeight="1" x14ac:dyDescent="0.2">
      <c r="A32" s="2383" t="s">
        <v>1697</v>
      </c>
      <c r="B32" s="2383"/>
      <c r="C32" s="2383"/>
      <c r="D32" s="2383"/>
      <c r="E32" s="2383"/>
      <c r="F32" s="2383"/>
    </row>
    <row r="33" spans="1:6" ht="13.5" customHeight="1" x14ac:dyDescent="0.2">
      <c r="A33" s="328" t="s">
        <v>1420</v>
      </c>
      <c r="B33" s="328"/>
      <c r="C33" s="1285">
        <v>0</v>
      </c>
      <c r="D33" s="1863"/>
      <c r="E33" s="1283"/>
    </row>
    <row r="34" spans="1:6" ht="13.5" customHeight="1" x14ac:dyDescent="0.2">
      <c r="A34" s="328" t="s">
        <v>1803</v>
      </c>
      <c r="B34" s="328"/>
      <c r="C34" s="1286">
        <v>0</v>
      </c>
      <c r="D34" s="1863" t="s">
        <v>1558</v>
      </c>
      <c r="E34" s="2384">
        <f>+C33+C34</f>
        <v>0</v>
      </c>
      <c r="F34" s="2385"/>
    </row>
    <row r="35" spans="1:6" ht="12" customHeight="1" x14ac:dyDescent="0.2">
      <c r="A35" s="328"/>
      <c r="B35" s="328"/>
      <c r="C35" s="1864"/>
      <c r="D35" s="1863"/>
      <c r="E35" s="1287"/>
      <c r="F35" s="1288"/>
    </row>
    <row r="36" spans="1:6" ht="13.5" customHeight="1" x14ac:dyDescent="0.2">
      <c r="A36" s="1284" t="s">
        <v>1519</v>
      </c>
      <c r="B36" s="328"/>
      <c r="C36" s="1462"/>
      <c r="D36" s="1863"/>
      <c r="E36" s="1283"/>
    </row>
    <row r="37" spans="1:6" ht="14.25" customHeight="1" x14ac:dyDescent="0.2">
      <c r="A37" s="328" t="s">
        <v>1470</v>
      </c>
      <c r="B37" s="328"/>
      <c r="C37" s="1865"/>
      <c r="D37" s="1863"/>
      <c r="E37" s="1283"/>
    </row>
    <row r="38" spans="1:6" ht="14.25" customHeight="1" x14ac:dyDescent="0.2">
      <c r="A38" s="328"/>
      <c r="B38" s="328" t="s">
        <v>1421</v>
      </c>
      <c r="C38" s="1289"/>
      <c r="D38" s="1863"/>
      <c r="E38" s="1283"/>
    </row>
    <row r="39" spans="1:6" ht="14.25" customHeight="1" x14ac:dyDescent="0.2">
      <c r="A39" s="328"/>
      <c r="B39" s="328" t="s">
        <v>1422</v>
      </c>
      <c r="C39" s="1289"/>
      <c r="D39" s="1863"/>
      <c r="E39" s="1283"/>
    </row>
    <row r="40" spans="1:6" ht="14.25" customHeight="1" x14ac:dyDescent="0.2">
      <c r="A40" s="328"/>
      <c r="B40" s="328" t="s">
        <v>1423</v>
      </c>
      <c r="C40" s="1289"/>
      <c r="D40" s="1863"/>
      <c r="E40" s="1283"/>
    </row>
    <row r="41" spans="1:6" ht="14.25" customHeight="1" x14ac:dyDescent="0.2">
      <c r="A41" s="328"/>
      <c r="B41" s="328" t="s">
        <v>1424</v>
      </c>
      <c r="C41" s="1289"/>
      <c r="D41" s="1863"/>
      <c r="E41" s="1283"/>
    </row>
    <row r="42" spans="1:6" ht="14.25" customHeight="1" x14ac:dyDescent="0.2">
      <c r="A42" s="328" t="s">
        <v>1425</v>
      </c>
      <c r="B42" s="328"/>
      <c r="C42" s="1861"/>
      <c r="D42" s="1863"/>
      <c r="E42" s="1283"/>
    </row>
    <row r="43" spans="1:6" ht="14.25" customHeight="1" x14ac:dyDescent="0.2">
      <c r="A43" s="328" t="s">
        <v>1426</v>
      </c>
      <c r="B43" s="328"/>
      <c r="C43" s="1290"/>
      <c r="D43" s="1863"/>
      <c r="E43" s="1283"/>
    </row>
    <row r="44" spans="1:6" ht="14.25" customHeight="1" x14ac:dyDescent="0.2">
      <c r="A44" s="328"/>
      <c r="B44" s="328"/>
      <c r="C44" s="1865" t="s">
        <v>1427</v>
      </c>
      <c r="D44" s="1863"/>
      <c r="E44" s="1283"/>
    </row>
    <row r="45" spans="1:6" ht="13.5" customHeight="1" x14ac:dyDescent="0.2">
      <c r="B45" s="322"/>
      <c r="C45" s="1291"/>
      <c r="D45" s="1291"/>
    </row>
    <row r="46" spans="1:6" x14ac:dyDescent="0.2">
      <c r="A46" s="1292" t="s">
        <v>1698</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386" t="s">
        <v>1559</v>
      </c>
      <c r="C49" s="2386"/>
      <c r="D49" s="2386"/>
      <c r="E49" s="1396"/>
    </row>
    <row r="50" spans="1:5" s="1297" customFormat="1" ht="3.75" customHeight="1" x14ac:dyDescent="0.2">
      <c r="A50" s="1296"/>
      <c r="B50" s="1845"/>
      <c r="C50" s="1845"/>
      <c r="D50" s="1845"/>
      <c r="E50" s="1396"/>
    </row>
    <row r="51" spans="1:5" s="1297" customFormat="1" ht="20.25" customHeight="1" x14ac:dyDescent="0.2">
      <c r="A51" s="1298">
        <v>6</v>
      </c>
      <c r="B51" s="2382" t="s">
        <v>1520</v>
      </c>
      <c r="C51" s="2382"/>
      <c r="D51" s="2382"/>
    </row>
    <row r="52" spans="1:5" ht="14.25" customHeight="1" x14ac:dyDescent="0.2">
      <c r="A52" s="1298"/>
      <c r="B52" s="2382"/>
      <c r="C52" s="2382"/>
      <c r="D52" s="238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topLeftCell="A28" zoomScale="110" zoomScaleNormal="110" workbookViewId="0">
      <selection activeCell="X29" sqref="X29"/>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3.15" customHeight="1" x14ac:dyDescent="0.2">
      <c r="B1" s="2391" t="str">
        <f>'Single Audit Cover'!A7</f>
        <v>Dwight Common SD 232</v>
      </c>
      <c r="C1" s="2392"/>
      <c r="D1" s="2392"/>
      <c r="E1" s="2392"/>
      <c r="F1" s="2392"/>
      <c r="G1" s="2392"/>
      <c r="H1" s="2392"/>
      <c r="I1" s="2392"/>
      <c r="J1" s="1406"/>
    </row>
    <row r="2" spans="2:10" s="317" customFormat="1" ht="13.15" customHeight="1" x14ac:dyDescent="0.2">
      <c r="B2" s="2393">
        <f>'Single Audit Cover'!E7</f>
        <v>17053232002</v>
      </c>
      <c r="C2" s="2394"/>
      <c r="D2" s="2394"/>
      <c r="E2" s="2394"/>
      <c r="F2" s="2394"/>
      <c r="G2" s="2394"/>
      <c r="H2" s="2394"/>
      <c r="I2" s="2394"/>
      <c r="J2" s="1406"/>
    </row>
    <row r="3" spans="2:10" s="317" customFormat="1" ht="13.15" customHeight="1" x14ac:dyDescent="0.2">
      <c r="B3" s="2395" t="s">
        <v>1285</v>
      </c>
      <c r="C3" s="2396"/>
      <c r="D3" s="2396"/>
      <c r="E3" s="2396"/>
      <c r="F3" s="2396"/>
      <c r="G3" s="2396"/>
      <c r="H3" s="2396"/>
      <c r="I3" s="2396"/>
      <c r="J3" s="1407"/>
    </row>
    <row r="4" spans="2:10" s="317" customFormat="1" ht="13.15" customHeight="1" x14ac:dyDescent="0.2">
      <c r="B4" s="2395" t="str">
        <f>'Single Audit Cover'!A4</f>
        <v>Year Ending June 30, 2019</v>
      </c>
      <c r="C4" s="2396"/>
      <c r="D4" s="2396"/>
      <c r="E4" s="2396"/>
      <c r="F4" s="2396"/>
      <c r="G4" s="2396"/>
      <c r="H4" s="2396"/>
      <c r="I4" s="2396"/>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395" t="s">
        <v>1284</v>
      </c>
      <c r="C7" s="2396"/>
      <c r="D7" s="2396"/>
      <c r="E7" s="2396"/>
      <c r="F7" s="2396"/>
      <c r="G7" s="2396"/>
      <c r="H7" s="2396"/>
      <c r="I7" s="2396"/>
    </row>
    <row r="8" spans="2:10" s="317" customFormat="1" ht="6.2" customHeight="1" x14ac:dyDescent="0.2">
      <c r="B8" s="1410" t="s">
        <v>1169</v>
      </c>
      <c r="C8" s="1411"/>
      <c r="D8" s="1411"/>
      <c r="E8" s="1412"/>
      <c r="F8" s="1411"/>
      <c r="G8" s="1411"/>
      <c r="H8" s="1411"/>
      <c r="I8" s="1411"/>
    </row>
    <row r="9" spans="2:10" s="317" customFormat="1" ht="9.4" customHeight="1" x14ac:dyDescent="0.2">
      <c r="B9" s="1413"/>
      <c r="C9" s="322"/>
      <c r="D9" s="322"/>
      <c r="E9" s="1380"/>
      <c r="F9" s="322"/>
      <c r="G9" s="322"/>
      <c r="H9" s="322"/>
      <c r="I9" s="322"/>
    </row>
    <row r="10" spans="2:10" s="317" customFormat="1" ht="13.15" customHeight="1" x14ac:dyDescent="0.2">
      <c r="B10" s="1414" t="s">
        <v>1283</v>
      </c>
      <c r="C10" s="1415"/>
      <c r="D10" s="1415"/>
      <c r="E10" s="1255"/>
    </row>
    <row r="11" spans="2:10" s="317" customFormat="1" ht="13.5" customHeight="1" x14ac:dyDescent="0.2">
      <c r="B11" s="1346" t="s">
        <v>1282</v>
      </c>
      <c r="C11" s="2397"/>
      <c r="D11" s="2397"/>
      <c r="E11" s="1416"/>
      <c r="F11" s="1416"/>
      <c r="G11" s="1416"/>
    </row>
    <row r="12" spans="2:10" s="317" customFormat="1" ht="11.45" customHeight="1" x14ac:dyDescent="0.2">
      <c r="B12" s="1354"/>
      <c r="C12" s="1417" t="s">
        <v>1428</v>
      </c>
      <c r="D12" s="1418"/>
      <c r="E12" s="1255"/>
    </row>
    <row r="13" spans="2:10" s="317" customFormat="1" ht="13.15" customHeight="1" x14ac:dyDescent="0.2">
      <c r="B13" s="1419"/>
      <c r="C13" s="1384"/>
      <c r="D13" s="1384"/>
      <c r="E13" s="1255"/>
    </row>
    <row r="14" spans="2:10" s="317" customFormat="1" ht="13.1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3.15" customHeight="1" x14ac:dyDescent="0.2">
      <c r="B18" s="1420" t="s">
        <v>1429</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1560</v>
      </c>
      <c r="C20" s="1421"/>
      <c r="D20" s="1395"/>
      <c r="E20" s="1422"/>
      <c r="F20" s="1297" t="s">
        <v>885</v>
      </c>
      <c r="G20" s="1422"/>
      <c r="H20" s="1297" t="s">
        <v>99</v>
      </c>
      <c r="I20" s="1297"/>
    </row>
    <row r="21" spans="2:9" s="317" customFormat="1" ht="13.15" customHeight="1" x14ac:dyDescent="0.2">
      <c r="B21" s="1365"/>
      <c r="C21" s="1279"/>
      <c r="E21" s="1380"/>
      <c r="F21" s="1297"/>
      <c r="G21" s="322"/>
      <c r="H21" s="1297"/>
      <c r="I21" s="1297"/>
    </row>
    <row r="22" spans="2:9" s="317" customFormat="1" ht="13.15" customHeight="1" x14ac:dyDescent="0.2">
      <c r="B22" s="1414" t="s">
        <v>1280</v>
      </c>
      <c r="C22" s="1424"/>
      <c r="D22" s="1415"/>
      <c r="E22" s="1380"/>
      <c r="F22" s="1297"/>
      <c r="G22" s="322"/>
      <c r="H22" s="1297"/>
      <c r="I22" s="1297"/>
    </row>
    <row r="23" spans="2:9" s="317" customFormat="1" ht="13.1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3.15" customHeight="1" x14ac:dyDescent="0.2">
      <c r="B27" s="1420" t="s">
        <v>1429</v>
      </c>
      <c r="C27" s="1421"/>
      <c r="D27" s="1395"/>
      <c r="E27" s="1422"/>
      <c r="F27" s="1297" t="s">
        <v>885</v>
      </c>
      <c r="G27" s="1422"/>
      <c r="H27" s="1297" t="s">
        <v>1276</v>
      </c>
      <c r="I27" s="1297"/>
    </row>
    <row r="28" spans="2:9" s="317" customFormat="1" ht="13.15" customHeight="1" x14ac:dyDescent="0.2">
      <c r="B28" s="1365"/>
      <c r="C28" s="1279"/>
      <c r="E28" s="1255"/>
    </row>
    <row r="29" spans="2:9" s="317" customFormat="1" ht="13.15" customHeight="1" x14ac:dyDescent="0.2">
      <c r="B29" s="1365" t="s">
        <v>1275</v>
      </c>
      <c r="C29" s="1279"/>
      <c r="D29" s="2398"/>
      <c r="E29" s="2398"/>
      <c r="F29" s="2398"/>
      <c r="G29" s="2398"/>
      <c r="H29" s="2398"/>
      <c r="I29" s="2398"/>
    </row>
    <row r="30" spans="2:9" s="317" customFormat="1" x14ac:dyDescent="0.2">
      <c r="B30" s="1365"/>
      <c r="C30" s="322"/>
      <c r="D30" s="1417" t="s">
        <v>1713</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1521</v>
      </c>
      <c r="C33" s="1279"/>
      <c r="E33" s="1422"/>
      <c r="F33" s="1297" t="s">
        <v>885</v>
      </c>
      <c r="G33" s="1422"/>
      <c r="H33" s="1297" t="s">
        <v>99</v>
      </c>
    </row>
    <row r="35" spans="2:9" x14ac:dyDescent="0.2">
      <c r="B35" s="1425" t="s">
        <v>1714</v>
      </c>
      <c r="C35" s="1426"/>
      <c r="D35" s="1264"/>
    </row>
    <row r="36" spans="2:9" ht="6" customHeight="1" x14ac:dyDescent="0.2">
      <c r="B36" s="1425"/>
      <c r="C36" s="1426"/>
      <c r="D36" s="1264"/>
    </row>
    <row r="37" spans="2:9" ht="17.25" customHeight="1" x14ac:dyDescent="0.2">
      <c r="B37" s="1427" t="s">
        <v>1715</v>
      </c>
      <c r="C37" s="2399" t="s">
        <v>1716</v>
      </c>
      <c r="D37" s="2400"/>
      <c r="E37" s="2400"/>
      <c r="F37" s="2401"/>
      <c r="G37" s="2399" t="s">
        <v>1561</v>
      </c>
      <c r="H37" s="2400"/>
      <c r="I37" s="2401"/>
    </row>
    <row r="38" spans="2:9" ht="16.7" customHeight="1" x14ac:dyDescent="0.2">
      <c r="B38" s="1428"/>
      <c r="C38" s="2387"/>
      <c r="D38" s="2388"/>
      <c r="E38" s="2388"/>
      <c r="F38" s="2389"/>
      <c r="G38" s="2402"/>
      <c r="H38" s="2403"/>
      <c r="I38" s="2404"/>
    </row>
    <row r="39" spans="2:9" ht="16.7" customHeight="1" x14ac:dyDescent="0.2">
      <c r="B39" s="1428"/>
      <c r="C39" s="2387"/>
      <c r="D39" s="2388"/>
      <c r="E39" s="2388"/>
      <c r="F39" s="2389"/>
      <c r="G39" s="2390"/>
      <c r="H39" s="2390"/>
      <c r="I39" s="2390"/>
    </row>
    <row r="40" spans="2:9" ht="16.7" customHeight="1" x14ac:dyDescent="0.2">
      <c r="B40" s="1428"/>
      <c r="C40" s="2387"/>
      <c r="D40" s="2388"/>
      <c r="E40" s="2388"/>
      <c r="F40" s="2389"/>
      <c r="G40" s="2390"/>
      <c r="H40" s="2390"/>
      <c r="I40" s="2390"/>
    </row>
    <row r="41" spans="2:9" ht="16.7" customHeight="1" x14ac:dyDescent="0.2">
      <c r="B41" s="1428"/>
      <c r="C41" s="2387"/>
      <c r="D41" s="2388"/>
      <c r="E41" s="2388"/>
      <c r="F41" s="2389"/>
      <c r="G41" s="2390"/>
      <c r="H41" s="2390"/>
      <c r="I41" s="2390"/>
    </row>
    <row r="42" spans="2:9" ht="16.7" customHeight="1" x14ac:dyDescent="0.2">
      <c r="B42" s="1428"/>
      <c r="C42" s="2387"/>
      <c r="D42" s="2388"/>
      <c r="E42" s="2388"/>
      <c r="F42" s="2389"/>
      <c r="G42" s="2390"/>
      <c r="H42" s="2390"/>
      <c r="I42" s="2390"/>
    </row>
    <row r="43" spans="2:9" ht="16.7" customHeight="1" x14ac:dyDescent="0.2">
      <c r="B43" s="1428"/>
      <c r="C43" s="2405" t="s">
        <v>1562</v>
      </c>
      <c r="D43" s="2406"/>
      <c r="E43" s="2406"/>
      <c r="F43" s="2407"/>
      <c r="G43" s="2408">
        <f>SUM(G38:I42)</f>
        <v>0</v>
      </c>
      <c r="H43" s="2408"/>
      <c r="I43" s="2408"/>
    </row>
    <row r="44" spans="2:9" ht="13.15" customHeight="1" x14ac:dyDescent="0.2"/>
    <row r="45" spans="2:9" ht="13.15" customHeight="1" x14ac:dyDescent="0.2">
      <c r="B45" s="1419" t="s">
        <v>1806</v>
      </c>
      <c r="D45" s="2409">
        <v>0</v>
      </c>
      <c r="E45" s="2410"/>
    </row>
    <row r="46" spans="2:9" ht="5.25" customHeight="1" x14ac:dyDescent="0.2">
      <c r="B46" s="1429"/>
      <c r="D46" s="1430"/>
      <c r="E46" s="1431"/>
    </row>
    <row r="47" spans="2:9" ht="13.15" customHeight="1" x14ac:dyDescent="0.2">
      <c r="B47" s="1297" t="s">
        <v>1563</v>
      </c>
      <c r="C47" s="1297"/>
      <c r="D47" s="1432" t="e">
        <f>+G43/D45</f>
        <v>#DIV/0!</v>
      </c>
      <c r="E47" s="1433"/>
      <c r="F47" s="1434"/>
      <c r="I47" s="1435"/>
    </row>
    <row r="48" spans="2:9" ht="9.9499999999999993" customHeight="1" x14ac:dyDescent="0.2"/>
    <row r="49" spans="1:9" x14ac:dyDescent="0.2">
      <c r="B49" s="1365" t="s">
        <v>1273</v>
      </c>
      <c r="C49" s="1279"/>
      <c r="D49" s="1279"/>
      <c r="E49" s="2411"/>
      <c r="F49" s="2411"/>
      <c r="G49" s="2411"/>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1717</v>
      </c>
      <c r="C54" s="1444"/>
      <c r="D54" s="1444"/>
    </row>
    <row r="55" spans="1:9" s="1445" customFormat="1" ht="13.15" customHeight="1" x14ac:dyDescent="0.2">
      <c r="A55" s="1442"/>
      <c r="B55" s="1446" t="s">
        <v>1564</v>
      </c>
      <c r="C55" s="1442"/>
      <c r="D55" s="1442"/>
    </row>
    <row r="56" spans="1:9" s="1445" customFormat="1" ht="13.15" customHeight="1" x14ac:dyDescent="0.2">
      <c r="A56" s="1442"/>
      <c r="B56" s="1446" t="s">
        <v>1565</v>
      </c>
      <c r="C56" s="1442"/>
      <c r="D56" s="1442"/>
    </row>
    <row r="57" spans="1:9" s="1445" customFormat="1" ht="3.95" customHeight="1" x14ac:dyDescent="0.2">
      <c r="A57" s="1442"/>
      <c r="B57" s="1446"/>
      <c r="C57" s="1442"/>
      <c r="D57" s="1442"/>
    </row>
    <row r="58" spans="1:9" s="1445" customFormat="1" ht="13.5" customHeight="1" x14ac:dyDescent="0.2">
      <c r="A58" s="1442"/>
      <c r="B58" s="1447" t="s">
        <v>1718</v>
      </c>
      <c r="C58" s="1448"/>
      <c r="D58" s="1448"/>
    </row>
    <row r="59" spans="1:9" s="1445" customFormat="1" ht="3.95" customHeight="1" x14ac:dyDescent="0.2">
      <c r="A59" s="1442"/>
      <c r="B59" s="1447"/>
      <c r="C59" s="1448"/>
      <c r="D59" s="1448"/>
    </row>
    <row r="60" spans="1:9" s="1445" customFormat="1" ht="13.5" customHeight="1" x14ac:dyDescent="0.2">
      <c r="A60" s="1442"/>
      <c r="B60" s="1447" t="s">
        <v>1719</v>
      </c>
      <c r="C60" s="1448"/>
      <c r="D60" s="1448"/>
    </row>
    <row r="61" spans="1:9" s="1445" customFormat="1" ht="3.95" customHeight="1" x14ac:dyDescent="0.2">
      <c r="A61" s="1442"/>
      <c r="B61" s="1447"/>
      <c r="C61" s="1448"/>
      <c r="D61" s="1448"/>
    </row>
    <row r="62" spans="1:9" s="1445" customFormat="1" ht="13.15" customHeight="1" x14ac:dyDescent="0.2">
      <c r="A62" s="1442"/>
      <c r="B62" s="1447" t="s">
        <v>1720</v>
      </c>
      <c r="C62" s="1448"/>
      <c r="D62" s="1448"/>
    </row>
    <row r="63" spans="1:9" s="1445" customFormat="1" ht="13.5" customHeight="1" x14ac:dyDescent="0.2">
      <c r="A63" s="1442"/>
      <c r="B63" s="1446" t="s">
        <v>1566</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7"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X29" sqref="X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391" t="str">
        <f>'Single Audit Cover'!A7</f>
        <v>Dwight Common SD 232</v>
      </c>
      <c r="C1" s="2391"/>
      <c r="D1" s="2391"/>
      <c r="E1" s="2391"/>
      <c r="F1" s="2391"/>
      <c r="G1" s="2391"/>
      <c r="H1" s="2391"/>
      <c r="I1" s="2391"/>
      <c r="J1" s="2391"/>
      <c r="K1" s="2391"/>
      <c r="L1" s="1371"/>
      <c r="M1" s="1371"/>
    </row>
    <row r="2" spans="1:13" ht="12" customHeight="1" x14ac:dyDescent="0.2">
      <c r="B2" s="2393">
        <f>'Single Audit Cover'!E7</f>
        <v>17053232002</v>
      </c>
      <c r="C2" s="2393"/>
      <c r="D2" s="2393"/>
      <c r="E2" s="2393"/>
      <c r="F2" s="2393"/>
      <c r="G2" s="2393"/>
      <c r="H2" s="2393"/>
      <c r="I2" s="2393"/>
      <c r="J2" s="2393"/>
      <c r="K2" s="2393"/>
      <c r="L2" s="1372"/>
      <c r="M2" s="1373"/>
    </row>
    <row r="3" spans="1:13" ht="10.35" customHeight="1" x14ac:dyDescent="0.2">
      <c r="B3" s="2414" t="s">
        <v>1285</v>
      </c>
      <c r="C3" s="2414"/>
      <c r="D3" s="2414"/>
      <c r="E3" s="2414"/>
      <c r="F3" s="2414"/>
      <c r="G3" s="2414"/>
      <c r="H3" s="2414"/>
      <c r="I3" s="2414"/>
      <c r="J3" s="2414"/>
      <c r="K3" s="2414"/>
      <c r="L3" s="1374"/>
      <c r="M3" s="1374"/>
    </row>
    <row r="4" spans="1:13" ht="14.25" customHeight="1" x14ac:dyDescent="0.2">
      <c r="B4" s="2415" t="str">
        <f>'Single Audit Cover'!A4</f>
        <v>Year Ending June 30, 2019</v>
      </c>
      <c r="C4" s="2415"/>
      <c r="D4" s="2415"/>
      <c r="E4" s="2415"/>
      <c r="F4" s="2415"/>
      <c r="G4" s="2415"/>
      <c r="H4" s="2415"/>
      <c r="I4" s="2415"/>
      <c r="J4" s="2415"/>
      <c r="K4" s="241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3.15" customHeight="1" x14ac:dyDescent="0.2">
      <c r="A7" s="1279"/>
      <c r="B7" s="2415" t="s">
        <v>1296</v>
      </c>
      <c r="C7" s="2415"/>
      <c r="D7" s="2416"/>
      <c r="E7" s="2416"/>
      <c r="F7" s="2416"/>
      <c r="G7" s="2416"/>
      <c r="H7" s="2416"/>
      <c r="I7" s="2416"/>
      <c r="J7" s="2416"/>
      <c r="K7" s="241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7" customHeight="1" x14ac:dyDescent="0.2">
      <c r="B10" s="1381" t="s">
        <v>1707</v>
      </c>
      <c r="C10" s="1382" t="s">
        <v>1953</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13"/>
      <c r="C14" s="2413"/>
      <c r="D14" s="2413"/>
      <c r="E14" s="2413"/>
      <c r="F14" s="2413"/>
      <c r="G14" s="2413"/>
      <c r="H14" s="2413"/>
      <c r="I14" s="2413"/>
      <c r="J14" s="2413"/>
      <c r="K14" s="241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13"/>
      <c r="C17" s="2413"/>
      <c r="D17" s="2413"/>
      <c r="E17" s="2413"/>
      <c r="F17" s="2413"/>
      <c r="G17" s="2413"/>
      <c r="H17" s="2413"/>
      <c r="I17" s="2413"/>
      <c r="J17" s="2413"/>
      <c r="K17" s="2413"/>
      <c r="L17" s="1378"/>
    </row>
    <row r="18" spans="2:12" ht="4.5" customHeight="1" x14ac:dyDescent="0.2">
      <c r="B18" s="1395"/>
      <c r="C18" s="1395"/>
      <c r="L18" s="1378"/>
    </row>
    <row r="19" spans="2:12" s="1279" customFormat="1" ht="13.5" customHeight="1" x14ac:dyDescent="0.2">
      <c r="B19" s="1390" t="s">
        <v>1708</v>
      </c>
      <c r="C19" s="1390"/>
      <c r="D19" s="1391"/>
      <c r="E19" s="1391"/>
      <c r="F19" s="1391"/>
      <c r="G19" s="1392"/>
      <c r="H19" s="1391"/>
      <c r="I19" s="1392"/>
      <c r="J19" s="1391"/>
      <c r="K19" s="1391"/>
      <c r="L19" s="1393"/>
    </row>
    <row r="20" spans="2:12" ht="45.75" customHeight="1" x14ac:dyDescent="0.2">
      <c r="B20" s="2417"/>
      <c r="C20" s="2417"/>
      <c r="D20" s="2413"/>
      <c r="E20" s="2413"/>
      <c r="F20" s="2413"/>
      <c r="G20" s="2413"/>
      <c r="H20" s="2413"/>
      <c r="I20" s="2413"/>
      <c r="J20" s="2413"/>
      <c r="K20" s="241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4" customHeight="1" x14ac:dyDescent="0.2">
      <c r="B23" s="2413"/>
      <c r="C23" s="2413"/>
      <c r="D23" s="2413"/>
      <c r="E23" s="2413"/>
      <c r="F23" s="2413"/>
      <c r="G23" s="2413"/>
      <c r="H23" s="2413"/>
      <c r="I23" s="2413"/>
      <c r="J23" s="2413"/>
      <c r="K23" s="241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13"/>
      <c r="C26" s="2413"/>
      <c r="D26" s="2413"/>
      <c r="E26" s="2413"/>
      <c r="F26" s="2413"/>
      <c r="G26" s="2413"/>
      <c r="H26" s="2413"/>
      <c r="I26" s="2413"/>
      <c r="J26" s="2413"/>
      <c r="K26" s="241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12"/>
      <c r="C29" s="2412"/>
      <c r="D29" s="2413"/>
      <c r="E29" s="2413"/>
      <c r="F29" s="2413"/>
      <c r="G29" s="2413"/>
      <c r="H29" s="2413"/>
      <c r="I29" s="2413"/>
      <c r="J29" s="2413"/>
      <c r="K29" s="241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1709</v>
      </c>
      <c r="C31" s="1400"/>
      <c r="D31" s="1375"/>
      <c r="E31" s="1376"/>
      <c r="F31" s="1376"/>
      <c r="G31" s="1377"/>
      <c r="H31" s="1376"/>
      <c r="I31" s="1377"/>
      <c r="J31" s="1376"/>
      <c r="K31" s="1376"/>
      <c r="L31" s="1378"/>
    </row>
    <row r="32" spans="2:12" s="322" customFormat="1" ht="44.25" customHeight="1" x14ac:dyDescent="0.2">
      <c r="B32" s="2412"/>
      <c r="C32" s="2412"/>
      <c r="D32" s="2413"/>
      <c r="E32" s="2413"/>
      <c r="F32" s="2413"/>
      <c r="G32" s="2413"/>
      <c r="H32" s="2413"/>
      <c r="I32" s="2413"/>
      <c r="J32" s="2413"/>
      <c r="K32" s="241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1710</v>
      </c>
      <c r="C35" s="1403"/>
      <c r="D35" s="322"/>
      <c r="E35" s="322"/>
      <c r="F35" s="322"/>
      <c r="L35" s="1378"/>
    </row>
    <row r="36" spans="1:13" ht="9.6" customHeight="1" x14ac:dyDescent="0.2">
      <c r="B36" s="1297" t="s">
        <v>1807</v>
      </c>
      <c r="C36" s="1297"/>
      <c r="L36" s="1378"/>
    </row>
    <row r="37" spans="1:13" ht="9.6" customHeight="1" x14ac:dyDescent="0.2">
      <c r="B37" s="1297" t="s">
        <v>1808</v>
      </c>
      <c r="C37" s="1297"/>
    </row>
    <row r="38" spans="1:13" ht="11.85" customHeight="1" x14ac:dyDescent="0.2">
      <c r="B38" s="1404" t="s">
        <v>1711</v>
      </c>
      <c r="C38" s="1404"/>
    </row>
    <row r="39" spans="1:13" ht="9.6" customHeight="1" x14ac:dyDescent="0.2">
      <c r="B39" s="1297" t="s">
        <v>1286</v>
      </c>
      <c r="C39" s="1297"/>
      <c r="M39" s="1405"/>
    </row>
    <row r="40" spans="1:13" ht="12.95" customHeight="1" x14ac:dyDescent="0.2">
      <c r="B40" s="1404" t="s">
        <v>1712</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X29" sqref="X2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3.15" customHeight="1" x14ac:dyDescent="0.2">
      <c r="B1" s="2418" t="str">
        <f>'Single Audit Cover'!A7</f>
        <v>Dwight Common SD 232</v>
      </c>
      <c r="C1" s="2418"/>
      <c r="D1" s="2418"/>
      <c r="E1" s="2418"/>
      <c r="F1" s="2418"/>
      <c r="G1" s="2418"/>
      <c r="H1" s="2418"/>
      <c r="I1" s="2418"/>
      <c r="J1" s="2418"/>
      <c r="K1" s="2418"/>
      <c r="L1" s="1449"/>
    </row>
    <row r="2" spans="1:12" ht="13.15" customHeight="1" x14ac:dyDescent="0.2">
      <c r="B2" s="2419">
        <f>'Single Audit Cover'!E7</f>
        <v>17053232002</v>
      </c>
      <c r="C2" s="2419"/>
      <c r="D2" s="2419"/>
      <c r="E2" s="2419"/>
      <c r="F2" s="2419"/>
      <c r="G2" s="2419"/>
      <c r="H2" s="2419"/>
      <c r="I2" s="2419"/>
      <c r="J2" s="2419"/>
      <c r="K2" s="2419"/>
      <c r="L2" s="1450"/>
    </row>
    <row r="3" spans="1:12" ht="13.15" customHeight="1" x14ac:dyDescent="0.2">
      <c r="B3" s="2414" t="s">
        <v>1285</v>
      </c>
      <c r="C3" s="2414"/>
      <c r="D3" s="2414"/>
      <c r="E3" s="2414"/>
      <c r="F3" s="2414"/>
      <c r="G3" s="2414"/>
      <c r="H3" s="2414"/>
      <c r="I3" s="2414"/>
      <c r="J3" s="2414"/>
      <c r="K3" s="2414"/>
      <c r="L3" s="1374"/>
    </row>
    <row r="4" spans="1:12" ht="13.15" customHeight="1" x14ac:dyDescent="0.2">
      <c r="B4" s="2414" t="str">
        <f>'Single Audit Cover'!A4</f>
        <v>Year Ending June 30, 2019</v>
      </c>
      <c r="C4" s="2414"/>
      <c r="D4" s="2414"/>
      <c r="E4" s="2414"/>
      <c r="F4" s="2414"/>
      <c r="G4" s="2414"/>
      <c r="H4" s="2414"/>
      <c r="I4" s="2414"/>
      <c r="J4" s="2414"/>
      <c r="K4" s="2414"/>
      <c r="L4" s="1374"/>
    </row>
    <row r="5" spans="1:12" ht="5.25" customHeight="1" x14ac:dyDescent="0.2">
      <c r="B5" s="1257" t="s">
        <v>1169</v>
      </c>
      <c r="C5" s="1257"/>
      <c r="L5" s="322"/>
    </row>
    <row r="6" spans="1:12" ht="31.15" customHeight="1" x14ac:dyDescent="0.2">
      <c r="A6" s="322"/>
      <c r="B6" s="2420" t="s">
        <v>1308</v>
      </c>
      <c r="C6" s="2420"/>
      <c r="D6" s="2420"/>
      <c r="E6" s="2420"/>
      <c r="F6" s="2420"/>
      <c r="G6" s="2420"/>
      <c r="H6" s="2420"/>
      <c r="I6" s="2420"/>
      <c r="J6" s="2420"/>
      <c r="K6" s="2420"/>
      <c r="L6" s="322"/>
    </row>
    <row r="7" spans="1:12" ht="4.5" customHeight="1" x14ac:dyDescent="0.2">
      <c r="B7" s="1376"/>
      <c r="C7" s="1376"/>
      <c r="D7" s="1376"/>
      <c r="E7" s="1376"/>
      <c r="F7" s="1376"/>
      <c r="G7" s="1377"/>
      <c r="H7" s="1376"/>
      <c r="I7" s="1377"/>
      <c r="J7" s="1376"/>
      <c r="K7" s="1376"/>
      <c r="L7" s="322"/>
    </row>
    <row r="8" spans="1:12" ht="13.5" customHeight="1" x14ac:dyDescent="0.2">
      <c r="B8" s="1384" t="s">
        <v>1721</v>
      </c>
      <c r="C8" s="1451" t="s">
        <v>1953</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398"/>
      <c r="G12" s="2398"/>
      <c r="H12" s="2398"/>
      <c r="I12" s="2398"/>
      <c r="J12" s="2398"/>
      <c r="K12" s="239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21"/>
      <c r="E14" s="2421"/>
      <c r="F14" s="2421"/>
      <c r="H14" s="1459" t="s">
        <v>1303</v>
      </c>
      <c r="I14" s="2422"/>
      <c r="J14" s="2422"/>
      <c r="K14" s="242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22"/>
      <c r="E16" s="2422"/>
      <c r="F16" s="2422"/>
      <c r="G16" s="2422"/>
      <c r="H16" s="2422"/>
      <c r="I16" s="2422"/>
      <c r="J16" s="2422"/>
      <c r="K16" s="2422"/>
      <c r="L16" s="322"/>
    </row>
    <row r="17" spans="2:12" ht="13.5" customHeight="1" x14ac:dyDescent="0.2">
      <c r="B17" s="1384" t="s">
        <v>1301</v>
      </c>
      <c r="C17" s="1384"/>
      <c r="D17" s="2423"/>
      <c r="E17" s="2423"/>
      <c r="F17" s="2423"/>
      <c r="G17" s="2423"/>
      <c r="H17" s="2423"/>
      <c r="I17" s="2423"/>
      <c r="J17" s="2423"/>
      <c r="K17" s="242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13"/>
      <c r="C20" s="2413"/>
      <c r="D20" s="2413"/>
      <c r="E20" s="2413"/>
      <c r="F20" s="2413"/>
      <c r="G20" s="2413"/>
      <c r="H20" s="2413"/>
      <c r="I20" s="2413"/>
      <c r="J20" s="2413"/>
      <c r="K20" s="241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1722</v>
      </c>
      <c r="C22" s="1461"/>
      <c r="D22" s="322"/>
      <c r="E22" s="322"/>
      <c r="F22" s="322"/>
      <c r="G22" s="1380"/>
      <c r="H22" s="322"/>
      <c r="I22" s="1380"/>
      <c r="J22" s="322"/>
      <c r="K22" s="322"/>
      <c r="L22" s="322"/>
    </row>
    <row r="23" spans="2:12" ht="37.5" customHeight="1" x14ac:dyDescent="0.2">
      <c r="B23" s="2413"/>
      <c r="C23" s="2413"/>
      <c r="D23" s="2413"/>
      <c r="E23" s="2413"/>
      <c r="F23" s="2413"/>
      <c r="G23" s="2413"/>
      <c r="H23" s="2413"/>
      <c r="I23" s="2413"/>
      <c r="J23" s="2413"/>
      <c r="K23" s="241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1723</v>
      </c>
      <c r="C25" s="1461"/>
      <c r="D25" s="322"/>
      <c r="E25" s="322"/>
      <c r="F25" s="322"/>
      <c r="G25" s="1380"/>
      <c r="H25" s="322"/>
      <c r="I25" s="1380"/>
      <c r="J25" s="322"/>
      <c r="K25" s="322"/>
      <c r="L25" s="322"/>
    </row>
    <row r="26" spans="2:12" ht="37.5" customHeight="1" x14ac:dyDescent="0.2">
      <c r="B26" s="2413"/>
      <c r="C26" s="2413"/>
      <c r="D26" s="2413"/>
      <c r="E26" s="2413"/>
      <c r="F26" s="2413"/>
      <c r="G26" s="2413"/>
      <c r="H26" s="2413"/>
      <c r="I26" s="2413"/>
      <c r="J26" s="2413"/>
      <c r="K26" s="241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1724</v>
      </c>
      <c r="C28" s="1461"/>
      <c r="D28" s="322"/>
      <c r="E28" s="322"/>
      <c r="F28" s="322"/>
      <c r="G28" s="1380"/>
      <c r="H28" s="322"/>
      <c r="I28" s="1380"/>
      <c r="J28" s="322"/>
      <c r="K28" s="322"/>
      <c r="L28" s="322"/>
    </row>
    <row r="29" spans="2:12" ht="37.5" customHeight="1" x14ac:dyDescent="0.2">
      <c r="B29" s="2413"/>
      <c r="C29" s="2413"/>
      <c r="D29" s="2413"/>
      <c r="E29" s="2413"/>
      <c r="F29" s="2413"/>
      <c r="G29" s="2413"/>
      <c r="H29" s="2413"/>
      <c r="I29" s="2413"/>
      <c r="J29" s="2413"/>
      <c r="K29" s="241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13"/>
      <c r="C32" s="2413"/>
      <c r="D32" s="2413"/>
      <c r="E32" s="2413"/>
      <c r="F32" s="2413"/>
      <c r="G32" s="2413"/>
      <c r="H32" s="2413"/>
      <c r="I32" s="2413"/>
      <c r="J32" s="2413"/>
      <c r="K32" s="241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13"/>
      <c r="C35" s="2413"/>
      <c r="D35" s="2413"/>
      <c r="E35" s="2413"/>
      <c r="F35" s="2413"/>
      <c r="G35" s="2413"/>
      <c r="H35" s="2413"/>
      <c r="I35" s="2413"/>
      <c r="J35" s="2413"/>
      <c r="K35" s="241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13"/>
      <c r="C38" s="2413"/>
      <c r="D38" s="2413"/>
      <c r="E38" s="2413"/>
      <c r="F38" s="2413"/>
      <c r="G38" s="2413"/>
      <c r="H38" s="2413"/>
      <c r="I38" s="2413"/>
      <c r="J38" s="2413"/>
      <c r="K38" s="241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1725</v>
      </c>
      <c r="C40" s="1400"/>
      <c r="D40" s="1375"/>
      <c r="E40" s="1376"/>
      <c r="F40" s="1376"/>
      <c r="G40" s="1377"/>
      <c r="H40" s="1376"/>
      <c r="I40" s="1377"/>
      <c r="J40" s="1376"/>
      <c r="K40" s="1376"/>
    </row>
    <row r="41" spans="2:12" s="322" customFormat="1" ht="33.75" customHeight="1" x14ac:dyDescent="0.2">
      <c r="B41" s="2413"/>
      <c r="C41" s="2413"/>
      <c r="D41" s="2413"/>
      <c r="E41" s="2413"/>
      <c r="F41" s="2413"/>
      <c r="G41" s="2413"/>
      <c r="H41" s="2413"/>
      <c r="I41" s="2413"/>
      <c r="J41" s="2413"/>
      <c r="K41" s="241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1726</v>
      </c>
      <c r="C44" s="1403"/>
      <c r="D44" s="322"/>
      <c r="E44" s="322"/>
      <c r="F44" s="322"/>
    </row>
    <row r="45" spans="2:12" ht="10.5" customHeight="1" x14ac:dyDescent="0.2">
      <c r="B45" s="1404" t="s">
        <v>1727</v>
      </c>
      <c r="C45" s="1404"/>
      <c r="G45" s="317"/>
      <c r="I45" s="317"/>
    </row>
    <row r="46" spans="2:12" ht="11.1" customHeight="1" x14ac:dyDescent="0.2">
      <c r="B46" s="1404" t="s">
        <v>1728</v>
      </c>
      <c r="C46" s="1404"/>
      <c r="G46" s="317"/>
      <c r="I46" s="317"/>
    </row>
    <row r="47" spans="2:12" ht="11.1" customHeight="1" x14ac:dyDescent="0.2">
      <c r="B47" s="1404" t="s">
        <v>1729</v>
      </c>
      <c r="C47" s="1404"/>
      <c r="G47" s="317"/>
      <c r="I47" s="317"/>
    </row>
    <row r="48" spans="2:12" ht="11.1" customHeight="1" x14ac:dyDescent="0.2">
      <c r="B48" s="1404" t="s">
        <v>1730</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X29" sqref="X2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3.15" customHeight="1" x14ac:dyDescent="0.2">
      <c r="B1" s="2391" t="str">
        <f>'Single Audit Cover'!A7</f>
        <v>Dwight Common SD 232</v>
      </c>
      <c r="C1" s="2391"/>
      <c r="D1" s="2391"/>
      <c r="E1" s="1469"/>
    </row>
    <row r="2" spans="2:5" s="1279" customFormat="1" ht="13.15" customHeight="1" x14ac:dyDescent="0.2">
      <c r="B2" s="2393">
        <f>'Single Audit Cover'!E7</f>
        <v>17053232002</v>
      </c>
      <c r="C2" s="2393"/>
      <c r="D2" s="2393"/>
      <c r="E2" s="1470"/>
    </row>
    <row r="3" spans="2:5" ht="13.15" customHeight="1" x14ac:dyDescent="0.2">
      <c r="B3" s="2414" t="s">
        <v>1731</v>
      </c>
      <c r="C3" s="2414"/>
      <c r="D3" s="2414"/>
      <c r="E3" s="1271"/>
    </row>
    <row r="4" spans="2:5" s="1279" customFormat="1" ht="13.15" customHeight="1" x14ac:dyDescent="0.2">
      <c r="B4" s="2424" t="str">
        <f>'Single Audit Cover'!A4</f>
        <v>Year Ending June 30, 2019</v>
      </c>
      <c r="C4" s="2424"/>
      <c r="D4" s="2424"/>
      <c r="E4" s="1471"/>
    </row>
    <row r="5" spans="2:5" s="1279" customFormat="1" ht="40.15" customHeight="1" x14ac:dyDescent="0.2">
      <c r="B5" s="1472" t="s">
        <v>1732</v>
      </c>
      <c r="C5" s="328"/>
      <c r="D5" s="328"/>
      <c r="E5" s="328"/>
    </row>
    <row r="6" spans="2:5" s="1279" customFormat="1" ht="13.5" customHeight="1" x14ac:dyDescent="0.2">
      <c r="B6" s="1473" t="s">
        <v>1315</v>
      </c>
      <c r="C6" s="1473" t="s">
        <v>1314</v>
      </c>
      <c r="D6" s="1473" t="s">
        <v>1733</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3.15" customHeight="1" x14ac:dyDescent="0.2">
      <c r="B43" s="1481"/>
      <c r="C43" s="1482"/>
      <c r="D43" s="1482"/>
      <c r="E43" s="323"/>
    </row>
    <row r="44" spans="2:5" ht="12.2" customHeight="1" x14ac:dyDescent="0.2">
      <c r="B44" s="1254" t="s">
        <v>1313</v>
      </c>
      <c r="C44" s="322"/>
    </row>
    <row r="45" spans="2:5" ht="12.2" customHeight="1" x14ac:dyDescent="0.2">
      <c r="B45" s="1483" t="s">
        <v>1734</v>
      </c>
    </row>
    <row r="46" spans="2:5" ht="12.2" customHeight="1" x14ac:dyDescent="0.2">
      <c r="B46" s="1483" t="s">
        <v>1735</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3.15" customHeight="1" x14ac:dyDescent="0.2"/>
    <row r="54" spans="2:5" ht="13.15" customHeight="1" x14ac:dyDescent="0.2">
      <c r="B54" s="1264"/>
    </row>
    <row r="55" spans="2:5" ht="13.15" customHeight="1" x14ac:dyDescent="0.2"/>
    <row r="56" spans="2:5" ht="13.15" customHeight="1" x14ac:dyDescent="0.2">
      <c r="B56" s="322"/>
      <c r="C56" s="322"/>
      <c r="D56" s="322"/>
      <c r="E56" s="322"/>
    </row>
    <row r="57" spans="2:5" ht="13.15" customHeight="1" x14ac:dyDescent="0.2">
      <c r="B57" s="322"/>
      <c r="C57" s="322"/>
      <c r="D57" s="322"/>
      <c r="E57" s="322"/>
    </row>
    <row r="58" spans="2:5" ht="13.15" customHeight="1" x14ac:dyDescent="0.2">
      <c r="B58" s="322"/>
      <c r="C58" s="322"/>
      <c r="D58" s="322"/>
      <c r="E58" s="322"/>
    </row>
    <row r="59" spans="2:5" ht="13.15" customHeight="1" x14ac:dyDescent="0.2">
      <c r="B59" s="322"/>
      <c r="C59" s="322"/>
      <c r="D59" s="322"/>
      <c r="E59" s="322"/>
    </row>
    <row r="60" spans="2:5" ht="13.15" customHeight="1" x14ac:dyDescent="0.2">
      <c r="B60" s="322"/>
      <c r="C60" s="322"/>
      <c r="D60" s="322"/>
      <c r="E60" s="322"/>
    </row>
    <row r="61" spans="2:5" ht="13.15" customHeight="1" x14ac:dyDescent="0.2">
      <c r="B61" s="322"/>
      <c r="C61" s="322"/>
      <c r="D61" s="322"/>
      <c r="E61" s="322"/>
    </row>
    <row r="62" spans="2:5" ht="13.15" customHeight="1" x14ac:dyDescent="0.2">
      <c r="B62" s="322"/>
      <c r="C62" s="322"/>
      <c r="D62" s="322"/>
      <c r="E62" s="322"/>
    </row>
    <row r="63" spans="2:5" ht="13.1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schemas.microsoft.com/office/2006/metadata/properties"/>
    <ds:schemaRef ds:uri="http://schemas.openxmlformats.org/package/2006/metadata/core-properties"/>
    <ds:schemaRef ds:uri="http://schemas.microsoft.com/sharepoint/v3"/>
    <ds:schemaRef ds:uri="http://schemas.microsoft.com/office/infopath/2007/PartnerControls"/>
    <ds:schemaRef ds:uri="http://purl.org/dc/dcmitype/"/>
    <ds:schemaRef ds:uri="http://purl.org/dc/elements/1.1/"/>
    <ds:schemaRef ds:uri="http://purl.org/dc/terms/"/>
    <ds:schemaRef ds:uri="http://schemas.microsoft.com/office/2006/documentManagement/types"/>
    <ds:schemaRef ds:uri="4d435f69-8686-490b-bd6d-b153bf22ab50"/>
    <ds:schemaRef ds:uri="6ce3111e-7420-4802-b50a-75d4e9a0b980"/>
    <ds:schemaRef ds:uri="http://www.w3.org/XML/1998/namespace"/>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vt:i4>
      </vt:variant>
    </vt:vector>
  </HeadingPairs>
  <TitlesOfParts>
    <vt:vector size="48" baseType="lpstr">
      <vt:lpstr>COVER</vt:lpstr>
      <vt:lpstr>TOC</vt:lpstr>
      <vt:lpstr>Aud Quest 2</vt:lpstr>
      <vt:lpstr>Signature page</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Contracts Paid in CY 29</vt:lpstr>
      <vt:lpstr>PCTC-OEPP 27-28</vt:lpstr>
      <vt:lpstr>ICR Computation 30</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2019-09-25T14:40:11Z</cp:lastPrinted>
  <dcterms:created xsi:type="dcterms:W3CDTF">2003-10-29T19:06:34Z</dcterms:created>
  <dcterms:modified xsi:type="dcterms:W3CDTF">2019-11-18T16:58:41Z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A44787D4-0540-4523-9961-78E4036D8C6D}">
    <vt:lpwstr>{7711A288-F3A7-45DA-8008-6B3384D9CC5F}</vt:lpwstr>
  </property>
</Properties>
</file>