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8A6B292-A40D-44B1-A8D9-4FDFFFBEAC1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0" i="183" l="1"/>
  <c r="L21" i="183"/>
  <c r="L22" i="183"/>
  <c r="L23" i="183"/>
  <c r="L24" i="183"/>
  <c r="L25" i="183"/>
  <c r="L18" i="183"/>
  <c r="L19" i="183"/>
  <c r="L27" i="183" l="1"/>
  <c r="L26" i="183"/>
  <c r="L17" i="183"/>
  <c r="L16" i="183"/>
  <c r="L15" i="183"/>
  <c r="L14" i="183"/>
  <c r="L13" i="183"/>
  <c r="L12" i="183"/>
  <c r="L11"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D31" i="108" s="1"/>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B6997" i="106" s="1"/>
  <c r="D6997" i="106" s="1"/>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E26" i="108"/>
  <c r="G26" i="108"/>
  <c r="E27" i="108"/>
  <c r="G27" i="108"/>
  <c r="G28" i="108"/>
  <c r="G29" i="108"/>
  <c r="G30" i="108"/>
  <c r="E31" i="108"/>
  <c r="G31" i="108"/>
  <c r="E33"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J22" i="37"/>
  <c r="L22" i="37"/>
  <c r="D69" i="36" l="1"/>
  <c r="D6103" i="106"/>
  <c r="I210" i="29"/>
  <c r="B7071" i="106" s="1"/>
  <c r="D7071" i="106" s="1"/>
  <c r="L367" i="29"/>
  <c r="F36" i="108"/>
  <c r="F46" i="34"/>
  <c r="F38" i="34"/>
  <c r="G35" i="108"/>
  <c r="D36" i="108"/>
  <c r="F31" i="108"/>
  <c r="J352" i="29"/>
  <c r="J367" i="29" s="1"/>
  <c r="B7245" i="106" s="1"/>
  <c r="D7245" i="106" s="1"/>
  <c r="D24" i="37"/>
  <c r="B4270" i="106" s="1"/>
  <c r="D4270" i="106" s="1"/>
  <c r="E38" i="108"/>
  <c r="E35" i="108"/>
  <c r="C352" i="29"/>
  <c r="J77" i="4"/>
  <c r="B6262" i="106" s="1"/>
  <c r="D6262" i="106" s="1"/>
  <c r="H365" i="29"/>
  <c r="B7242" i="106" s="1"/>
  <c r="D7242" i="106" s="1"/>
  <c r="F77" i="4"/>
  <c r="B3255" i="106" s="1"/>
  <c r="D3255" i="106" s="1"/>
  <c r="L13" i="11"/>
  <c r="B2060" i="106" s="1"/>
  <c r="D2060" i="106" s="1"/>
  <c r="L5" i="11"/>
  <c r="B2056" i="106" s="1"/>
  <c r="D2056" i="106" s="1"/>
  <c r="F27" i="108"/>
  <c r="F34" i="34"/>
  <c r="G210" i="29"/>
  <c r="K184" i="29"/>
  <c r="F13" i="4" s="1"/>
  <c r="B2596" i="106" s="1"/>
  <c r="D2596" i="106" s="1"/>
  <c r="E29" i="108"/>
  <c r="F28" i="108"/>
  <c r="C129" i="29"/>
  <c r="H33" i="118"/>
  <c r="F19" i="7"/>
  <c r="B1807" i="106" s="1"/>
  <c r="D1807" i="106" s="1"/>
  <c r="B3647" i="106"/>
  <c r="D3647"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B3622" i="106" s="1"/>
  <c r="D3622" i="106" s="1"/>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28" i="106" l="1"/>
  <c r="D1328" i="106" s="1"/>
  <c r="B1381" i="106"/>
  <c r="D1381" i="106" s="1"/>
  <c r="B5770" i="106"/>
  <c r="D5770" i="106" s="1"/>
  <c r="B5778" i="106"/>
  <c r="D5778" i="106" s="1"/>
  <c r="G6" i="4"/>
  <c r="B2604" i="106" s="1"/>
  <c r="D2604" i="106" s="1"/>
  <c r="D7251" i="106"/>
  <c r="D41" i="108"/>
  <c r="E43" i="108" s="1"/>
  <c r="F41" i="108"/>
  <c r="G43" i="108" s="1"/>
  <c r="H151" i="29"/>
  <c r="B1273" i="106" s="1"/>
  <c r="D1273" i="106" s="1"/>
  <c r="D7254" i="106"/>
  <c r="D7250" i="106"/>
  <c r="D7256" i="106"/>
  <c r="L16" i="11"/>
  <c r="B2061" i="106" s="1"/>
  <c r="D2061" i="106" s="1"/>
  <c r="N23" i="3"/>
  <c r="B284" i="106" s="1"/>
  <c r="D284" i="106" s="1"/>
  <c r="C114" i="29"/>
  <c r="B757" i="106" s="1"/>
  <c r="D757" i="106" s="1"/>
  <c r="D44" i="36"/>
  <c r="B1365" i="106"/>
  <c r="D1365" i="106" s="1"/>
  <c r="F65" i="34"/>
  <c r="B5527" i="106"/>
  <c r="D5527" i="106" s="1"/>
  <c r="K342" i="29"/>
  <c r="F13" i="34" s="1"/>
  <c r="L114" i="29"/>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F8" i="4"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D10" i="146" l="1"/>
  <c r="F175" i="34"/>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<sst xmlns="http://schemas.openxmlformats.org/spreadsheetml/2006/main" count="5219" uniqueCount="2149">
  <si>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</si>
  <si>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</si>
  <si>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</si>
  <si>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</si>
  <si>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</si>
  <si>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</si>
  <si>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</si>
  <si>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</si>
  <si>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</si>
  <si>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</si>
  <si>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</si>
  <si>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</si>
  <si>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</si>
  <si>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</si>
  <si>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</si>
  <si>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</si>
  <si>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</si>
  <si>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</si>
  <si>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</si>
  <si>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</si>
  <si>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</si>
  <si>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</si>
  <si>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</si>
  <si>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</si>
  <si>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</si>
  <si>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</si>
  <si>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</si>
  <si>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</si>
  <si>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</si>
  <si>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</si>
  <si>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</si>
  <si>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</si>
  <si>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</si>
  <si>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</si>
  <si>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</si>
  <si>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</si>
  <si>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</si>
  <si>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</si>
  <si>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</si>
  <si>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</si>
  <si>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</si>
  <si>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</si>
  <si>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</si>
  <si>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</si>
  <si>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</si>
  <si>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</si>
  <si>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</si>
  <si>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</si>
  <si>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</si>
  <si>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</si>
  <si>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</si>
  <si>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</si>
  <si>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</si>
  <si>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</si>
  <si>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</si>
  <si>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</si>
  <si>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</si>
  <si>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</si>
  <si>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</si>
  <si>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</si>
  <si>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</si>
  <si>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</si>
  <si>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</si>
  <si>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</si>
  <si>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</si>
  <si>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</si>
  <si>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</si>
  <si>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</si>
  <si>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</si>
  <si>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</si>
  <si>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</si>
  <si>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</si>
  <si>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</si>
  <si>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</si>
  <si>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</si>
  <si>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</si>
  <si>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</si>
  <si>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</si>
  <si>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</si>
  <si>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</si>
  <si>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</si>
  <si>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</si>
  <si>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</si>
  <si>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</si>
  <si>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</si>
  <si>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</si>
  <si>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</si>
  <si>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</si>
  <si>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</si>
  <si>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</si>
  <si>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</si>
  <si>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</si>
  <si>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</si>
  <si>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</si>
  <si>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</si>
  <si>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</si>
  <si>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</si>
  <si>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</si>
  <si>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</si>
  <si>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</si>
  <si>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</si>
  <si>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</si>
  <si>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</si>
  <si>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</si>
  <si>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</si>
  <si>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</si>
  <si>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</si>
  <si>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</si>
  <si>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</si>
  <si>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</si>
  <si>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</si>
  <si>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</si>
  <si>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</si>
  <si>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</si>
  <si>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</si>
  <si>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</si>
  <si>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</si>
  <si>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</si>
  <si>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</si>
  <si>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</si>
  <si>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</si>
  <si>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</si>
  <si>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</si>
  <si>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</si>
  <si>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</si>
  <si>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</si>
  <si>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</si>
  <si>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</si>
  <si>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</si>
  <si>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</si>
  <si>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</si>
  <si>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</si>
  <si>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</si>
  <si>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</si>
  <si>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</si>
  <si>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</si>
  <si>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</si>
  <si>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</si>
  <si>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</si>
  <si>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</si>
  <si>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</si>
  <si>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</si>
  <si>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</si>
  <si>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</si>
  <si>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</si>
  <si>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</si>
  <si>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</si>
  <si>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</si>
  <si>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</si>
  <si>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</si>
  <si>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</si>
  <si>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</si>
  <si>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</si>
  <si>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</si>
  <si>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</si>
  <si>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</si>
  <si>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</si>
  <si>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</si>
  <si>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</si>
  <si>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</si>
  <si>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</si>
  <si>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</si>
  <si>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</si>
  <si>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</si>
  <si>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</si>
  <si>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</si>
  <si>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</si>
  <si>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</si>
  <si>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</si>
  <si>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</si>
  <si>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</si>
  <si>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</si>
  <si>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</si>
  <si>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</si>
  <si>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</si>
  <si>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</si>
  <si>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</si>
  <si>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</si>
  <si>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</si>
  <si>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</si>
  <si>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</si>
  <si>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</si>
  <si>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</si>
  <si>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</si>
  <si>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</si>
  <si>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</si>
  <si>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</si>
  <si>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</si>
  <si>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</si>
  <si>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</si>
  <si>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</si>
  <si>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</si>
  <si>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</si>
  <si>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</si>
  <si>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</si>
  <si>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</si>
  <si>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</si>
  <si>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</si>
  <si>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</si>
  <si>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</si>
  <si>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</si>
  <si>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</si>
  <si>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</si>
  <si>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</si>
  <si>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</si>
  <si>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</si>
  <si>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</si>
  <si>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</si>
  <si>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</si>
  <si>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</si>
  <si>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</si>
  <si>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</si>
  <si>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</si>
  <si>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</si>
  <si>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</si>
  <si>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</si>
  <si>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</si>
  <si>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</si>
  <si>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</si>
  <si>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</si>
  <si>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</si>
  <si>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</si>
  <si>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</si>
  <si>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</si>
  <si>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</si>
  <si>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</si>
  <si>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</si>
  <si>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</si>
  <si>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</si>
  <si>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</si>
  <si>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</si>
  <si>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</si>
  <si>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</si>
  <si>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</si>
  <si>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</si>
  <si>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</si>
  <si>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</si>
  <si>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</si>
  <si>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</si>
  <si>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</si>
  <si>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</si>
  <si>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</si>
  <si>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</si>
  <si>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</si>
  <si>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</si>
  <si>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</si>
  <si>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</si>
  <si>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</si>
  <si>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</si>
  <si>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</si>
  <si>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</si>
  <si>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</si>
  <si>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</si>
  <si>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</si>
  <si>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</si>
  <si>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</si>
  <si>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</si>
  <si>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</si>
  <si>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</si>
  <si>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</si>
  <si>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</si>
  <si>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</si>
  <si>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</si>
  <si>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</si>
  <si>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</si>
  <si>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</si>
  <si>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</si>
  <si>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</si>
  <si>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</si>
  <si>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</si>
  <si>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</si>
  <si>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</si>
  <si>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</si>
  <si>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</si>
  <si>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</si>
  <si>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</si>
  <si>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</si>
  <si>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</si>
  <si>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</si>
  <si>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</si>
  <si>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</si>
  <si>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</si>
  <si>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</si>
  <si>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</si>
  <si>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</si>
  <si>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</si>
  <si>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</si>
  <si>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</si>
  <si>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</si>
  <si>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</si>
  <si>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</si>
  <si>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</si>
  <si>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</si>
  <si>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</si>
  <si>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</si>
  <si>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</si>
  <si>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</si>
  <si>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</si>
  <si>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</si>
  <si>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</si>
  <si>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</si>
  <si>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</si>
  <si>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</si>
  <si>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</si>
  <si>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</si>
  <si>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</si>
  <si>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</si>
  <si>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</si>
  <si>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</si>
  <si>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</si>
  <si>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</si>
  <si>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</si>
  <si>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</si>
  <si>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</si>
  <si>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</si>
  <si>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</si>
  <si>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</si>
  <si>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</si>
  <si>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</si>
  <si>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</si>
  <si>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</si>
  <si>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</si>
  <si>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</si>
  <si>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</si>
  <si>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</si>
  <si>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</si>
  <si>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</si>
  <si>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</si>
  <si>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</si>
  <si>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</si>
  <si>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</si>
  <si>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</si>
  <si>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</si>
  <si>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</si>
  <si>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</si>
  <si>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</si>
  <si>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</si>
  <si>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</si>
  <si>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</si>
  <si>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</si>
  <si>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</si>
  <si>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</si>
  <si>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</si>
  <si>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</si>
  <si>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</si>
  <si>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</si>
  <si>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</si>
  <si>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</si>
  <si>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</si>
  <si>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</si>
  <si>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</si>
  <si>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</si>
  <si>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</si>
  <si>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</si>
  <si>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</si>
  <si>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</si>
  <si>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</si>
  <si>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</si>
  <si>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</si>
  <si>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</si>
  <si>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</si>
  <si>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</si>
  <si>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</si>
  <si>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</si>
  <si>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</si>
  <si>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</si>
  <si>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</si>
  <si>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</si>
  <si>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</si>
  <si>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</si>
  <si>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</si>
  <si>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</si>
  <si>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</si>
  <si>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</si>
  <si>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</si>
  <si>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</si>
  <si>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</si>
  <si>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</si>
  <si>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</si>
  <si>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</si>
  <si>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</si>
  <si>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</si>
  <si>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</si>
  <si>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</si>
  <si>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</si>
  <si>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</si>
  <si>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</si>
  <si>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</si>
  <si>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</si>
  <si>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</si>
  <si>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</si>
  <si>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</si>
  <si>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</si>
  <si>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</si>
  <si>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</si>
  <si>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</si>
  <si>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</si>
  <si>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</si>
  <si>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</si>
  <si>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</si>
  <si>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</si>
  <si>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</si>
  <si>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</si>
  <si>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</si>
  <si>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</si>
  <si>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</si>
  <si>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</si>
  <si>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</si>
  <si>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</si>
  <si>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</si>
  <si>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</si>
  <si>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</si>
  <si>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</si>
  <si>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</si>
  <si>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</si>
  <si>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</si>
  <si>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</si>
  <si>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</si>
  <si>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</si>
  <si>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</si>
  <si>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</si>
  <si>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</si>
  <si>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</si>
  <si>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</si>
  <si>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</si>
  <si>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</si>
  <si>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</si>
  <si>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</si>
  <si>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</si>
  <si>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</si>
  <si>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</si>
  <si>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</si>
  <si>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</si>
  <si>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</si>
  <si>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</si>
  <si>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</si>
  <si>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</si>
  <si>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</si>
  <si>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</si>
  <si>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</si>
  <si>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</si>
  <si>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</si>
  <si>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</si>
  <si>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</si>
  <si>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</si>
  <si>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</si>
  <si>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</si>
  <si>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</si>
  <si>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</si>
  <si>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</si>
  <si>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</si>
  <si>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</si>
  <si>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</si>
  <si>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</si>
  <si>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</si>
  <si>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</si>
  <si>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</si>
  <si>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</si>
  <si>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</si>
  <si>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</si>
  <si>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</si>
  <si>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</si>
  <si>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</si>
  <si>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</si>
  <si>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</si>
  <si>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</si>
  <si>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</si>
  <si>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</si>
  <si>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</si>
  <si>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</si>
  <si>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</si>
  <si>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</si>
  <si>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</si>
  <si>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</si>
  <si>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</si>
  <si>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</si>
  <si>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</si>
  <si>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</si>
  <si>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</si>
  <si>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</si>
  <si>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</si>
  <si>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</si>
  <si>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</si>
  <si>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</si>
  <si>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</si>
  <si>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</si>
  <si>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</si>
  <si>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</si>
  <si>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</si>
  <si>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</si>
  <si>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</si>
  <si>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</si>
  <si>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</si>
  <si>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</si>
  <si>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</si>
  <si>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</si>
  <si>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</si>
  <si>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</si>
  <si>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</si>
  <si>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</si>
  <si>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</si>
  <si>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</si>
  <si>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</si>
  <si>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</si>
  <si>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</si>
  <si>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</si>
  <si>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</si>
  <si>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</si>
  <si>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</si>
  <si>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</si>
  <si>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</si>
  <si>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</si>
  <si>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</si>
  <si>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</si>
  <si>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</si>
  <si>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</si>
  <si>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</si>
  <si>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</si>
  <si>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</si>
  <si>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</si>
  <si>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</si>
  <si>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</si>
  <si>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</si>
  <si>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</si>
  <si>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</si>
  <si>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</si>
  <si>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</si>
  <si>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</si>
  <si>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</si>
  <si>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</si>
  <si>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</si>
  <si>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</si>
  <si>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</si>
  <si>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</si>
  <si>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</si>
  <si>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</si>
  <si>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</si>
  <si>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</si>
  <si>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</si>
  <si>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</si>
  <si>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</si>
  <si>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</si>
  <si>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</si>
  <si>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</si>
  <si>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</si>
  <si>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</si>
  <si>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</si>
  <si>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</si>
  <si>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</si>
  <si>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</si>
  <si>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</si>
  <si>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</si>
  <si>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</si>
  <si>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</si>
  <si>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</si>
  <si>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</si>
  <si>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</si>
  <si>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</si>
  <si>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</si>
  <si>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</si>
  <si>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</si>
  <si>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</si>
  <si>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</si>
  <si>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</si>
  <si>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</si>
  <si>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</si>
  <si>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</si>
  <si>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</si>
  <si>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</si>
  <si>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</si>
  <si>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</si>
  <si>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</si>
  <si>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</si>
  <si>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</si>
  <si>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</si>
  <si>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</si>
  <si>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</si>
  <si>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</si>
  <si>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</si>
  <si>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</si>
  <si>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</si>
  <si>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</si>
  <si>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</si>
  <si>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</si>
  <si>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</si>
  <si>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</si>
  <si>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</si>
  <si>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</si>
  <si>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</si>
  <si>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</si>
  <si>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</si>
  <si>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</si>
  <si>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</si>
  <si>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</si>
  <si>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</si>
  <si>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</si>
  <si>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</si>
  <si>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</si>
  <si>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</si>
  <si>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</si>
  <si>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</si>
  <si>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</si>
  <si>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</si>
  <si>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</si>
  <si>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</si>
  <si>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</si>
  <si>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</si>
  <si>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</si>
  <si>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</si>
  <si>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</si>
  <si>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</si>
  <si>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</si>
  <si>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</si>
  <si>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</si>
  <si>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</si>
  <si>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</si>
  <si>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</si>
  <si>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</si>
  <si>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</si>
  <si>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</si>
  <si>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</si>
  <si>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</si>
  <si>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</si>
  <si>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</si>
  <si>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</si>
  <si>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</si>
  <si>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</si>
  <si>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</si>
  <si>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</si>
  <si>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</si>
  <si>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</si>
  <si>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</si>
  <si>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</si>
  <si>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</si>
  <si>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</si>
  <si>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</si>
  <si>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</si>
  <si>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</si>
  <si>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</si>
  <si>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</si>
  <si>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</si>
  <si>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</si>
  <si>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</si>
  <si>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</si>
  <si>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</si>
  <si>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</si>
  <si>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</si>
  <si>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</si>
  <si>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</si>
  <si>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</si>
  <si>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</si>
  <si>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</si>
  <si>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</si>
  <si>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</si>
  <si>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</si>
  <si>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</si>
  <si>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</si>
  <si>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</si>
  <si>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</si>
  <si>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</si>
  <si>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</si>
  <si>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</si>
  <si>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</si>
  <si>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</si>
  <si>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</si>
  <si>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</si>
  <si>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</si>
  <si>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</si>
  <si>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</si>
  <si>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</si>
  <si>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</si>
  <si>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</si>
  <si>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</si>
  <si>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</si>
  <si>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</si>
  <si>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</si>
  <si>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</si>
  <si>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</si>
  <si>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</si>
  <si>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</si>
  <si>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</si>
  <si>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</si>
  <si>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</si>
  <si>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</si>
  <si>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</si>
  <si>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</si>
  <si>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</si>
  <si>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</si>
  <si>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</si>
  <si>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</si>
  <si>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</si>
  <si>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</si>
  <si>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</si>
  <si>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</si>
  <si>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</si>
  <si>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</si>
  <si>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</si>
  <si>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</si>
  <si>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</si>
  <si>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</si>
  <si>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</si>
  <si>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</si>
  <si>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</si>
  <si>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</si>
  <si>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</si>
  <si>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</si>
  <si>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</si>
  <si>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</si>
  <si>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</si>
  <si>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</si>
  <si>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</si>
  <si>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</si>
  <si>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</si>
  <si>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</si>
  <si>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</si>
  <si>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</si>
  <si>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</si>
  <si>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</si>
  <si>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</si>
  <si>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</si>
  <si>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</si>
  <si>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</si>
  <si>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</si>
  <si>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</si>
  <si>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</si>
  <si>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</si>
  <si>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</si>
  <si>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</si>
  <si>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</si>
  <si>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</si>
  <si>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</si>
  <si>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</si>
  <si>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</si>
  <si>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</si>
  <si>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</si>
  <si>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</si>
  <si>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</si>
  <si>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</si>
  <si>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</si>
  <si>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</si>
  <si>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</si>
  <si>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</si>
  <si>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</si>
  <si>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</si>
  <si>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</si>
  <si>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</si>
  <si>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</si>
  <si>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</si>
  <si>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</si>
  <si>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</si>
  <si>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</si>
  <si>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</si>
  <si>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</si>
  <si>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</si>
  <si>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</si>
  <si>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</si>
  <si>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</si>
  <si>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</si>
  <si>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</si>
  <si>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</si>
  <si>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</si>
  <si>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</si>
  <si>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</si>
  <si>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</si>
  <si>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</si>
  <si>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</si>
  <si>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</si>
  <si>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</si>
  <si>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</si>
  <si>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</si>
  <si>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</si>
  <si>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</si>
  <si>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</si>
  <si>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</si>
  <si>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</si>
  <si>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</si>
  <si>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</si>
  <si>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</si>
  <si>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</si>
  <si>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</si>
  <si>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</si>
  <si>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</si>
  <si>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</si>
  <si>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</si>
  <si>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</si>
  <si>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</si>
  <si>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</si>
  <si>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</si>
  <si>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</si>
  <si>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</si>
  <si>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</si>
  <si>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</si>
  <si>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</si>
  <si>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</si>
  <si>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</si>
  <si>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</si>
  <si>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</si>
  <si>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</si>
  <si>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</si>
  <si>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</si>
  <si>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</si>
  <si>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</si>
  <si>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</si>
  <si>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</si>
  <si>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</si>
  <si>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</si>
  <si>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</si>
  <si>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</si>
  <si>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</si>
  <si>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</si>
  <si>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</si>
  <si>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</si>
  <si>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</si>
  <si>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</si>
  <si>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</si>
  <si>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</si>
  <si>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</si>
  <si>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</si>
  <si>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</si>
  <si>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</si>
  <si>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</si>
  <si>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</si>
  <si>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</si>
  <si>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</si>
  <si>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</si>
  <si>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</si>
  <si>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</si>
  <si>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</si>
  <si>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</si>
  <si>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</si>
  <si>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</si>
  <si>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</si>
  <si>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</si>
  <si>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</si>
  <si>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</si>
  <si>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</si>
  <si>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</si>
  <si>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</si>
  <si>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</si>
  <si>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</si>
  <si>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</si>
  <si>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</si>
  <si>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</si>
  <si>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</si>
  <si>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</si>
  <si>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</si>
  <si>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</si>
  <si>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</si>
  <si>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</si>
  <si>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</si>
  <si>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</si>
  <si>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</si>
  <si>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</si>
  <si>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</si>
  <si>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</si>
  <si>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</si>
  <si>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</si>
  <si>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</si>
  <si>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</si>
  <si>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</si>
  <si>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</si>
  <si>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</si>
  <si>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</si>
  <si>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</si>
  <si>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</si>
  <si>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</si>
  <si>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</si>
  <si>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</si>
  <si>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</si>
  <si>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</si>
  <si>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</si>
  <si>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</si>
  <si>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</si>
  <si>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</si>
  <si>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</si>
  <si>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</si>
  <si>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</si>
  <si>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</si>
  <si>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</si>
  <si>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</si>
  <si>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</si>
  <si>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</si>
  <si>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</si>
  <si>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</si>
  <si>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</si>
  <si>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</si>
  <si>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</si>
  <si>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</si>
  <si>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</si>
  <si>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</si>
  <si>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</si>
  <si>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</si>
  <si>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</si>
  <si>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</si>
  <si>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</si>
  <si>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</si>
  <si>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</si>
  <si>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</si>
  <si>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</si>
  <si>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</si>
  <si>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</si>
  <si>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</si>
  <si>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</si>
  <si>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</si>
  <si>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</si>
  <si>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</si>
  <si>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</si>
  <si>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</si>
  <si>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</si>
  <si>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</si>
  <si>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</si>
  <si>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</si>
  <si>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</si>
  <si>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</si>
  <si>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</si>
  <si>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</si>
  <si>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</si>
  <si>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</si>
  <si>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</si>
  <si>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</si>
  <si>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</si>
  <si>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</si>
  <si>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</si>
  <si>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</si>
  <si>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</si>
  <si>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</si>
  <si>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</si>
  <si>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</si>
  <si>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</si>
  <si>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</si>
  <si>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</si>
  <si>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</si>
  <si>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</si>
  <si>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</si>
  <si>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</si>
  <si>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</si>
  <si>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</si>
  <si>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</si>
  <si>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</si>
  <si>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</si>
  <si>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</si>
  <si>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</si>
  <si>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</si>
  <si>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</si>
  <si>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</si>
  <si>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</si>
  <si>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</si>
  <si>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</si>
  <si>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</si>
  <si>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</si>
  <si>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</si>
  <si>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</si>
  <si>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</si>
  <si>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</si>
  <si>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</si>
  <si>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</si>
  <si>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</si>
  <si>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</si>
  <si>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</si>
  <si>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</si>
  <si>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</si>
  <si>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</si>
  <si>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</si>
  <si>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</si>
  <si>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</si>
  <si>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</si>
  <si>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</si>
  <si>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</si>
  <si>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</si>
  <si>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</si>
  <si>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</si>
  <si>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</si>
  <si>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</si>
  <si>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</si>
  <si>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</si>
  <si>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</si>
  <si>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</si>
  <si>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</si>
  <si>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</si>
  <si>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</si>
  <si>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</si>
  <si>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</si>
  <si>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</si>
  <si>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</si>
  <si>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</si>
  <si>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</si>
  <si>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</si>
  <si>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</si>
  <si>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</si>
  <si>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</si>
  <si>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</si>
  <si>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</si>
  <si>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</si>
  <si>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</si>
  <si>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</si>
  <si>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</si>
  <si>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</si>
  <si>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</si>
  <si>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</si>
  <si>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</si>
  <si>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</si>
  <si>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</si>
  <si>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</si>
  <si>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</si>
  <si>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</si>
  <si>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</si>
  <si>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</si>
  <si>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</si>
  <si>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</si>
  <si>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</si>
  <si>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</si>
  <si>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</si>
  <si>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</si>
  <si>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</si>
  <si>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</si>
  <si>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</si>
  <si>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</si>
  <si>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</si>
  <si>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</si>
  <si>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</si>
  <si>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</si>
  <si>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</si>
  <si>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</si>
  <si>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</si>
  <si>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</si>
  <si>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</si>
  <si>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</si>
  <si>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</si>
  <si>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</si>
  <si>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</si>
  <si>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</si>
  <si>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</si>
  <si>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</si>
  <si>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</si>
  <si>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</si>
  <si>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</si>
  <si>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</si>
  <si>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</si>
  <si>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</si>
  <si>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</si>
  <si>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</si>
  <si>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</si>
  <si>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</si>
  <si>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</si>
  <si>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</si>
  <si>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</si>
  <si>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</si>
  <si>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</si>
  <si>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</si>
  <si>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</si>
  <si>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</si>
  <si>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</si>
  <si>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</si>
  <si>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</si>
  <si>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</si>
  <si>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</si>
  <si>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</si>
  <si>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</si>
  <si>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</si>
  <si>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</si>
  <si>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</si>
  <si>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</si>
  <si>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</si>
  <si>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</si>
  <si>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</si>
  <si>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</si>
  <si>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</si>
  <si>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</si>
  <si>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</si>
  <si>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</si>
  <si>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</si>
  <si>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</si>
  <si>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</si>
  <si>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</si>
  <si>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</si>
  <si>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</si>
  <si>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</si>
  <si>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</si>
  <si>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</si>
  <si>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</si>
  <si>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</si>
  <si>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</si>
  <si>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</si>
  <si>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</si>
  <si>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</si>
  <si>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</si>
  <si>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</si>
  <si>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</si>
  <si>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</si>
  <si>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</si>
  <si>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</si>
  <si>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</si>
  <si>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</si>
  <si>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</si>
  <si>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</si>
  <si>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</si>
  <si>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</si>
  <si>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</si>
  <si>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</si>
  <si>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</si>
  <si>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</si>
  <si>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</si>
  <si>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</si>
  <si>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</si>
  <si>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</si>
  <si>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</si>
  <si>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</si>
  <si>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</si>
  <si>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</si>
  <si>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</si>
  <si>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</si>
  <si>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</si>
  <si>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</si>
  <si>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</si>
  <si>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</si>
  <si>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</si>
  <si>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</si>
  <si>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</si>
  <si>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</si>
  <si>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</si>
  <si>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</si>
  <si>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</si>
  <si>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</si>
  <si>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</si>
  <si>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</si>
  <si>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</si>
  <si>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</si>
  <si>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</si>
  <si>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</si>
  <si>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</si>
  <si>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</si>
  <si>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</si>
  <si>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</si>
  <si>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</si>
  <si>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</si>
  <si>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</si>
  <si>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</si>
  <si>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</si>
  <si>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</si>
  <si>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</si>
  <si>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</si>
  <si>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</si>
  <si>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</si>
  <si>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</si>
  <si>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</si>
  <si>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</si>
  <si>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</si>
  <si>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</si>
  <si>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</si>
  <si>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</si>
  <si>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</si>
  <si>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</si>
  <si>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</si>
  <si>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</si>
  <si>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</si>
  <si>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</si>
  <si>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</si>
  <si>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</si>
  <si>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</si>
  <si>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</si>
  <si>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</si>
  <si>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</si>
  <si>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</si>
  <si>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</si>
  <si>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</si>
  <si>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</si>
  <si>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</si>
  <si>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</si>
  <si>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</si>
  <si>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</si>
  <si>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</si>
  <si>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</si>
  <si>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</si>
  <si>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</si>
  <si>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</si>
  <si>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</si>
  <si>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</si>
  <si>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</si>
  <si>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</si>
  <si>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</si>
  <si>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</si>
  <si>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</si>
  <si>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</si>
  <si>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</si>
  <si>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</si>
  <si>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</si>
  <si>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</si>
  <si>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</si>
  <si>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</si>
  <si>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</si>
  <si>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</si>
  <si>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</si>
  <si>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</si>
  <si>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</si>
  <si>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</si>
  <si>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</si>
  <si>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</si>
  <si>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</si>
  <si>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</si>
  <si>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</si>
  <si>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</si>
  <si>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</si>
  <si>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</si>
  <si>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</si>
  <si>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</si>
  <si>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</si>
  <si>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</si>
  <si>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</si>
  <si>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</si>
  <si>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</si>
  <si>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</si>
  <si>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</si>
  <si>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</si>
  <si>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</si>
  <si>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</si>
  <si>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</si>
  <si>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</si>
  <si>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</si>
  <si>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</si>
  <si>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</si>
  <si>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</si>
  <si>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</si>
  <si>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</si>
  <si>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</si>
  <si>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</si>
  <si>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</si>
  <si>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</si>
  <si>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</si>
  <si>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</si>
  <si>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</si>
  <si>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</si>
  <si>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</si>
  <si>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</si>
  <si>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</si>
  <si>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</si>
  <si>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</si>
  <si>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</si>
  <si>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</si>
  <si>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</si>
  <si>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</si>
  <si>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</si>
  <si>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</si>
  <si>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</si>
  <si>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</si>
  <si>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</si>
  <si>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</si>
  <si>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</si>
  <si>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</si>
  <si>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</si>
  <si>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</si>
  <si>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</si>
  <si>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</si>
  <si>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</si>
  <si>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</si>
  <si>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</si>
  <si>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</si>
  <si>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</si>
  <si>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</si>
  <si>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</si>
  <si>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</si>
  <si>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</si>
  <si>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</si>
  <si>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</si>
  <si>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</si>
  <si>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</si>
  <si>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</si>
  <si>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</si>
  <si>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</si>
  <si>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</si>
  <si>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</si>
  <si>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</si>
  <si>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</si>
  <si>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</si>
  <si>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</si>
  <si>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</si>
  <si>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</si>
  <si>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</si>
  <si>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</si>
  <si>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</si>
  <si>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</si>
  <si>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</si>
  <si>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</si>
  <si>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</si>
  <si>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</si>
  <si>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</si>
  <si>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</si>
  <si>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</si>
  <si>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</si>
  <si>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</si>
  <si>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</si>
  <si>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</si>
  <si>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</si>
  <si>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</si>
  <si>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</si>
  <si>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</si>
  <si>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</si>
  <si>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</si>
  <si>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</si>
  <si>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</si>
  <si>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</si>
  <si>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</si>
  <si>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</si>
  <si>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</si>
  <si>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</si>
  <si>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</si>
  <si>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</si>
  <si>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</si>
  <si>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</si>
  <si>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</si>
  <si>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</si>
  <si>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</si>
  <si>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</si>
  <si>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</si>
  <si>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</si>
  <si>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</si>
  <si>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</si>
  <si>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</si>
  <si>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</si>
  <si>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</si>
  <si>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</si>
  <si>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</si>
  <si>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</si>
  <si>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</si>
  <si>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</si>
  <si>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</si>
  <si>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</si>
  <si>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</si>
  <si>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</si>
  <si>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</si>
  <si>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</si>
  <si>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</si>
  <si>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</si>
  <si>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</si>
  <si>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</si>
  <si>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</si>
  <si>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</si>
  <si>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</si>
  <si>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</si>
  <si>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</si>
  <si>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</si>
  <si>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</si>
  <si>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</si>
  <si>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</si>
  <si>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</si>
  <si>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</si>
  <si>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</si>
  <si>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</si>
  <si>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</si>
  <si>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</si>
  <si>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</si>
  <si>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</si>
  <si>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</si>
  <si>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</si>
  <si>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</si>
  <si>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</si>
  <si>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</si>
  <si>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</si>
  <si>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</si>
  <si>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</si>
  <si>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</si>
  <si>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</si>
  <si>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</si>
  <si>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</si>
  <si>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</si>
  <si>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</si>
  <si>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</si>
  <si>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</si>
  <si>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</si>
  <si>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</si>
  <si>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</si>
  <si>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</si>
  <si>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</si>
  <si>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</si>
  <si>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</si>
  <si>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</si>
  <si>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</si>
  <si>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</si>
  <si>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</si>
  <si>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</si>
  <si>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</si>
  <si>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</si>
  <si>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</si>
  <si>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</si>
  <si>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</si>
  <si>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</si>
  <si>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</si>
  <si>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</si>
  <si>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</si>
  <si>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</si>
  <si>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</si>
  <si>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</si>
  <si>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</si>
  <si>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</si>
  <si>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</si>
  <si>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</si>
  <si>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</si>
  <si>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</si>
  <si>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</si>
  <si>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</si>
  <si>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</si>
  <si>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</si>
  <si>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</si>
  <si>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</si>
  <si>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</si>
  <si>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</si>
  <si>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</si>
  <si>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</si>
  <si>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</si>
  <si>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</si>
  <si>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</si>
  <si>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</si>
  <si>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</si>
  <si>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</si>
  <si>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</si>
  <si>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</si>
  <si>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</si>
  <si>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</si>
  <si>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</si>
  <si>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</si>
  <si>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</si>
  <si>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</si>
  <si>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</si>
  <si>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</si>
  <si>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</si>
  <si>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</si>
  <si>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</si>
  <si>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</si>
  <si>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</si>
  <si>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</si>
  <si>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</si>
  <si>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</si>
  <si>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</si>
  <si>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</si>
  <si>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</si>
  <si>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</si>
  <si>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</si>
  <si>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</si>
  <si>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</si>
  <si>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</si>
  <si>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</si>
  <si>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</si>
  <si>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</si>
  <si>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</si>
  <si>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</si>
  <si>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</si>
  <si>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</si>
  <si>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</si>
  <si>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</si>
  <si>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</si>
  <si>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</si>
  <si>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</si>
  <si>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</si>
  <si>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</si>
  <si>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</si>
  <si>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</si>
  <si>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</si>
  <si>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</si>
  <si>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</si>
  <si>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</si>
  <si>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</si>
  <si>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</si>
  <si>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</si>
  <si>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</si>
  <si>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</si>
  <si>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</si>
  <si>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</si>
  <si>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</si>
  <si>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</si>
  <si>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</si>
  <si>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</si>
  <si>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</si>
  <si>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</si>
  <si>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</si>
  <si>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</si>
  <si>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</si>
  <si>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</si>
  <si>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</si>
  <si>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</si>
  <si>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</si>
  <si>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</si>
  <si>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</si>
  <si>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</si>
  <si>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</si>
  <si>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</si>
  <si>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</si>
  <si>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</si>
  <si>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</si>
  <si>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</si>
  <si>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</si>
  <si>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</si>
  <si>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</si>
  <si>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</si>
  <si>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</si>
  <si>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</si>
  <si>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</si>
  <si>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</si>
  <si>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</si>
  <si>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</si>
  <si>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</si>
  <si>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</si>
  <si>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</si>
  <si>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</si>
  <si>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</si>
  <si>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</si>
  <si>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</si>
  <si>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</si>
  <si>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</si>
  <si>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</si>
  <si>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</si>
  <si>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</si>
  <si>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</si>
  <si>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</si>
  <si>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</si>
  <si>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</si>
  <si>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</si>
  <si>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</si>
  <si>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</si>
  <si>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</si>
  <si>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</si>
  <si>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</si>
  <si>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</si>
  <si>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</si>
  <si>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</si>
  <si>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</si>
  <si>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</si>
  <si>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</si>
  <si>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</si>
  <si>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</si>
  <si>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</si>
  <si>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</si>
  <si>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</si>
  <si>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</si>
  <si>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</si>
  <si>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</si>
  <si>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</si>
  <si>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</si>
  <si>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</si>
  <si>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</si>
  <si>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</si>
  <si>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</si>
  <si>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</si>
  <si>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</si>
  <si>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</si>
  <si>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</si>
  <si>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</si>
  <si>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</si>
  <si>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</si>
  <si>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</si>
  <si>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</si>
  <si>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</si>
  <si>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</si>
  <si>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</si>
  <si>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</si>
  <si>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</si>
  <si>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</si>
  <si>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</si>
  <si>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</si>
  <si>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</si>
  <si>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</si>
  <si>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</si>
  <si>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</si>
  <si>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</si>
  <si>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</si>
  <si>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</si>
  <si>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</si>
  <si>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</si>
  <si>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</si>
  <si>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</si>
  <si>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</si>
  <si>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</si>
  <si>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</si>
  <si>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</si>
  <si>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</si>
  <si>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</si>
  <si>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</si>
  <si>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</si>
  <si>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</si>
  <si>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</si>
  <si>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</si>
  <si>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</si>
  <si>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</si>
  <si>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</si>
  <si>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</si>
  <si>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</si>
  <si>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</si>
  <si>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</si>
  <si>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</si>
  <si>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</si>
  <si>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</si>
  <si>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</si>
  <si>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</si>
  <si>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</si>
  <si>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</si>
  <si>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</si>
  <si>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</si>
  <si>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</si>
  <si>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</si>
  <si>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</si>
  <si>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</si>
  <si>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</si>
  <si>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</si>
  <si>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</si>
  <si>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</si>
  <si>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</si>
  <si>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</si>
  <si>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</si>
  <si>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</si>
  <si>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</si>
  <si>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</si>
  <si>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</si>
  <si>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</si>
  <si>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</si>
  <si>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</si>
  <si>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</si>
  <si>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</si>
  <si>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</si>
  <si>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</si>
  <si>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</si>
  <si>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</si>
  <si>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</si>
  <si>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</si>
  <si>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</si>
  <si>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</si>
  <si>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</si>
  <si>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</si>
  <si>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</si>
  <si>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</si>
  <si>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</si>
  <si>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</si>
  <si>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</si>
  <si>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</si>
  <si>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</si>
  <si>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</si>
  <si>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</si>
  <si>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</si>
  <si>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</si>
  <si>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</si>
  <si>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</si>
  <si>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</si>
  <si>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</si>
  <si>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</si>
  <si>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</si>
  <si>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</si>
  <si>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</si>
  <si>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</si>
  <si>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</si>
  <si>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</si>
  <si>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</si>
  <si>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</si>
  <si>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</si>
  <si>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</si>
  <si>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</si>
  <si>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</si>
  <si>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</si>
  <si>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</si>
  <si>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</si>
  <si>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</si>
  <si>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</si>
  <si>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</si>
  <si>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</si>
  <si>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</si>
  <si>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</si>
  <si>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</si>
  <si>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</si>
  <si>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</si>
  <si>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</si>
  <si>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</si>
  <si>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</si>
  <si>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</si>
  <si>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</si>
  <si>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</si>
  <si>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</si>
  <si>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</si>
  <si>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</si>
  <si>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</si>
  <si>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</si>
  <si>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</si>
  <si>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</si>
  <si>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</si>
  <si>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</si>
  <si>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</si>
  <si>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</si>
  <si>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</si>
  <si>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</si>
  <si>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</si>
  <si>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</si>
  <si>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</si>
  <si>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</si>
  <si>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</si>
  <si>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</si>
  <si>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</si>
  <si>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</si>
  <si>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</si>
  <si>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</si>
  <si>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</si>
  <si>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</si>
  <si>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</si>
  <si>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</si>
  <si>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</si>
  <si>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</si>
  <si>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</si>
  <si>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</si>
  <si>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</si>
  <si>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</si>
  <si>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</si>
  <si>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</si>
  <si>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</si>
  <si>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</si>
  <si>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</si>
  <si>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</si>
  <si>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</si>
  <si>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</si>
  <si>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</si>
  <si>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</si>
  <si>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</si>
  <si>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</si>
  <si>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</si>
  <si>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</si>
  <si>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</si>
  <si>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</si>
  <si>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</si>
  <si>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</si>
  <si>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</si>
  <si>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</si>
  <si>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</si>
  <si>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</si>
  <si>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</si>
  <si>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</si>
  <si>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</si>
  <si>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</si>
  <si>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</si>
  <si>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</si>
  <si>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</si>
  <si>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</si>
  <si>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</si>
  <si>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</si>
  <si>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</si>
  <si>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</si>
  <si>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</si>
  <si>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</si>
  <si>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</si>
  <si>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</si>
  <si>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</si>
  <si>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</si>
  <si>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</si>
  <si>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</si>
  <si>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</si>
  <si>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</si>
  <si>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</si>
  <si>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</si>
  <si>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</si>
  <si>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</si>
  <si>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</si>
  <si>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</si>
  <si>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</si>
  <si>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</si>
  <si>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</si>
  <si>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</si>
  <si>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</si>
  <si>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</si>
  <si>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</si>
  <si>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</si>
  <si>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</si>
  <si>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</si>
  <si>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</si>
  <si>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</si>
  <si>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</si>
  <si>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</si>
  <si>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</si>
  <si>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</si>
  <si>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</si>
  <si>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</si>
  <si>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</si>
  <si>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</si>
  <si>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</si>
  <si>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</si>
  <si>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</si>
  <si>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</si>
  <si>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</si>
  <si>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</si>
  <si>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</si>
  <si>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</si>
  <si>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</si>
  <si>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</si>
  <si>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</si>
  <si>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</si>
  <si>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</si>
  <si>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</si>
  <si>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</si>
  <si>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</si>
  <si>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</si>
  <si>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</si>
  <si>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</si>
  <si>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</si>
  <si>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</si>
  <si>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</si>
  <si>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</si>
  <si>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</si>
  <si>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</si>
  <si>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</si>
  <si>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</si>
  <si>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</si>
  <si>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</si>
  <si>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</si>
  <si>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</si>
  <si>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</si>
  <si>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</si>
  <si>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</si>
  <si>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</si>
  <si>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</si>
  <si>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</si>
  <si>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</si>
  <si>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</si>
  <si>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</si>
  <si>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</si>
  <si>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</si>
  <si>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</si>
  <si>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</si>
  <si>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</si>
  <si>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</si>
  <si>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</si>
  <si>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</si>
  <si>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</si>
  <si>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</si>
  <si>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</si>
  <si>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</si>
  <si>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</si>
  <si>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</si>
  <si>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</si>
  <si>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</si>
  <si>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</si>
  <si>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</si>
  <si>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</si>
  <si>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</si>
  <si>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</si>
  <si>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</si>
  <si>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</si>
  <si>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</si>
  <si>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</si>
  <si>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</si>
  <si>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</si>
  <si>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</si>
  <si>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</si>
  <si>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</si>
  <si>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</si>
  <si>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</si>
  <si>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</si>
  <si>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</si>
  <si>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</si>
  <si>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</si>
  <si>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</si>
  <si>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</si>
  <si>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</si>
  <si>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</si>
  <si>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</si>
  <si>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</si>
  <si>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</si>
  <si>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</si>
  <si>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</si>
  <si>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</si>
  <si>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</si>
  <si>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</si>
  <si>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</si>
  <si>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</si>
  <si>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</si>
  <si>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</si>
  <si>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</si>
  <si>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</si>
  <si>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</si>
  <si>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</si>
  <si>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</si>
  <si>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</si>
  <si>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</si>
  <si>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</si>
  <si>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</si>
  <si>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</si>
  <si>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</si>
  <si>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</si>
  <si>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</si>
  <si>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</si>
  <si>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</si>
  <si>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</si>
  <si>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</si>
  <si>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</si>
  <si>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</si>
  <si>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</si>
  <si>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</si>
  <si>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</si>
  <si>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</si>
  <si>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</si>
  <si>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</si>
  <si>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</si>
  <si>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</si>
  <si>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</si>
  <si>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</si>
  <si>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</si>
  <si>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</si>
  <si>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</si>
  <si>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</si>
  <si>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</si>
  <si>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</si>
  <si>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</si>
  <si>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</si>
  <si>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</si>
  <si>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</si>
  <si>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</si>
  <si>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</si>
  <si>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</si>
  <si>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</si>
  <si>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</si>
  <si>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</si>
  <si>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</si>
  <si>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</si>
  <si>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</si>
  <si>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</si>
  <si>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</si>
  <si>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</si>
  <si>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</si>
  <si>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</si>
  <si>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</si>
  <si>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</si>
  <si>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</si>
  <si>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</si>
  <si>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</si>
  <si>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</si>
  <si>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</si>
  <si>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</si>
  <si>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</si>
  <si>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</si>
  <si>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</si>
  <si>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</si>
  <si>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</si>
  <si>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</si>
  <si>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</si>
  <si>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</si>
  <si>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</si>
  <si>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</si>
  <si>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</si>
  <si>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</si>
  <si>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</si>
  <si>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</si>
  <si>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</si>
  <si>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</si>
  <si>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</si>
  <si>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</si>
  <si>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</si>
  <si>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</si>
  <si>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</si>
  <si>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</si>
  <si>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</si>
  <si>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</si>
  <si>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</si>
  <si>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</si>
  <si>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</si>
  <si>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</si>
  <si>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</si>
  <si>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</si>
  <si>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</si>
  <si>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</si>
  <si>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</si>
  <si>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</si>
  <si>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</si>
  <si>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</si>
  <si>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</si>
  <si>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</si>
  <si>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</si>
  <si>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</si>
  <si>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</si>
  <si>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</si>
  <si>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</si>
  <si>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</si>
  <si>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</si>
  <si>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</si>
  <si>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</si>
  <si>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</si>
  <si>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</si>
  <si>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</si>
  <si>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</si>
  <si>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</si>
  <si>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</si>
  <si>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</si>
  <si>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</si>
  <si>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</si>
  <si>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</si>
  <si>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</si>
  <si>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</si>
  <si>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</si>
  <si>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</si>
  <si>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</si>
  <si>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</si>
  <si>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</si>
  <si>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</si>
  <si>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</si>
  <si>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</si>
  <si>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</si>
  <si>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</si>
  <si>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</si>
  <si>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</si>
  <si>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</si>
  <si>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</si>
  <si>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</si>
  <si>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</si>
  <si>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</si>
  <si>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</si>
  <si>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</si>
  <si>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</si>
  <si>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</si>
  <si>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</si>
  <si>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</si>
  <si>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</si>
  <si>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</si>
  <si>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</si>
  <si>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</si>
  <si>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</si>
  <si>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</si>
  <si>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</si>
  <si>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</si>
  <si>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</si>
  <si>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</si>
  <si>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</si>
  <si>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</si>
  <si>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</si>
  <si>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</si>
  <si>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</si>
  <si>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</si>
  <si>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</si>
  <si>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</si>
  <si>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</si>
  <si>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</si>
  <si>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</si>
  <si>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</si>
  <si>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</si>
  <si>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</si>
  <si>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</si>
  <si>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</si>
  <si>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</si>
  <si>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</si>
  <si>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</si>
  <si>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</si>
  <si>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</si>
  <si>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</si>
  <si>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</si>
  <si>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</si>
  <si>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</si>
  <si>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</si>
  <si>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</si>
  <si>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</si>
  <si>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</si>
  <si>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</si>
  <si>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</si>
  <si>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</si>
  <si>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</si>
  <si>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</si>
  <si>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</si>
  <si>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</si>
  <si>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</si>
  <si>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</si>
  <si>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</si>
  <si>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</si>
  <si>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</si>
  <si>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</si>
  <si>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</si>
  <si>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</si>
  <si>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LIVINGSTON</t>
  </si>
  <si>
    <t>605 NORTH SEVENTH STREET</t>
  </si>
  <si>
    <t>FAIRBURY</t>
  </si>
  <si>
    <t>PAULA CRANE</t>
  </si>
  <si>
    <t>pcrane@prairiecentral.org</t>
  </si>
  <si>
    <t>815-692-2504</t>
  </si>
  <si>
    <t>815-692-3195</t>
  </si>
  <si>
    <t>FLOYD &amp; ASSOCIATES, CPAs</t>
  </si>
  <si>
    <t>JULIE M. FLOYD, CPA</t>
  </si>
  <si>
    <t>910 STATE HIGHWAY 54 EAST</t>
  </si>
  <si>
    <t>CLINTON</t>
  </si>
  <si>
    <t>IL</t>
  </si>
  <si>
    <t>217-935-8871</t>
  </si>
  <si>
    <t>217-935-5711</t>
  </si>
  <si>
    <t>julie.floyd@frontier.com</t>
  </si>
  <si>
    <t>General Obligation School Bond</t>
  </si>
  <si>
    <t>Illinois Energy Consorteum</t>
  </si>
  <si>
    <t>LaSalle County Regional Office of Education</t>
  </si>
  <si>
    <t>Livingston County Special Services Unit</t>
  </si>
  <si>
    <t>Page 10, Line 74:</t>
  </si>
  <si>
    <t xml:space="preserve">   Education Fund</t>
  </si>
  <si>
    <t xml:space="preserve">     Vendor Booth Rental</t>
  </si>
  <si>
    <t xml:space="preserve">     Outside Vendor Café Sales</t>
  </si>
  <si>
    <t xml:space="preserve">     Other Food Service Revenue</t>
  </si>
  <si>
    <t>Page 11, Line 107:</t>
  </si>
  <si>
    <t xml:space="preserve">     Application Fees</t>
  </si>
  <si>
    <t xml:space="preserve">     Career Grant</t>
  </si>
  <si>
    <t xml:space="preserve">     Steam Grant</t>
  </si>
  <si>
    <t xml:space="preserve">     EIR (Team Lead) Grant</t>
  </si>
  <si>
    <t xml:space="preserve">     E-Rate Rebate</t>
  </si>
  <si>
    <t xml:space="preserve">     Other Local Revenue</t>
  </si>
  <si>
    <t xml:space="preserve">   Transportation Fund</t>
  </si>
  <si>
    <t xml:space="preserve">     Other Revenue</t>
  </si>
  <si>
    <t>Page 12, Line 168:</t>
  </si>
  <si>
    <t xml:space="preserve">     Library Grant</t>
  </si>
  <si>
    <t>Page 18, Line 171:</t>
  </si>
  <si>
    <t xml:space="preserve">   Debt Service Fund</t>
  </si>
  <si>
    <t xml:space="preserve">     Bond Fees</t>
  </si>
  <si>
    <t xml:space="preserve">   Debt Service Funds</t>
  </si>
  <si>
    <t>Page 8, Line 75:</t>
  </si>
  <si>
    <t xml:space="preserve">     Real Estate Tax repayment due to error by McLean County</t>
  </si>
  <si>
    <t>ED-Health Services-Purchased Services</t>
  </si>
  <si>
    <t>Gibson Area Hospital</t>
  </si>
  <si>
    <t>U.S DEPARTMENT OF AGRICULTURE:</t>
  </si>
  <si>
    <t>Passed through the Illinois State Board of Education</t>
  </si>
  <si>
    <t>National School Lunch</t>
  </si>
  <si>
    <t>2018-4210</t>
  </si>
  <si>
    <t>2019-4210</t>
  </si>
  <si>
    <t>N/A</t>
  </si>
  <si>
    <t>2018-4220</t>
  </si>
  <si>
    <t>2018-4215</t>
  </si>
  <si>
    <t>2019-4215</t>
  </si>
  <si>
    <t>2019-4220</t>
  </si>
  <si>
    <t>Commodity Credit</t>
  </si>
  <si>
    <t>TOTAL U.S. DEPARTMENT OF AGRICULTURE</t>
  </si>
  <si>
    <t>U.S. DEPARTMENT OF DEFENSE:</t>
  </si>
  <si>
    <t>Fresh Fruits and Vegetables (Non Cash)</t>
  </si>
  <si>
    <t>U.S. DEPARTMENT OF EDUCATION</t>
  </si>
  <si>
    <t>84.010A</t>
  </si>
  <si>
    <t>2018-4300</t>
  </si>
  <si>
    <t>2019-4300</t>
  </si>
  <si>
    <t>2019-4331</t>
  </si>
  <si>
    <t>Title IVA - Student Support &amp; Academic Enrichment</t>
  </si>
  <si>
    <t>84.424A</t>
  </si>
  <si>
    <t>2019-4400</t>
  </si>
  <si>
    <t>84.027A</t>
  </si>
  <si>
    <t>2018-4625</t>
  </si>
  <si>
    <t>84.367A</t>
  </si>
  <si>
    <t>2018-4932</t>
  </si>
  <si>
    <t>2019-4932</t>
  </si>
  <si>
    <t>TOTAL U.S. DEPARTMENT OF EDUCATION</t>
  </si>
  <si>
    <t>TOTAL FEDERAL AWARDS</t>
  </si>
  <si>
    <t>Title I - Low Income (M)</t>
  </si>
  <si>
    <t>Federal - Special Education - IDEA (M)</t>
  </si>
  <si>
    <t>2019-4625</t>
  </si>
  <si>
    <t>Federal - Regional Techinical Prep</t>
  </si>
  <si>
    <t>2019-4770</t>
  </si>
  <si>
    <r>
      <t xml:space="preserve">The accompanying Schedule of Expenditures of Federal Awards includes the federal grant activity of </t>
    </r>
    <r>
      <rPr>
        <b/>
        <sz val="9"/>
        <rFont val="Calibri"/>
        <family val="2"/>
        <scheme val="minor"/>
      </rPr>
      <t>Prairie Central CUSD #8</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</si>
  <si>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</si>
  <si>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Unmodified</t>
  </si>
  <si>
    <t>Title I - School Improvement and Accountability</t>
  </si>
  <si>
    <t>Federal - Special Education - IDEA</t>
  </si>
  <si>
    <t>Federal - Special Education - IDEA - Room &amp; Board (M)</t>
  </si>
  <si>
    <t>Of the federal expenditures presented in the schedule, Prairie Central CUSD #8 provided federal awards to subrecipients as follows:</t>
  </si>
  <si>
    <t>10-2100-300</t>
  </si>
  <si>
    <t>Prairie Central CUSD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</si>
</sst>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 fontId="57" fillId="0" borderId="0" xfId="0" applyNumberFormat="1" applyFont="1"/>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8913" name="Object 1" hidden="1">
              <a:extLst>
                <a:ext uri="{63B3BB69-23CF-44E3-9099-C40C66FF867C}">
                  <a14:compatExt spid="_x0000_s38913"/>
                </a:ext>
                <a:ext uri="{FF2B5EF4-FFF2-40B4-BE49-F238E27FC236}">
                  <a16:creationId xmlns:a16="http://schemas.microsoft.com/office/drawing/2014/main" id="{00000000-0008-0000-14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17" t="s">
        <v>405</v>
      </c>
      <c r="J1" s="2018"/>
      <c r="K1" s="2018"/>
      <c r="L1" s="2018"/>
      <c r="M1" s="2018"/>
      <c r="N1" s="2018"/>
      <c r="O1" s="2018"/>
      <c r="P1" s="2018"/>
      <c r="Q1" s="2018"/>
      <c r="R1" s="2018"/>
      <c r="S1" s="2018"/>
    </row>
    <row r="2" spans="1:28" ht="12" customHeight="1" x14ac:dyDescent="0.2">
      <c r="A2" s="47" t="s">
        <v>1989</v>
      </c>
      <c r="D2" s="48"/>
      <c r="I2" s="2019" t="s">
        <v>979</v>
      </c>
      <c r="J2" s="2018"/>
      <c r="K2" s="2018"/>
      <c r="L2" s="2018"/>
      <c r="M2" s="2018"/>
      <c r="N2" s="2018"/>
      <c r="O2" s="2018"/>
      <c r="P2" s="2018"/>
      <c r="Q2" s="2018"/>
      <c r="R2" s="2018"/>
      <c r="S2" s="2018"/>
    </row>
    <row r="3" spans="1:28" ht="12" customHeight="1" x14ac:dyDescent="0.2">
      <c r="A3" s="155" t="s">
        <v>1941</v>
      </c>
      <c r="B3" s="156"/>
      <c r="C3" s="156"/>
      <c r="D3" s="157"/>
      <c r="I3" s="2019" t="s">
        <v>52</v>
      </c>
      <c r="J3" s="2018"/>
      <c r="K3" s="2018"/>
      <c r="L3" s="2018"/>
      <c r="M3" s="2018"/>
      <c r="N3" s="2018"/>
      <c r="O3" s="2018"/>
      <c r="P3" s="2018"/>
      <c r="Q3" s="2018"/>
      <c r="R3" s="2018"/>
      <c r="S3" s="2018"/>
    </row>
    <row r="4" spans="1:28" ht="12" customHeight="1" x14ac:dyDescent="0.2">
      <c r="A4" s="37"/>
      <c r="I4" s="2019" t="s">
        <v>524</v>
      </c>
      <c r="J4" s="2018"/>
      <c r="K4" s="2018"/>
      <c r="L4" s="2018"/>
      <c r="M4" s="2018"/>
      <c r="N4" s="2018"/>
      <c r="O4" s="2018"/>
      <c r="P4" s="2018"/>
      <c r="Q4" s="2018"/>
      <c r="R4" s="2018"/>
      <c r="S4" s="2018"/>
    </row>
    <row r="5" spans="1:28" ht="14.1" customHeight="1" x14ac:dyDescent="0.2">
      <c r="B5" s="104" t="s">
        <v>2062</v>
      </c>
      <c r="C5" s="26" t="s">
        <v>910</v>
      </c>
      <c r="D5" s="84"/>
      <c r="E5" s="84"/>
      <c r="H5" s="38"/>
      <c r="I5" s="2026" t="s">
        <v>680</v>
      </c>
      <c r="J5" s="1971"/>
      <c r="K5" s="1971"/>
      <c r="L5" s="1971"/>
      <c r="M5" s="1971"/>
      <c r="N5" s="1971"/>
      <c r="O5" s="1971"/>
      <c r="P5" s="1971"/>
      <c r="Q5" s="1971"/>
      <c r="R5" s="1971"/>
      <c r="S5" s="1971"/>
    </row>
    <row r="6" spans="1:28" ht="14.1" customHeight="1" x14ac:dyDescent="0.2">
      <c r="B6" s="104"/>
      <c r="C6" s="26" t="s">
        <v>911</v>
      </c>
      <c r="D6" s="84"/>
      <c r="E6" s="84"/>
      <c r="I6" s="2025" t="s">
        <v>883</v>
      </c>
      <c r="J6" s="1971"/>
      <c r="K6" s="1971"/>
      <c r="L6" s="1971"/>
      <c r="M6" s="1971"/>
      <c r="N6" s="1971"/>
      <c r="O6" s="1971"/>
      <c r="P6" s="1971"/>
      <c r="Q6" s="1971"/>
      <c r="R6" s="1971"/>
      <c r="S6" s="1971"/>
    </row>
    <row r="7" spans="1:28" ht="12.2" customHeight="1" x14ac:dyDescent="0.2">
      <c r="I7" s="2020">
        <v>43646</v>
      </c>
      <c r="J7" s="2021"/>
      <c r="K7" s="2021"/>
      <c r="L7" s="2021"/>
      <c r="M7" s="2021"/>
      <c r="N7" s="2021"/>
      <c r="O7" s="2021"/>
      <c r="P7" s="2021"/>
      <c r="Q7" s="2021"/>
      <c r="R7" s="2021"/>
      <c r="S7" s="202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2" t="s">
        <v>674</v>
      </c>
      <c r="J9" s="2023"/>
      <c r="K9" s="2023"/>
      <c r="L9" s="2023"/>
      <c r="M9" s="2023"/>
      <c r="N9" s="2023"/>
      <c r="O9" s="2023"/>
      <c r="P9" s="2023"/>
      <c r="Q9" s="2023"/>
      <c r="R9" s="2023"/>
      <c r="S9" s="2024"/>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2062</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17053008026</v>
      </c>
      <c r="B13" s="1988"/>
      <c r="C13" s="1988"/>
      <c r="D13" s="1988"/>
      <c r="E13" s="1988"/>
      <c r="F13" s="1988"/>
      <c r="G13" s="1988"/>
      <c r="H13" s="1989"/>
      <c r="I13" s="31"/>
      <c r="J13" s="30"/>
      <c r="K13" s="28"/>
      <c r="L13" s="30"/>
      <c r="M13" s="30"/>
      <c r="N13" s="30"/>
      <c r="O13" s="30"/>
      <c r="P13" s="30"/>
      <c r="Q13" s="30"/>
      <c r="R13" s="30"/>
      <c r="S13" s="30"/>
      <c r="T13" s="1992" t="s">
        <v>2070</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2063</v>
      </c>
      <c r="B15" s="1990"/>
      <c r="C15" s="1990"/>
      <c r="D15" s="1990"/>
      <c r="E15" s="1990"/>
      <c r="F15" s="1990"/>
      <c r="G15" s="1990"/>
      <c r="H15" s="1991"/>
      <c r="T15" s="1953" t="s">
        <v>2071</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5" t="s">
        <v>2148</v>
      </c>
      <c r="B17" s="2015"/>
      <c r="C17" s="2015"/>
      <c r="D17" s="2015"/>
      <c r="E17" s="2015"/>
      <c r="F17" s="2015"/>
      <c r="G17" s="2015"/>
      <c r="H17" s="2016"/>
      <c r="T17" s="2002" t="s">
        <v>2072</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2064</v>
      </c>
      <c r="B19" s="1986"/>
      <c r="C19" s="1986"/>
      <c r="D19" s="1986"/>
      <c r="E19" s="1986"/>
      <c r="F19" s="1986"/>
      <c r="G19" s="1986"/>
      <c r="H19" s="1984"/>
      <c r="I19" s="30"/>
      <c r="J19" s="99"/>
      <c r="K19" s="40"/>
      <c r="L19" s="38"/>
      <c r="M19" s="112" t="s">
        <v>315</v>
      </c>
      <c r="P19" s="27"/>
      <c r="Q19" s="27"/>
      <c r="R19" s="27"/>
      <c r="S19" s="31"/>
      <c r="T19" s="1985" t="s">
        <v>2073</v>
      </c>
      <c r="U19" s="1983"/>
      <c r="V19" s="1983"/>
      <c r="W19" s="1984"/>
      <c r="X19" s="2000" t="s">
        <v>2074</v>
      </c>
      <c r="Y19" s="2001"/>
      <c r="Z19" s="1998">
        <v>61727</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2065</v>
      </c>
      <c r="B21" s="1983"/>
      <c r="C21" s="1983"/>
      <c r="D21" s="1983"/>
      <c r="E21" s="1983"/>
      <c r="F21" s="1983"/>
      <c r="G21" s="1983"/>
      <c r="H21" s="1984"/>
      <c r="I21" s="2008" t="s">
        <v>678</v>
      </c>
      <c r="J21" s="1971"/>
      <c r="K21" s="1971"/>
      <c r="L21" s="1971"/>
      <c r="M21" s="1971"/>
      <c r="N21" s="1971"/>
      <c r="O21" s="1971"/>
      <c r="P21" s="1971"/>
      <c r="Q21" s="1971"/>
      <c r="R21" s="1971"/>
      <c r="S21" s="1972"/>
      <c r="T21" s="1950" t="s">
        <v>2075</v>
      </c>
      <c r="U21" s="1951"/>
      <c r="V21" s="1951"/>
      <c r="W21" s="1951"/>
      <c r="X21" s="1964" t="s">
        <v>2076</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v>66.004384999999999</v>
      </c>
      <c r="U23" s="1946"/>
      <c r="V23" s="1946"/>
      <c r="W23" s="1946"/>
      <c r="X23" s="1961">
        <v>44530</v>
      </c>
      <c r="Y23" s="1962"/>
      <c r="Z23" s="1962"/>
      <c r="AA23" s="1963"/>
    </row>
    <row r="24" spans="1:27" ht="14.1" customHeight="1" x14ac:dyDescent="0.2">
      <c r="A24" s="88" t="s">
        <v>677</v>
      </c>
      <c r="B24" s="49"/>
      <c r="C24" s="49"/>
      <c r="D24" s="49"/>
      <c r="E24" s="49"/>
      <c r="F24" s="49"/>
      <c r="G24" s="49"/>
      <c r="H24" s="61"/>
      <c r="J24" s="2047">
        <f>IF(B5="x",IF(AUDITCHECK!D29="AFR form Incomplete.","",IF(AUDITCHECK!D29="Deficit reduction plan is required.","School District must complete a deficit reduction plan in the 2019-2020 Budget",)),"")</f>
        <v>0</v>
      </c>
      <c r="K24" s="2047"/>
      <c r="L24" s="2047"/>
      <c r="M24" s="2047"/>
      <c r="N24" s="2047"/>
      <c r="O24" s="2047"/>
      <c r="P24" s="2047"/>
      <c r="Q24" s="2047"/>
      <c r="R24" s="2047"/>
      <c r="S24" s="2048"/>
      <c r="T24" s="105" t="s">
        <v>531</v>
      </c>
      <c r="U24" s="106"/>
      <c r="V24" s="106"/>
      <c r="W24" s="106"/>
      <c r="X24" s="107"/>
      <c r="Y24" s="107"/>
      <c r="Z24" s="107"/>
      <c r="AA24" s="108"/>
    </row>
    <row r="25" spans="1:27" ht="14.1" customHeight="1" x14ac:dyDescent="0.2">
      <c r="A25" s="1982">
        <v>61739</v>
      </c>
      <c r="B25" s="1983"/>
      <c r="C25" s="1983"/>
      <c r="D25" s="1983"/>
      <c r="E25" s="1983"/>
      <c r="F25" s="1983"/>
      <c r="G25" s="1983"/>
      <c r="H25" s="1984"/>
      <c r="I25" s="113"/>
      <c r="J25" s="2049"/>
      <c r="K25" s="2049"/>
      <c r="L25" s="2049"/>
      <c r="M25" s="2049"/>
      <c r="N25" s="2049"/>
      <c r="O25" s="2049"/>
      <c r="P25" s="2049"/>
      <c r="Q25" s="2049"/>
      <c r="R25" s="2049"/>
      <c r="S25" s="2050"/>
      <c r="T25" s="1942" t="s">
        <v>2077</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0"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2062</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2062</v>
      </c>
      <c r="C30" s="124" t="s">
        <v>1164</v>
      </c>
      <c r="D30" s="28"/>
      <c r="E30" s="28"/>
      <c r="F30" s="140"/>
      <c r="G30" s="114"/>
      <c r="H30" s="114"/>
      <c r="I30" s="54"/>
      <c r="J30" s="148" t="s">
        <v>2062</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5" t="s">
        <v>2066</v>
      </c>
      <c r="B38" s="2015"/>
      <c r="C38" s="2015"/>
      <c r="D38" s="2015"/>
      <c r="E38" s="2015"/>
      <c r="F38" s="1983"/>
      <c r="G38" s="1983"/>
      <c r="H38" s="1984"/>
      <c r="I38" s="2034"/>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8" t="s">
        <v>531</v>
      </c>
      <c r="B39" s="2039"/>
      <c r="C39" s="72"/>
      <c r="D39" s="69"/>
      <c r="E39" s="69"/>
      <c r="F39" s="79"/>
      <c r="G39" s="69"/>
      <c r="H39" s="56"/>
      <c r="I39" s="2038" t="s">
        <v>531</v>
      </c>
      <c r="J39" s="2039"/>
      <c r="K39" s="2039"/>
      <c r="L39" s="2039"/>
      <c r="M39" s="2039"/>
      <c r="N39" s="67"/>
      <c r="O39" s="72"/>
      <c r="P39" s="72"/>
      <c r="Q39" s="78"/>
      <c r="R39" s="72"/>
      <c r="S39" s="56"/>
      <c r="T39" s="72" t="s">
        <v>531</v>
      </c>
      <c r="U39" s="51"/>
      <c r="V39" s="72"/>
      <c r="W39" s="50"/>
      <c r="X39" s="78"/>
      <c r="Y39" s="45"/>
      <c r="Z39" s="45"/>
      <c r="AA39" s="46"/>
    </row>
    <row r="40" spans="1:27" ht="13.5" customHeight="1" x14ac:dyDescent="0.2">
      <c r="A40" s="2041" t="s">
        <v>2067</v>
      </c>
      <c r="B40" s="2042"/>
      <c r="C40" s="2043"/>
      <c r="D40" s="2043"/>
      <c r="E40" s="2043"/>
      <c r="F40" s="2044"/>
      <c r="G40" s="2044"/>
      <c r="H40" s="2045"/>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1" t="s">
        <v>2068</v>
      </c>
      <c r="B42" s="2032"/>
      <c r="C42" s="2033"/>
      <c r="D42" s="2046" t="s">
        <v>2069</v>
      </c>
      <c r="E42" s="2032"/>
      <c r="F42" s="2032"/>
      <c r="G42" s="2032"/>
      <c r="H42" s="2033"/>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7"/>
      <c r="J44" s="2029"/>
      <c r="K44" s="2029"/>
      <c r="L44" s="2029"/>
      <c r="M44" s="2029"/>
      <c r="N44" s="2029"/>
      <c r="O44" s="2029"/>
      <c r="P44" s="2029"/>
      <c r="Q44" s="2029"/>
      <c r="R44" s="2029"/>
      <c r="S44" s="2030"/>
      <c r="T44" s="2027"/>
      <c r="U44" s="2028"/>
      <c r="V44" s="2028"/>
      <c r="W44" s="2028"/>
      <c r="X44" s="2028"/>
      <c r="Y44" s="2028"/>
      <c r="Z44" s="2029"/>
      <c r="AA44" s="203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U31" sqref="U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4" t="s">
        <v>1065</v>
      </c>
      <c r="B35" s="2054"/>
      <c r="C35" s="2054"/>
      <c r="D35" s="2054"/>
      <c r="E35" s="205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1" t="s">
        <v>691</v>
      </c>
      <c r="B40" s="2051"/>
      <c r="C40" s="2051"/>
      <c r="D40" s="2051"/>
      <c r="E40" s="2051"/>
    </row>
    <row r="41" spans="1:5" x14ac:dyDescent="0.2">
      <c r="A41" s="2052" t="s">
        <v>1608</v>
      </c>
      <c r="B41" s="2052"/>
      <c r="C41" s="2052"/>
      <c r="D41" s="2052"/>
      <c r="E41" s="2052"/>
    </row>
    <row r="42" spans="1:5" ht="12.75" customHeight="1" x14ac:dyDescent="0.2">
      <c r="A42" s="2053" t="s">
        <v>1022</v>
      </c>
      <c r="B42" s="2053"/>
      <c r="C42" s="2053"/>
      <c r="D42" s="2053"/>
      <c r="E42" s="2053"/>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U31" sqref="U3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5" t="s">
        <v>1168</v>
      </c>
      <c r="B2" s="2055"/>
      <c r="C2" s="2055"/>
      <c r="D2" s="2055"/>
      <c r="E2" s="2055"/>
      <c r="F2" s="2055"/>
      <c r="G2" s="2055"/>
      <c r="H2" s="2055"/>
      <c r="I2" s="2055"/>
      <c r="J2" s="205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9" t="s">
        <v>1633</v>
      </c>
      <c r="B35" s="2070"/>
      <c r="C35" s="2070"/>
      <c r="D35" s="2070"/>
      <c r="E35" s="2071"/>
      <c r="F35" s="2071"/>
      <c r="G35" s="2071"/>
      <c r="H35" s="2071"/>
      <c r="I35" s="207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9" t="s">
        <v>313</v>
      </c>
      <c r="B47" s="2072"/>
      <c r="C47" s="2072"/>
      <c r="D47" s="2072"/>
      <c r="E47" s="2073"/>
      <c r="F47" s="2073"/>
      <c r="G47" s="2073"/>
      <c r="H47" s="2073"/>
      <c r="I47" s="207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6"/>
      <c r="C57" s="2077"/>
      <c r="D57" s="2077"/>
      <c r="E57" s="2077"/>
      <c r="F57" s="2077"/>
      <c r="G57" s="2077"/>
      <c r="H57" s="2077"/>
      <c r="I57" s="2077"/>
      <c r="J57" s="2078"/>
    </row>
    <row r="58" spans="1:10" s="181" customFormat="1" x14ac:dyDescent="0.2">
      <c r="A58" s="253"/>
      <c r="B58" s="2079"/>
      <c r="C58" s="2080"/>
      <c r="D58" s="2080"/>
      <c r="E58" s="2080"/>
      <c r="F58" s="2080"/>
      <c r="G58" s="2080"/>
      <c r="H58" s="2080"/>
      <c r="I58" s="2080"/>
      <c r="J58" s="2081"/>
    </row>
    <row r="59" spans="1:10" s="181" customFormat="1" x14ac:dyDescent="0.2">
      <c r="A59" s="253"/>
      <c r="B59" s="2079"/>
      <c r="C59" s="2080"/>
      <c r="D59" s="2080"/>
      <c r="E59" s="2080"/>
      <c r="F59" s="2080"/>
      <c r="G59" s="2080"/>
      <c r="H59" s="2080"/>
      <c r="I59" s="2080"/>
      <c r="J59" s="2081"/>
    </row>
    <row r="60" spans="1:10" s="181" customFormat="1" x14ac:dyDescent="0.2">
      <c r="A60" s="253"/>
      <c r="B60" s="2079"/>
      <c r="C60" s="2080"/>
      <c r="D60" s="2080"/>
      <c r="E60" s="2080"/>
      <c r="F60" s="2080"/>
      <c r="G60" s="2080"/>
      <c r="H60" s="2080"/>
      <c r="I60" s="2080"/>
      <c r="J60" s="2081"/>
    </row>
    <row r="61" spans="1:10" s="181" customFormat="1" x14ac:dyDescent="0.2">
      <c r="A61" s="253"/>
      <c r="B61" s="2079"/>
      <c r="C61" s="2080"/>
      <c r="D61" s="2080"/>
      <c r="E61" s="2080"/>
      <c r="F61" s="2080"/>
      <c r="G61" s="2080"/>
      <c r="H61" s="2080"/>
      <c r="I61" s="2080"/>
      <c r="J61" s="2081"/>
    </row>
    <row r="62" spans="1:10" s="181" customFormat="1" x14ac:dyDescent="0.2">
      <c r="A62" s="253"/>
      <c r="B62" s="2079"/>
      <c r="C62" s="2080"/>
      <c r="D62" s="2080"/>
      <c r="E62" s="2080"/>
      <c r="F62" s="2080"/>
      <c r="G62" s="2080"/>
      <c r="H62" s="2080"/>
      <c r="I62" s="2080"/>
      <c r="J62" s="2081"/>
    </row>
    <row r="63" spans="1:10" s="181" customFormat="1" x14ac:dyDescent="0.2">
      <c r="A63" s="253"/>
      <c r="B63" s="2079"/>
      <c r="C63" s="2080"/>
      <c r="D63" s="2080"/>
      <c r="E63" s="2080"/>
      <c r="F63" s="2080"/>
      <c r="G63" s="2080"/>
      <c r="H63" s="2080"/>
      <c r="I63" s="2080"/>
      <c r="J63" s="2081"/>
    </row>
    <row r="64" spans="1:10" s="181" customFormat="1" x14ac:dyDescent="0.2">
      <c r="A64" s="253"/>
      <c r="B64" s="2079"/>
      <c r="C64" s="2080"/>
      <c r="D64" s="2080"/>
      <c r="E64" s="2080"/>
      <c r="F64" s="2080"/>
      <c r="G64" s="2080"/>
      <c r="H64" s="2080"/>
      <c r="I64" s="2080"/>
      <c r="J64" s="2081"/>
    </row>
    <row r="65" spans="1:10" s="181" customFormat="1" x14ac:dyDescent="0.2">
      <c r="A65" s="253"/>
      <c r="B65" s="2079"/>
      <c r="C65" s="2080"/>
      <c r="D65" s="2080"/>
      <c r="E65" s="2080"/>
      <c r="F65" s="2080"/>
      <c r="G65" s="2080"/>
      <c r="H65" s="2080"/>
      <c r="I65" s="2080"/>
      <c r="J65" s="2081"/>
    </row>
    <row r="66" spans="1:10" s="181" customFormat="1" x14ac:dyDescent="0.2">
      <c r="A66" s="253"/>
      <c r="B66" s="2079"/>
      <c r="C66" s="2080"/>
      <c r="D66" s="2080"/>
      <c r="E66" s="2080"/>
      <c r="F66" s="2080"/>
      <c r="G66" s="2080"/>
      <c r="H66" s="2080"/>
      <c r="I66" s="2080"/>
      <c r="J66" s="2081"/>
    </row>
    <row r="67" spans="1:10" s="181" customFormat="1" ht="9" customHeight="1" x14ac:dyDescent="0.2">
      <c r="A67" s="254"/>
      <c r="B67" s="2082"/>
      <c r="C67" s="2083"/>
      <c r="D67" s="2083"/>
      <c r="E67" s="2083"/>
      <c r="F67" s="2083"/>
      <c r="G67" s="2083"/>
      <c r="H67" s="2083"/>
      <c r="I67" s="2083"/>
      <c r="J67" s="208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9" t="s">
        <v>1323</v>
      </c>
      <c r="B70" s="2072"/>
      <c r="C70" s="2072"/>
      <c r="D70" s="2072"/>
      <c r="E70" s="2073"/>
      <c r="F70" s="2073"/>
      <c r="G70" s="2073"/>
      <c r="H70" s="2073"/>
      <c r="I70" s="207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4" t="s">
        <v>1320</v>
      </c>
      <c r="B83" s="2074"/>
      <c r="C83" s="2074"/>
      <c r="D83" s="207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6"/>
      <c r="C102" s="2057"/>
      <c r="D102" s="2057"/>
      <c r="E102" s="2057"/>
      <c r="F102" s="2057"/>
      <c r="G102" s="2057"/>
      <c r="H102" s="2057"/>
      <c r="I102" s="2058"/>
    </row>
    <row r="103" spans="1:9" s="181" customFormat="1" ht="11.25" customHeight="1" x14ac:dyDescent="0.2">
      <c r="A103" s="316"/>
      <c r="B103" s="2059"/>
      <c r="C103" s="2060"/>
      <c r="D103" s="2060"/>
      <c r="E103" s="2060"/>
      <c r="F103" s="2060"/>
      <c r="G103" s="2060"/>
      <c r="H103" s="2060"/>
      <c r="I103" s="2061"/>
    </row>
    <row r="104" spans="1:9" s="181" customFormat="1" ht="11.25" customHeight="1" x14ac:dyDescent="0.2">
      <c r="A104" s="316"/>
      <c r="B104" s="2059"/>
      <c r="C104" s="2060"/>
      <c r="D104" s="2060"/>
      <c r="E104" s="2060"/>
      <c r="F104" s="2060"/>
      <c r="G104" s="2060"/>
      <c r="H104" s="2060"/>
      <c r="I104" s="2061"/>
    </row>
    <row r="105" spans="1:9" s="181" customFormat="1" x14ac:dyDescent="0.2">
      <c r="A105" s="316"/>
      <c r="B105" s="2059"/>
      <c r="C105" s="2060"/>
      <c r="D105" s="2060"/>
      <c r="E105" s="2060"/>
      <c r="F105" s="2060"/>
      <c r="G105" s="2060"/>
      <c r="H105" s="2060"/>
      <c r="I105" s="2061"/>
    </row>
    <row r="106" spans="1:9" s="181" customFormat="1" ht="11.25" customHeight="1" x14ac:dyDescent="0.2">
      <c r="A106" s="316"/>
      <c r="B106" s="2059"/>
      <c r="C106" s="2060"/>
      <c r="D106" s="2060"/>
      <c r="E106" s="2060"/>
      <c r="F106" s="2060"/>
      <c r="G106" s="2060"/>
      <c r="H106" s="2060"/>
      <c r="I106" s="2061"/>
    </row>
    <row r="107" spans="1:9" s="181" customFormat="1" ht="11.25" customHeight="1" x14ac:dyDescent="0.2">
      <c r="A107" s="316"/>
      <c r="B107" s="2059"/>
      <c r="C107" s="2060"/>
      <c r="D107" s="2060"/>
      <c r="E107" s="2060"/>
      <c r="F107" s="2060"/>
      <c r="G107" s="2060"/>
      <c r="H107" s="2060"/>
      <c r="I107" s="2061"/>
    </row>
    <row r="108" spans="1:9" s="181" customFormat="1" ht="11.25" customHeight="1" x14ac:dyDescent="0.2">
      <c r="A108" s="316"/>
      <c r="B108" s="2059"/>
      <c r="C108" s="2060"/>
      <c r="D108" s="2060"/>
      <c r="E108" s="2060"/>
      <c r="F108" s="2060"/>
      <c r="G108" s="2060"/>
      <c r="H108" s="2060"/>
      <c r="I108" s="2061"/>
    </row>
    <row r="109" spans="1:9" s="181" customFormat="1" ht="11.25" customHeight="1" x14ac:dyDescent="0.2">
      <c r="A109" s="316"/>
      <c r="B109" s="2059"/>
      <c r="C109" s="2060"/>
      <c r="D109" s="2060"/>
      <c r="E109" s="2060"/>
      <c r="F109" s="2060"/>
      <c r="G109" s="2060"/>
      <c r="H109" s="2060"/>
      <c r="I109" s="2061"/>
    </row>
    <row r="110" spans="1:9" s="181" customFormat="1" ht="11.25" customHeight="1" x14ac:dyDescent="0.2">
      <c r="A110" s="316"/>
      <c r="B110" s="2059"/>
      <c r="C110" s="2060"/>
      <c r="D110" s="2060"/>
      <c r="E110" s="2060"/>
      <c r="F110" s="2060"/>
      <c r="G110" s="2060"/>
      <c r="H110" s="2060"/>
      <c r="I110" s="2061"/>
    </row>
    <row r="111" spans="1:9" s="181" customFormat="1" ht="11.25" customHeight="1" x14ac:dyDescent="0.2">
      <c r="A111" s="316"/>
      <c r="B111" s="2059"/>
      <c r="C111" s="2060"/>
      <c r="D111" s="2060"/>
      <c r="E111" s="2060"/>
      <c r="F111" s="2060"/>
      <c r="G111" s="2060"/>
      <c r="H111" s="2060"/>
      <c r="I111" s="2061"/>
    </row>
    <row r="112" spans="1:9" s="181" customFormat="1" ht="11.25" customHeight="1" x14ac:dyDescent="0.2">
      <c r="A112" s="316"/>
      <c r="B112" s="2062"/>
      <c r="C112" s="2063"/>
      <c r="D112" s="2063"/>
      <c r="E112" s="2063"/>
      <c r="F112" s="2063"/>
      <c r="G112" s="2063"/>
      <c r="H112" s="2063"/>
      <c r="I112" s="206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5" t="s">
        <v>2070</v>
      </c>
      <c r="D114" s="206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6" t="s">
        <v>1330</v>
      </c>
      <c r="D117" s="2067"/>
      <c r="E117" s="2068"/>
      <c r="F117" s="2068"/>
      <c r="G117" s="2068"/>
      <c r="H117" s="2068"/>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U31" sqref="U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5" t="s">
        <v>386</v>
      </c>
      <c r="B1" s="2085"/>
      <c r="C1" s="2085"/>
      <c r="D1" s="2085"/>
      <c r="E1" s="2085"/>
      <c r="F1" s="2085"/>
      <c r="G1" s="2085"/>
      <c r="H1" s="2085"/>
      <c r="I1" s="2085"/>
      <c r="J1" s="2085"/>
      <c r="K1" s="2085"/>
      <c r="L1" s="2085"/>
      <c r="M1" s="208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233770637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3.3000000000000002E-2</v>
      </c>
      <c r="E10" s="356" t="s">
        <v>1005</v>
      </c>
      <c r="F10" s="355">
        <v>5.0000000000000001E-3</v>
      </c>
      <c r="G10" s="356" t="s">
        <v>1005</v>
      </c>
      <c r="H10" s="355">
        <v>2E-3</v>
      </c>
      <c r="I10" s="356" t="s">
        <v>1006</v>
      </c>
      <c r="J10" s="1732">
        <f>ROUND(D10+F10+H10,5)</f>
        <v>0.04</v>
      </c>
      <c r="K10" s="222"/>
      <c r="L10" s="355">
        <v>5.0000000000000001E-4</v>
      </c>
      <c r="M10" s="222"/>
    </row>
    <row r="11" spans="1:14" ht="7.5" customHeight="1" x14ac:dyDescent="0.2">
      <c r="B11" s="222"/>
      <c r="C11" s="222"/>
      <c r="D11" s="2095" t="str">
        <f>IF(SUM(J10)&lt;=0.0999999,"","Enter the Tax Rates by moving the decimal two places to the left.")</f>
        <v/>
      </c>
      <c r="E11" s="2096"/>
      <c r="F11" s="2096"/>
      <c r="G11" s="2096"/>
      <c r="H11" s="2096"/>
      <c r="I11" s="2096"/>
      <c r="J11" s="209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19457676</v>
      </c>
      <c r="E16" s="356"/>
      <c r="F16" s="1733">
        <f>SUM('Acct Summary 7-8'!C17,'Acct Summary 7-8'!D17,'Acct Summary 7-8'!F17)</f>
        <v>19631225</v>
      </c>
      <c r="G16" s="356"/>
      <c r="H16" s="1733">
        <f>SUM(D16-F16)</f>
        <v>-173549</v>
      </c>
      <c r="I16" s="222"/>
      <c r="J16" s="1733">
        <f>SUM('Acct Summary 7-8'!C81,'Acct Summary 7-8'!D81,'Acct Summary 7-8'!F81,'Acct Summary 7-8'!I81)</f>
        <v>10915339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32260347.906000003</v>
      </c>
      <c r="I31" s="368"/>
      <c r="J31" s="222"/>
      <c r="K31" s="222"/>
      <c r="L31" s="222"/>
      <c r="M31" s="222"/>
    </row>
    <row r="32" spans="1:13" ht="13.35" customHeight="1" x14ac:dyDescent="0.2">
      <c r="B32" s="369" t="s">
        <v>2062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5996000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6"/>
      <c r="C54" s="2087"/>
      <c r="D54" s="2087"/>
      <c r="E54" s="2087"/>
      <c r="F54" s="2087"/>
      <c r="G54" s="2087"/>
      <c r="H54" s="2087"/>
      <c r="I54" s="2087"/>
      <c r="J54" s="2087"/>
      <c r="K54" s="2087"/>
      <c r="L54" s="2088"/>
      <c r="M54" s="380"/>
    </row>
    <row r="55" spans="1:13" ht="12.75" customHeight="1" x14ac:dyDescent="0.2">
      <c r="B55" s="2089"/>
      <c r="C55" s="2090"/>
      <c r="D55" s="2090"/>
      <c r="E55" s="2090"/>
      <c r="F55" s="2090"/>
      <c r="G55" s="2090"/>
      <c r="H55" s="2090"/>
      <c r="I55" s="2090"/>
      <c r="J55" s="2090"/>
      <c r="K55" s="2090"/>
      <c r="L55" s="2091"/>
      <c r="M55" s="380"/>
    </row>
    <row r="56" spans="1:13" ht="12.75" customHeight="1" x14ac:dyDescent="0.2">
      <c r="B56" s="2089"/>
      <c r="C56" s="2090"/>
      <c r="D56" s="2090"/>
      <c r="E56" s="2090"/>
      <c r="F56" s="2090"/>
      <c r="G56" s="2090"/>
      <c r="H56" s="2090"/>
      <c r="I56" s="2090"/>
      <c r="J56" s="2090"/>
      <c r="K56" s="2090"/>
      <c r="L56" s="2091"/>
      <c r="M56" s="222"/>
    </row>
    <row r="57" spans="1:13" ht="12.75" customHeight="1" x14ac:dyDescent="0.2">
      <c r="B57" s="2089"/>
      <c r="C57" s="2090"/>
      <c r="D57" s="2090"/>
      <c r="E57" s="2090"/>
      <c r="F57" s="2090"/>
      <c r="G57" s="2090"/>
      <c r="H57" s="2090"/>
      <c r="I57" s="2090"/>
      <c r="J57" s="2090"/>
      <c r="K57" s="2090"/>
      <c r="L57" s="2091"/>
      <c r="M57" s="222"/>
    </row>
    <row r="58" spans="1:13" x14ac:dyDescent="0.2">
      <c r="B58" s="2092"/>
      <c r="C58" s="2093"/>
      <c r="D58" s="2093"/>
      <c r="E58" s="2093"/>
      <c r="F58" s="2093"/>
      <c r="G58" s="2093"/>
      <c r="H58" s="2093"/>
      <c r="I58" s="2093"/>
      <c r="J58" s="2093"/>
      <c r="K58" s="2093"/>
      <c r="L58" s="209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7"/>
      <c r="D61" s="209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U31" sqref="U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0"/>
      <c r="B1" s="2101"/>
      <c r="C1" s="2101"/>
      <c r="D1" s="384"/>
      <c r="E1" s="384"/>
      <c r="F1" s="384"/>
      <c r="G1" s="384"/>
      <c r="H1" s="384"/>
      <c r="I1" s="384"/>
      <c r="J1" s="384"/>
      <c r="K1" s="384"/>
      <c r="L1" s="384"/>
      <c r="M1" s="384"/>
      <c r="N1" s="384"/>
      <c r="O1" s="2100"/>
      <c r="P1" s="2101"/>
      <c r="Q1" s="2101"/>
    </row>
    <row r="2" spans="1:18" ht="15" x14ac:dyDescent="0.2">
      <c r="A2" s="2104" t="s">
        <v>556</v>
      </c>
      <c r="B2" s="2104"/>
      <c r="C2" s="2104"/>
      <c r="D2" s="2104"/>
      <c r="E2" s="2104"/>
      <c r="F2" s="2104"/>
      <c r="G2" s="2104"/>
      <c r="H2" s="2104"/>
      <c r="I2" s="2104"/>
      <c r="J2" s="2104"/>
      <c r="K2" s="2104"/>
      <c r="L2" s="2104"/>
      <c r="M2" s="2104"/>
      <c r="N2" s="2104"/>
      <c r="O2" s="2104"/>
      <c r="P2" s="2104"/>
      <c r="Q2" s="2104"/>
      <c r="R2" s="2104"/>
    </row>
    <row r="3" spans="1:18" ht="12.75" x14ac:dyDescent="0.2">
      <c r="A3" s="2105" t="s">
        <v>1413</v>
      </c>
      <c r="B3" s="2105"/>
      <c r="C3" s="2105"/>
      <c r="D3" s="2105"/>
      <c r="E3" s="2105"/>
      <c r="F3" s="2105"/>
      <c r="G3" s="2105"/>
      <c r="H3" s="2105"/>
      <c r="I3" s="2105"/>
      <c r="J3" s="2105"/>
      <c r="K3" s="2105"/>
      <c r="L3" s="2105"/>
      <c r="M3" s="2105"/>
      <c r="N3" s="2105"/>
      <c r="O3" s="2105"/>
      <c r="P3" s="2105"/>
      <c r="Q3" s="2105"/>
      <c r="R3" s="2105"/>
    </row>
    <row r="4" spans="1:18" x14ac:dyDescent="0.2">
      <c r="A4" s="2106" t="s">
        <v>1554</v>
      </c>
      <c r="B4" s="2106"/>
      <c r="C4" s="2106"/>
      <c r="D4" s="2106"/>
      <c r="E4" s="2106"/>
      <c r="F4" s="2106"/>
      <c r="G4" s="2106"/>
      <c r="H4" s="2106"/>
      <c r="I4" s="2106"/>
      <c r="J4" s="2106"/>
      <c r="K4" s="2106"/>
      <c r="L4" s="2106"/>
      <c r="M4" s="2106"/>
      <c r="N4" s="2106"/>
      <c r="O4" s="2106"/>
      <c r="P4" s="2106"/>
      <c r="Q4" s="2106"/>
      <c r="R4" s="210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Prairie Central CUSD 8</v>
      </c>
      <c r="E7" s="391"/>
      <c r="G7" s="252"/>
      <c r="H7" s="387"/>
      <c r="I7" s="387"/>
      <c r="J7" s="387"/>
      <c r="K7" s="387"/>
      <c r="L7" s="329"/>
      <c r="M7" s="329"/>
      <c r="N7" s="329"/>
      <c r="O7" s="329"/>
      <c r="P7" s="329"/>
    </row>
    <row r="8" spans="1:18" ht="12.75" x14ac:dyDescent="0.2">
      <c r="A8" s="329"/>
      <c r="B8" s="329"/>
      <c r="C8" s="389" t="s">
        <v>1125</v>
      </c>
      <c r="D8" s="392">
        <f>COVER!A13</f>
        <v>17053008026</v>
      </c>
      <c r="E8" s="393"/>
      <c r="G8" s="329"/>
      <c r="H8" s="329"/>
      <c r="I8" s="329"/>
      <c r="J8" s="329"/>
      <c r="K8" s="329"/>
      <c r="L8" s="329"/>
      <c r="M8" s="329"/>
      <c r="N8" s="329"/>
      <c r="O8" s="329"/>
      <c r="P8" s="329"/>
    </row>
    <row r="9" spans="1:18" ht="12.75" x14ac:dyDescent="0.2">
      <c r="A9" s="329"/>
      <c r="B9" s="329"/>
      <c r="C9" s="389" t="s">
        <v>713</v>
      </c>
      <c r="D9" s="394" t="str">
        <f>COVER!A15</f>
        <v>LIVINGSTON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10915339</v>
      </c>
      <c r="I12" s="404"/>
      <c r="J12" s="404"/>
      <c r="K12" s="405">
        <f>TRUNC((H12/H13*100000),5)/100000</f>
        <v>0.56097855669999996</v>
      </c>
      <c r="L12" s="406"/>
      <c r="M12" s="360" t="s">
        <v>1144</v>
      </c>
      <c r="N12" s="360"/>
      <c r="O12" s="407">
        <v>0.35</v>
      </c>
      <c r="P12" s="218"/>
      <c r="Q12" s="218"/>
    </row>
    <row r="13" spans="1:18" s="408" customFormat="1" ht="12.75" x14ac:dyDescent="0.2">
      <c r="A13" s="218"/>
      <c r="B13" s="401"/>
      <c r="C13" s="2102" t="s">
        <v>1324</v>
      </c>
      <c r="D13" s="2103"/>
      <c r="E13" s="218"/>
      <c r="F13" s="409" t="s">
        <v>793</v>
      </c>
      <c r="G13" s="402"/>
      <c r="H13" s="403">
        <f>SUM('Acct Summary 7-8'!C8+'Acct Summary 7-8'!D8+'Acct Summary 7-8'!F8+'Acct Summary 7-8'!I8)+H14</f>
        <v>19457676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19631225</v>
      </c>
      <c r="I17" s="404"/>
      <c r="J17" s="416"/>
      <c r="K17" s="405">
        <f>TRUNC((H17/H18*100000),5)/100000</f>
        <v>1.0089193077</v>
      </c>
      <c r="L17" s="406"/>
      <c r="M17" s="417" t="s">
        <v>1171</v>
      </c>
      <c r="O17" s="418" t="str">
        <f>IF(AND(O16="2", J20 &gt; 2),"1",IF(AND(O16 = "1", J20 &gt; 2),"2",IF(AND(O16="1", J20 &gt;1),"1","0")))</f>
        <v>0</v>
      </c>
      <c r="P17" s="218"/>
    </row>
    <row r="18" spans="1:18" s="408" customFormat="1" ht="11.25" x14ac:dyDescent="0.2">
      <c r="A18" s="218"/>
      <c r="B18" s="401"/>
      <c r="C18" s="2102" t="s">
        <v>1317</v>
      </c>
      <c r="D18" s="2103"/>
      <c r="E18" s="218"/>
      <c r="F18" s="419" t="s">
        <v>794</v>
      </c>
      <c r="G18" s="402"/>
      <c r="H18" s="403">
        <f>SUM('Acct Summary 7-8'!C8+'Acct Summary 7-8'!D8+'Acct Summary 7-8'!F8+'Acct Summary 7-8'!I8)+H19</f>
        <v>19457676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51.683221599999996</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9" t="s">
        <v>1412</v>
      </c>
      <c r="D24" s="2099"/>
      <c r="E24" s="218"/>
      <c r="F24" s="218" t="s">
        <v>445</v>
      </c>
      <c r="G24" s="402"/>
      <c r="H24" s="403">
        <f>SUM('Assets-Liab 5-6'!C4+'Assets-Liab 5-6'!D4+'Assets-Liab 5-6'!F4+'Assets-Liab 5-6'!I4+'Assets-Liab 5-6'!C5+'Assets-Liab 5-6'!D5+'Assets-Liab 5-6'!F5+'Assets-Liab 5-6'!I5)</f>
        <v>10915339</v>
      </c>
      <c r="I24" s="422"/>
      <c r="J24" s="422"/>
      <c r="K24" s="423">
        <f>TRUNC(((H24/H25*100000)/100000),2)</f>
        <v>200.16</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54531.180560000001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7948201.6579999998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5996000</v>
      </c>
      <c r="I32" s="420"/>
      <c r="J32" s="420"/>
      <c r="K32" s="423">
        <f>TRUNC(100-((((H32/H33*100))*100)/100),2)</f>
        <v>81.41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32260347.906000003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U31" sqref="U31"/>
      <selection pane="bottomLeft" activeCell="U31" sqref="U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9" t="s">
        <v>973</v>
      </c>
      <c r="B3" s="2110"/>
      <c r="C3" s="1559"/>
      <c r="D3" s="1560"/>
      <c r="E3" s="1560"/>
      <c r="F3" s="1560"/>
      <c r="G3" s="1560"/>
      <c r="H3" s="1560"/>
      <c r="I3" s="1560"/>
      <c r="J3" s="1560"/>
      <c r="K3" s="1560"/>
      <c r="L3" s="1560"/>
      <c r="M3" s="1561"/>
      <c r="N3" s="1562"/>
    </row>
    <row r="4" spans="1:14" ht="13.5" customHeight="1" x14ac:dyDescent="0.2">
      <c r="A4" s="463" t="s">
        <v>1651</v>
      </c>
      <c r="B4" s="464"/>
      <c r="C4" s="465">
        <v>149287</v>
      </c>
      <c r="D4" s="466">
        <v>27037</v>
      </c>
      <c r="E4" s="466">
        <v>14455</v>
      </c>
      <c r="F4" s="466">
        <v>12147</v>
      </c>
      <c r="G4" s="466">
        <v>11726</v>
      </c>
      <c r="H4" s="466">
        <v>20955</v>
      </c>
      <c r="I4" s="466">
        <v>1309</v>
      </c>
      <c r="J4" s="467">
        <v>32249</v>
      </c>
      <c r="K4" s="466">
        <v>18335</v>
      </c>
      <c r="L4" s="466">
        <v>554323</v>
      </c>
      <c r="M4" s="468"/>
      <c r="N4" s="469"/>
    </row>
    <row r="5" spans="1:14" x14ac:dyDescent="0.2">
      <c r="A5" s="463" t="s">
        <v>992</v>
      </c>
      <c r="B5" s="470">
        <v>120</v>
      </c>
      <c r="C5" s="465">
        <v>1841330</v>
      </c>
      <c r="D5" s="466">
        <v>734239</v>
      </c>
      <c r="E5" s="466">
        <v>350808</v>
      </c>
      <c r="F5" s="466">
        <v>1431716</v>
      </c>
      <c r="G5" s="466">
        <v>909898</v>
      </c>
      <c r="H5" s="466">
        <v>1019247</v>
      </c>
      <c r="I5" s="466">
        <v>6718274</v>
      </c>
      <c r="J5" s="467">
        <v>236805</v>
      </c>
      <c r="K5" s="471">
        <v>264487</v>
      </c>
      <c r="L5" s="472">
        <v>488603</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1990617</v>
      </c>
      <c r="D13" s="1737">
        <f t="shared" ref="D13:L13" si="0">SUM(D4:D12)</f>
        <v>761276</v>
      </c>
      <c r="E13" s="1737">
        <f t="shared" si="0"/>
        <v>365263</v>
      </c>
      <c r="F13" s="1737">
        <f t="shared" si="0"/>
        <v>1443863</v>
      </c>
      <c r="G13" s="1737">
        <f t="shared" si="0"/>
        <v>921624</v>
      </c>
      <c r="H13" s="1737">
        <f t="shared" si="0"/>
        <v>1040202</v>
      </c>
      <c r="I13" s="1737">
        <f t="shared" si="0"/>
        <v>6719583</v>
      </c>
      <c r="J13" s="1737">
        <f t="shared" si="0"/>
        <v>269054</v>
      </c>
      <c r="K13" s="1737">
        <f t="shared" si="0"/>
        <v>282822</v>
      </c>
      <c r="L13" s="1737">
        <f t="shared" si="0"/>
        <v>1042926</v>
      </c>
      <c r="M13" s="468"/>
      <c r="N13" s="469"/>
    </row>
    <row r="14" spans="1:14" ht="18" customHeight="1" thickTop="1" x14ac:dyDescent="0.2">
      <c r="A14" s="2111" t="s">
        <v>147</v>
      </c>
      <c r="B14" s="2112"/>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441852</v>
      </c>
      <c r="N16" s="484"/>
    </row>
    <row r="17" spans="1:14" s="485" customFormat="1" ht="12.75" customHeight="1" x14ac:dyDescent="0.2">
      <c r="A17" s="482" t="s">
        <v>1403</v>
      </c>
      <c r="B17" s="483">
        <v>230</v>
      </c>
      <c r="C17" s="477"/>
      <c r="D17" s="477"/>
      <c r="E17" s="477"/>
      <c r="F17" s="477"/>
      <c r="G17" s="477"/>
      <c r="H17" s="477"/>
      <c r="I17" s="477"/>
      <c r="J17" s="477"/>
      <c r="K17" s="477"/>
      <c r="L17" s="477"/>
      <c r="M17" s="467">
        <v>27298398</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9426720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365263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5630737</v>
      </c>
    </row>
    <row r="23" spans="1:14" ht="13.5" customHeight="1" thickBot="1" x14ac:dyDescent="0.25">
      <c r="A23" s="1736" t="s">
        <v>643</v>
      </c>
      <c r="B23" s="1741"/>
      <c r="C23" s="468"/>
      <c r="D23" s="468"/>
      <c r="E23" s="468"/>
      <c r="F23" s="468"/>
      <c r="G23" s="468"/>
      <c r="H23" s="468"/>
      <c r="I23" s="468"/>
      <c r="J23" s="468"/>
      <c r="K23" s="468"/>
      <c r="L23" s="468"/>
      <c r="M23" s="1688">
        <f>SUM(M15:M22)</f>
        <v>37166970</v>
      </c>
      <c r="N23" s="1688">
        <f>SUM(N21:N22)</f>
        <v>5996000</v>
      </c>
    </row>
    <row r="24" spans="1:14" ht="18" customHeight="1" thickTop="1" x14ac:dyDescent="0.2">
      <c r="A24" s="2113" t="s">
        <v>598</v>
      </c>
      <c r="B24" s="2114"/>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1042926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1042926</v>
      </c>
      <c r="M34" s="468"/>
      <c r="N34" s="480"/>
    </row>
    <row r="35" spans="1:14" ht="18" customHeight="1" thickTop="1" x14ac:dyDescent="0.2">
      <c r="A35" s="2115" t="s">
        <v>529</v>
      </c>
      <c r="B35" s="2116"/>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5996000</v>
      </c>
    </row>
    <row r="37" spans="1:14" ht="13.5" thickBot="1" x14ac:dyDescent="0.25">
      <c r="A37" s="1736" t="s">
        <v>653</v>
      </c>
      <c r="B37" s="1741"/>
      <c r="C37" s="477"/>
      <c r="D37" s="477"/>
      <c r="E37" s="477"/>
      <c r="F37" s="477"/>
      <c r="G37" s="477"/>
      <c r="H37" s="477"/>
      <c r="I37" s="477"/>
      <c r="J37" s="477"/>
      <c r="K37" s="477"/>
      <c r="L37" s="480"/>
      <c r="M37" s="468"/>
      <c r="N37" s="1688">
        <f>SUM(N36:N36)</f>
        <v>5996000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1990617</v>
      </c>
      <c r="D39" s="466">
        <v>761276</v>
      </c>
      <c r="E39" s="466">
        <v>365263</v>
      </c>
      <c r="F39" s="466">
        <v>1443863</v>
      </c>
      <c r="G39" s="466">
        <v>921624</v>
      </c>
      <c r="H39" s="466">
        <v>1040202</v>
      </c>
      <c r="I39" s="466">
        <v>6719583</v>
      </c>
      <c r="J39" s="467">
        <v>269054</v>
      </c>
      <c r="K39" s="466">
        <v>282822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37166970</v>
      </c>
      <c r="N40" s="497"/>
    </row>
    <row r="41" spans="1:14" ht="13.5" customHeight="1" thickBot="1" x14ac:dyDescent="0.25">
      <c r="A41" s="1736" t="s">
        <v>655</v>
      </c>
      <c r="B41" s="1706"/>
      <c r="C41" s="1688">
        <f>(SUM(C34,C37,C38,C39))</f>
        <v>1990617</v>
      </c>
      <c r="D41" s="1688">
        <f t="shared" ref="D41:L41" si="2">SUM(D34,D37,D38:D39)</f>
        <v>761276</v>
      </c>
      <c r="E41" s="1688">
        <f t="shared" si="2"/>
        <v>365263</v>
      </c>
      <c r="F41" s="1688">
        <f t="shared" si="2"/>
        <v>1443863</v>
      </c>
      <c r="G41" s="1688">
        <f t="shared" si="2"/>
        <v>921624</v>
      </c>
      <c r="H41" s="1688">
        <f t="shared" si="2"/>
        <v>1040202</v>
      </c>
      <c r="I41" s="1688">
        <f t="shared" si="2"/>
        <v>6719583</v>
      </c>
      <c r="J41" s="1688">
        <f t="shared" si="2"/>
        <v>269054</v>
      </c>
      <c r="K41" s="1688">
        <f t="shared" si="2"/>
        <v>282822</v>
      </c>
      <c r="L41" s="1688">
        <f t="shared" si="2"/>
        <v>1042926</v>
      </c>
      <c r="M41" s="1688">
        <f>SUM(M40)</f>
        <v>37166970</v>
      </c>
      <c r="N41" s="1688">
        <f>SUM(N37)</f>
        <v>5996000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2" activePane="bottomLeft" state="frozen"/>
      <selection activeCell="U31" sqref="U31"/>
      <selection pane="bottomLeft" activeCell="U31" sqref="U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5"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7" t="s">
        <v>1175</v>
      </c>
      <c r="B3" s="2138"/>
      <c r="C3" s="1573"/>
      <c r="D3" s="1574"/>
      <c r="E3" s="1574"/>
      <c r="F3" s="1574"/>
      <c r="G3" s="1574"/>
      <c r="H3" s="1574"/>
      <c r="I3" s="1574"/>
      <c r="J3" s="1574"/>
      <c r="K3" s="1575"/>
      <c r="L3" s="506"/>
    </row>
    <row r="4" spans="1:13" ht="15.75" customHeight="1" x14ac:dyDescent="0.2">
      <c r="A4" s="1928" t="s">
        <v>1499</v>
      </c>
      <c r="B4" s="1929">
        <v>1000</v>
      </c>
      <c r="C4" s="1742">
        <f>'Revenues 9-14'!C109</f>
        <v>9045702</v>
      </c>
      <c r="D4" s="1742">
        <f>'Revenues 9-14'!D109</f>
        <v>1123315</v>
      </c>
      <c r="E4" s="1742">
        <f>'Revenues 9-14'!E109</f>
        <v>1824846</v>
      </c>
      <c r="F4" s="1742">
        <f>'Revenues 9-14'!F109</f>
        <v>533754</v>
      </c>
      <c r="G4" s="1742">
        <f>'Revenues 9-14'!G109</f>
        <v>809323</v>
      </c>
      <c r="H4" s="1742">
        <f>'Revenues 9-14'!H109</f>
        <v>695220</v>
      </c>
      <c r="I4" s="1742">
        <f>'Revenues 9-14'!I109</f>
        <v>187760</v>
      </c>
      <c r="J4" s="1742">
        <f>'Revenues 9-14'!J109</f>
        <v>818187</v>
      </c>
      <c r="K4" s="1742">
        <f>'Revenues 9-14'!K109</f>
        <v>113684</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6634491</v>
      </c>
      <c r="D6" s="1743">
        <f>'Revenues 9-14'!D170</f>
        <v>0</v>
      </c>
      <c r="E6" s="1743">
        <f>'Revenues 9-14'!E170</f>
        <v>0</v>
      </c>
      <c r="F6" s="1743">
        <f>'Revenues 9-14'!F170</f>
        <v>823801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1108853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16789046</v>
      </c>
      <c r="D8" s="1688">
        <f t="shared" ref="D8:K8" si="0">SUM(D4:D7)</f>
        <v>1123315</v>
      </c>
      <c r="E8" s="1688">
        <f t="shared" si="0"/>
        <v>1824846</v>
      </c>
      <c r="F8" s="1688">
        <f t="shared" si="0"/>
        <v>1357555</v>
      </c>
      <c r="G8" s="1688">
        <f t="shared" si="0"/>
        <v>809323</v>
      </c>
      <c r="H8" s="1688">
        <f t="shared" si="0"/>
        <v>695220</v>
      </c>
      <c r="I8" s="1688">
        <f t="shared" si="0"/>
        <v>187760</v>
      </c>
      <c r="J8" s="1688">
        <f t="shared" si="0"/>
        <v>818187</v>
      </c>
      <c r="K8" s="1688">
        <f t="shared" si="0"/>
        <v>113684</v>
      </c>
      <c r="L8" s="347"/>
    </row>
    <row r="9" spans="1:13" ht="15.75" thickTop="1" x14ac:dyDescent="0.2">
      <c r="A9" s="514" t="s">
        <v>1653</v>
      </c>
      <c r="B9" s="515">
        <v>3998</v>
      </c>
      <c r="C9" s="481">
        <v>7538454</v>
      </c>
      <c r="D9" s="516"/>
      <c r="E9" s="481"/>
      <c r="F9" s="481"/>
      <c r="G9" s="517"/>
      <c r="H9" s="481"/>
      <c r="I9" s="509" t="s">
        <v>1169</v>
      </c>
      <c r="J9" s="478"/>
      <c r="K9" s="481"/>
      <c r="L9" s="347"/>
    </row>
    <row r="10" spans="1:13" s="519" customFormat="1" ht="13.5" thickBot="1" x14ac:dyDescent="0.25">
      <c r="A10" s="1736" t="s">
        <v>1173</v>
      </c>
      <c r="B10" s="1709"/>
      <c r="C10" s="1688">
        <f>SUM(C8:C9)</f>
        <v>24327500</v>
      </c>
      <c r="D10" s="1688">
        <f t="shared" ref="D10:K10" si="1">SUM(D8:D9)</f>
        <v>1123315</v>
      </c>
      <c r="E10" s="1688">
        <f t="shared" si="1"/>
        <v>1824846</v>
      </c>
      <c r="F10" s="1688">
        <f t="shared" si="1"/>
        <v>1357555</v>
      </c>
      <c r="G10" s="1688">
        <f t="shared" si="1"/>
        <v>809323</v>
      </c>
      <c r="H10" s="1688">
        <f t="shared" si="1"/>
        <v>695220</v>
      </c>
      <c r="I10" s="1688">
        <f t="shared" si="1"/>
        <v>187760</v>
      </c>
      <c r="J10" s="1688">
        <f t="shared" si="1"/>
        <v>818187</v>
      </c>
      <c r="K10" s="1688">
        <f t="shared" si="1"/>
        <v>113684</v>
      </c>
      <c r="L10" s="518"/>
    </row>
    <row r="11" spans="1:13" s="519" customFormat="1" ht="16.7" customHeight="1" thickTop="1" x14ac:dyDescent="0.2">
      <c r="A11" s="2111" t="s">
        <v>1176</v>
      </c>
      <c r="B11" s="2112"/>
      <c r="C11" s="1570"/>
      <c r="D11" s="1571"/>
      <c r="E11" s="1571"/>
      <c r="F11" s="1571"/>
      <c r="G11" s="1571"/>
      <c r="H11" s="1571"/>
      <c r="I11" s="1571"/>
      <c r="J11" s="1571"/>
      <c r="K11" s="1572"/>
      <c r="L11" s="518"/>
    </row>
    <row r="12" spans="1:13" ht="15.75" customHeight="1" x14ac:dyDescent="0.2">
      <c r="A12" s="1576" t="s">
        <v>456</v>
      </c>
      <c r="B12" s="1578">
        <v>1000</v>
      </c>
      <c r="C12" s="1742">
        <f>'Expenditures 15-22'!K33</f>
        <v>11604347</v>
      </c>
      <c r="D12" s="520" t="s">
        <v>1169</v>
      </c>
      <c r="E12" s="468" t="s">
        <v>1169</v>
      </c>
      <c r="F12" s="468" t="s">
        <v>1169</v>
      </c>
      <c r="G12" s="1742">
        <f>'Expenditures 15-22'!K229</f>
        <v>261637</v>
      </c>
      <c r="H12" s="521"/>
      <c r="I12" s="468" t="s">
        <v>1169</v>
      </c>
      <c r="J12" s="468" t="s">
        <v>1169</v>
      </c>
      <c r="K12" s="521" t="s">
        <v>1169</v>
      </c>
      <c r="L12" s="347"/>
    </row>
    <row r="13" spans="1:13" ht="15.75" customHeight="1" x14ac:dyDescent="0.2">
      <c r="A13" s="1576" t="s">
        <v>457</v>
      </c>
      <c r="B13" s="1578">
        <v>2000</v>
      </c>
      <c r="C13" s="1743">
        <f>'Expenditures 15-22'!K74</f>
        <v>3387711</v>
      </c>
      <c r="D13" s="1743">
        <f>'Expenditures 15-22'!K129</f>
        <v>1182092</v>
      </c>
      <c r="E13" s="469" t="s">
        <v>1169</v>
      </c>
      <c r="F13" s="1743">
        <f>'Expenditures 15-22'!K184</f>
        <v>2620101</v>
      </c>
      <c r="G13" s="1743">
        <f>'Expenditures 15-22'!K279</f>
        <v>397479</v>
      </c>
      <c r="H13" s="1743">
        <f>'Expenditures 15-22'!K303</f>
        <v>476826</v>
      </c>
      <c r="I13" s="468" t="s">
        <v>1169</v>
      </c>
      <c r="J13" s="1743">
        <f>'Expenditures 15-22'!K330</f>
        <v>868123</v>
      </c>
      <c r="K13" s="1747">
        <f>'Expenditures 15-22'!K352</f>
        <v>64200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836974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1605825</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15829032</v>
      </c>
      <c r="D17" s="1688">
        <f t="shared" si="2"/>
        <v>1182092</v>
      </c>
      <c r="E17" s="1688">
        <f t="shared" si="2"/>
        <v>1605825</v>
      </c>
      <c r="F17" s="1688">
        <f t="shared" si="2"/>
        <v>2620101</v>
      </c>
      <c r="G17" s="1688">
        <f t="shared" si="2"/>
        <v>659116</v>
      </c>
      <c r="H17" s="1688">
        <f t="shared" si="2"/>
        <v>476826</v>
      </c>
      <c r="I17" s="468"/>
      <c r="J17" s="1688">
        <f>SUM(J12:J16)</f>
        <v>868123</v>
      </c>
      <c r="K17" s="1688">
        <f>SUM(K12:K16)</f>
        <v>64200</v>
      </c>
      <c r="L17" s="347"/>
    </row>
    <row r="18" spans="1:12" ht="15" customHeight="1" thickTop="1" x14ac:dyDescent="0.2">
      <c r="A18" s="1744" t="s">
        <v>1654</v>
      </c>
      <c r="B18" s="1745">
        <v>4180</v>
      </c>
      <c r="C18" s="1742">
        <f t="shared" ref="C18:H18" si="3">C9</f>
        <v>7538454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23367486</v>
      </c>
      <c r="D19" s="1688">
        <f t="shared" si="4"/>
        <v>1182092</v>
      </c>
      <c r="E19" s="1688">
        <f t="shared" si="4"/>
        <v>1605825</v>
      </c>
      <c r="F19" s="1688">
        <f t="shared" si="4"/>
        <v>2620101</v>
      </c>
      <c r="G19" s="1688">
        <f t="shared" si="4"/>
        <v>659116</v>
      </c>
      <c r="H19" s="1688">
        <f t="shared" si="4"/>
        <v>476826</v>
      </c>
      <c r="I19" s="468"/>
      <c r="J19" s="1688">
        <f>SUM(J17:J18)</f>
        <v>868123</v>
      </c>
      <c r="K19" s="1688">
        <f>SUM(K17:K18)</f>
        <v>64200</v>
      </c>
      <c r="L19" s="347"/>
    </row>
    <row r="20" spans="1:12" ht="16.5" thickTop="1" thickBot="1" x14ac:dyDescent="0.25">
      <c r="A20" s="2127" t="s">
        <v>1655</v>
      </c>
      <c r="B20" s="2128"/>
      <c r="C20" s="1746">
        <f>C8-C17</f>
        <v>960014</v>
      </c>
      <c r="D20" s="1746">
        <f t="shared" ref="D20:K20" si="5">D8-D17</f>
        <v>-58777</v>
      </c>
      <c r="E20" s="1746">
        <f t="shared" si="5"/>
        <v>219021</v>
      </c>
      <c r="F20" s="1746">
        <f t="shared" si="5"/>
        <v>-1262546</v>
      </c>
      <c r="G20" s="1746">
        <f t="shared" si="5"/>
        <v>150207</v>
      </c>
      <c r="H20" s="1746">
        <f t="shared" si="5"/>
        <v>218394</v>
      </c>
      <c r="I20" s="1746">
        <f t="shared" si="5"/>
        <v>187760</v>
      </c>
      <c r="J20" s="1746">
        <f t="shared" si="5"/>
        <v>-49936</v>
      </c>
      <c r="K20" s="1746">
        <f t="shared" si="5"/>
        <v>49484</v>
      </c>
      <c r="L20" s="347"/>
    </row>
    <row r="21" spans="1:12" ht="16.7" customHeight="1" thickTop="1" x14ac:dyDescent="0.2">
      <c r="A21" s="2139" t="s">
        <v>595</v>
      </c>
      <c r="B21" s="2140"/>
      <c r="C21" s="1570"/>
      <c r="D21" s="1571"/>
      <c r="E21" s="1571"/>
      <c r="F21" s="1571"/>
      <c r="G21" s="1571"/>
      <c r="H21" s="1571"/>
      <c r="I21" s="1571"/>
      <c r="J21" s="1571"/>
      <c r="K21" s="1572"/>
      <c r="L21" s="524"/>
    </row>
    <row r="22" spans="1:12" ht="15.75" customHeight="1" collapsed="1" x14ac:dyDescent="0.2">
      <c r="A22" s="2135" t="s">
        <v>596</v>
      </c>
      <c r="B22" s="2136"/>
      <c r="C22" s="477"/>
      <c r="D22" s="477"/>
      <c r="E22" s="477"/>
      <c r="F22" s="477"/>
      <c r="G22" s="477"/>
      <c r="H22" s="477"/>
      <c r="I22" s="477"/>
      <c r="J22" s="477"/>
      <c r="K22" s="477"/>
      <c r="L22" s="347"/>
    </row>
    <row r="23" spans="1:12" s="485" customFormat="1" ht="15.75" customHeight="1" x14ac:dyDescent="0.2">
      <c r="A23" s="2131" t="s">
        <v>293</v>
      </c>
      <c r="B23" s="2132"/>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v>700000</v>
      </c>
      <c r="D25" s="467">
        <v>700000</v>
      </c>
      <c r="E25" s="467">
        <v>150000</v>
      </c>
      <c r="F25" s="467">
        <v>2500000</v>
      </c>
      <c r="G25" s="467"/>
      <c r="H25" s="467"/>
      <c r="I25" s="477"/>
      <c r="J25" s="467"/>
      <c r="K25" s="467"/>
      <c r="L25" s="524"/>
    </row>
    <row r="26" spans="1:12" s="485" customFormat="1" ht="13.5" customHeight="1" x14ac:dyDescent="0.2">
      <c r="A26" s="1489" t="s">
        <v>184</v>
      </c>
      <c r="B26" s="483">
        <v>7120</v>
      </c>
      <c r="C26" s="467"/>
      <c r="D26" s="467"/>
      <c r="E26" s="467">
        <v>7489</v>
      </c>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3" t="s">
        <v>981</v>
      </c>
      <c r="B32" s="2134"/>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5996000</v>
      </c>
      <c r="J33" s="467"/>
      <c r="K33" s="467"/>
      <c r="L33" s="524"/>
    </row>
    <row r="34" spans="1:12" s="485" customFormat="1" x14ac:dyDescent="0.2">
      <c r="A34" s="1489" t="s">
        <v>1001</v>
      </c>
      <c r="B34" s="525">
        <v>7220</v>
      </c>
      <c r="C34" s="467"/>
      <c r="D34" s="467"/>
      <c r="E34" s="467"/>
      <c r="F34" s="467"/>
      <c r="G34" s="477"/>
      <c r="H34" s="478"/>
      <c r="I34" s="478"/>
      <c r="J34" s="478">
        <v>73112</v>
      </c>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1" t="s">
        <v>374</v>
      </c>
      <c r="B44" s="2142"/>
      <c r="C44" s="1703">
        <f>SUM(C24:C43)</f>
        <v>700000</v>
      </c>
      <c r="D44" s="1703">
        <f t="shared" ref="D44:K44" si="6">SUM(D24:D43)</f>
        <v>700000</v>
      </c>
      <c r="E44" s="1703">
        <f t="shared" si="6"/>
        <v>157489</v>
      </c>
      <c r="F44" s="1703">
        <f t="shared" si="6"/>
        <v>2500000</v>
      </c>
      <c r="G44" s="1703">
        <f t="shared" si="6"/>
        <v>0</v>
      </c>
      <c r="H44" s="1703">
        <f t="shared" si="6"/>
        <v>0</v>
      </c>
      <c r="I44" s="1703">
        <f t="shared" si="6"/>
        <v>5996000</v>
      </c>
      <c r="J44" s="1703">
        <f t="shared" si="6"/>
        <v>73112</v>
      </c>
      <c r="K44" s="1703">
        <f t="shared" si="6"/>
        <v>0</v>
      </c>
      <c r="L44" s="524"/>
    </row>
    <row r="45" spans="1:12" ht="15.75" customHeight="1" thickTop="1" x14ac:dyDescent="0.2">
      <c r="A45" s="2135" t="s">
        <v>108</v>
      </c>
      <c r="B45" s="2136"/>
      <c r="C45" s="528"/>
      <c r="D45" s="528"/>
      <c r="E45" s="528"/>
      <c r="F45" s="528"/>
      <c r="G45" s="528"/>
      <c r="H45" s="528"/>
      <c r="I45" s="528"/>
      <c r="J45" s="528"/>
      <c r="K45" s="528"/>
      <c r="L45" s="347"/>
    </row>
    <row r="46" spans="1:12" s="485" customFormat="1" ht="15.75" customHeight="1" x14ac:dyDescent="0.2">
      <c r="A46" s="2143" t="s">
        <v>109</v>
      </c>
      <c r="B46" s="2144"/>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4050000</v>
      </c>
      <c r="J47" s="477"/>
      <c r="K47" s="477"/>
      <c r="L47" s="529"/>
    </row>
    <row r="48" spans="1:12" s="485" customFormat="1" ht="15" x14ac:dyDescent="0.2">
      <c r="A48" s="1490" t="s">
        <v>1660</v>
      </c>
      <c r="B48" s="483">
        <v>8120</v>
      </c>
      <c r="C48" s="480"/>
      <c r="D48" s="480"/>
      <c r="E48" s="477"/>
      <c r="F48" s="480"/>
      <c r="G48" s="477"/>
      <c r="H48" s="477"/>
      <c r="I48" s="1743">
        <f>SUM(C26:H26,J26,K26)</f>
        <v>7489</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v>73312</v>
      </c>
      <c r="F75" s="532"/>
      <c r="G75" s="532"/>
      <c r="H75" s="532"/>
      <c r="I75" s="530"/>
      <c r="J75" s="530"/>
      <c r="K75" s="532"/>
      <c r="L75" s="524"/>
    </row>
    <row r="76" spans="1:12" s="485" customFormat="1" ht="14.25" thickTop="1" thickBot="1" x14ac:dyDescent="0.25">
      <c r="A76" s="2117" t="s">
        <v>440</v>
      </c>
      <c r="B76" s="2118"/>
      <c r="C76" s="1703">
        <f t="shared" ref="C76:K76" si="7">SUM(C47:C75)</f>
        <v>0</v>
      </c>
      <c r="D76" s="1703">
        <f t="shared" si="7"/>
        <v>0</v>
      </c>
      <c r="E76" s="1703">
        <f t="shared" si="7"/>
        <v>73312</v>
      </c>
      <c r="F76" s="1703">
        <f t="shared" si="7"/>
        <v>0</v>
      </c>
      <c r="G76" s="1703">
        <f t="shared" si="7"/>
        <v>0</v>
      </c>
      <c r="H76" s="1703">
        <f t="shared" si="7"/>
        <v>0</v>
      </c>
      <c r="I76" s="1703">
        <f t="shared" si="7"/>
        <v>4057489</v>
      </c>
      <c r="J76" s="1703">
        <f t="shared" si="7"/>
        <v>0</v>
      </c>
      <c r="K76" s="1703">
        <f t="shared" si="7"/>
        <v>0</v>
      </c>
      <c r="L76" s="524"/>
    </row>
    <row r="77" spans="1:12" ht="14.25" thickTop="1" thickBot="1" x14ac:dyDescent="0.25">
      <c r="A77" s="2119" t="s">
        <v>1177</v>
      </c>
      <c r="B77" s="2120"/>
      <c r="C77" s="1703">
        <f t="shared" ref="C77:K77" si="8">C44-C76</f>
        <v>700000</v>
      </c>
      <c r="D77" s="1703">
        <f t="shared" si="8"/>
        <v>700000</v>
      </c>
      <c r="E77" s="1703">
        <f t="shared" si="8"/>
        <v>84177</v>
      </c>
      <c r="F77" s="1703">
        <f t="shared" si="8"/>
        <v>2500000</v>
      </c>
      <c r="G77" s="1703">
        <f t="shared" si="8"/>
        <v>0</v>
      </c>
      <c r="H77" s="1703">
        <f t="shared" si="8"/>
        <v>0</v>
      </c>
      <c r="I77" s="1703">
        <f t="shared" si="8"/>
        <v>1938511</v>
      </c>
      <c r="J77" s="1703">
        <f t="shared" si="8"/>
        <v>73112</v>
      </c>
      <c r="K77" s="1703">
        <f t="shared" si="8"/>
        <v>0</v>
      </c>
      <c r="L77" s="347"/>
    </row>
    <row r="78" spans="1:12" ht="21.75" customHeight="1" thickTop="1" thickBot="1" x14ac:dyDescent="0.25">
      <c r="A78" s="2123" t="s">
        <v>597</v>
      </c>
      <c r="B78" s="2124"/>
      <c r="C78" s="1702">
        <f t="shared" ref="C78:K78" si="9">C20+C77</f>
        <v>1660014</v>
      </c>
      <c r="D78" s="1702">
        <f t="shared" si="9"/>
        <v>641223</v>
      </c>
      <c r="E78" s="1702">
        <f t="shared" si="9"/>
        <v>303198</v>
      </c>
      <c r="F78" s="1702">
        <f t="shared" si="9"/>
        <v>1237454</v>
      </c>
      <c r="G78" s="1702">
        <f t="shared" si="9"/>
        <v>150207</v>
      </c>
      <c r="H78" s="1702">
        <f t="shared" si="9"/>
        <v>218394</v>
      </c>
      <c r="I78" s="1702">
        <f t="shared" si="9"/>
        <v>2126271</v>
      </c>
      <c r="J78" s="1702">
        <f t="shared" si="9"/>
        <v>23176</v>
      </c>
      <c r="K78" s="1702">
        <f t="shared" si="9"/>
        <v>49484</v>
      </c>
      <c r="L78" s="533"/>
    </row>
    <row r="79" spans="1:12" ht="13.5" thickTop="1" x14ac:dyDescent="0.2">
      <c r="A79" s="1494" t="s">
        <v>1945</v>
      </c>
      <c r="B79" s="534"/>
      <c r="C79" s="478">
        <v>330603</v>
      </c>
      <c r="D79" s="535">
        <v>120053</v>
      </c>
      <c r="E79" s="535">
        <v>62065</v>
      </c>
      <c r="F79" s="535">
        <v>206409</v>
      </c>
      <c r="G79" s="535">
        <v>771417</v>
      </c>
      <c r="H79" s="535">
        <v>821808</v>
      </c>
      <c r="I79" s="535">
        <v>4593312</v>
      </c>
      <c r="J79" s="535">
        <v>245878</v>
      </c>
      <c r="K79" s="535">
        <v>233338</v>
      </c>
      <c r="L79" s="347"/>
    </row>
    <row r="80" spans="1:12" x14ac:dyDescent="0.2">
      <c r="A80" s="2129" t="s">
        <v>1793</v>
      </c>
      <c r="B80" s="2130"/>
      <c r="C80" s="467"/>
      <c r="D80" s="467"/>
      <c r="E80" s="467"/>
      <c r="F80" s="467"/>
      <c r="G80" s="467"/>
      <c r="H80" s="467"/>
      <c r="I80" s="467"/>
      <c r="J80" s="467"/>
      <c r="K80" s="467"/>
      <c r="L80" s="347"/>
    </row>
    <row r="81" spans="1:12" ht="13.5" thickBot="1" x14ac:dyDescent="0.25">
      <c r="A81" s="2121" t="s">
        <v>1946</v>
      </c>
      <c r="B81" s="2122"/>
      <c r="C81" s="1688">
        <f>(SUM(C78:C80))</f>
        <v>1990617</v>
      </c>
      <c r="D81" s="1688">
        <f>SUM(D78:D80)</f>
        <v>761276</v>
      </c>
      <c r="E81" s="1688">
        <f t="shared" ref="E81:K81" si="10">SUM(E78:E80)</f>
        <v>365263</v>
      </c>
      <c r="F81" s="1688">
        <f t="shared" si="10"/>
        <v>1443863</v>
      </c>
      <c r="G81" s="1688">
        <f t="shared" si="10"/>
        <v>921624</v>
      </c>
      <c r="H81" s="1688">
        <f t="shared" si="10"/>
        <v>1040202</v>
      </c>
      <c r="I81" s="1688">
        <f t="shared" si="10"/>
        <v>6719583</v>
      </c>
      <c r="J81" s="1688">
        <f t="shared" si="10"/>
        <v>269054</v>
      </c>
      <c r="K81" s="1688">
        <f t="shared" si="10"/>
        <v>282822</v>
      </c>
      <c r="L81" s="347"/>
    </row>
    <row r="82" spans="1:12" ht="0.75" customHeight="1" thickTop="1" thickBot="1" x14ac:dyDescent="0.25">
      <c r="A82" s="536" t="s">
        <v>343</v>
      </c>
      <c r="B82" s="537"/>
      <c r="C82" s="538">
        <f>(C81-C79)</f>
        <v>1660014</v>
      </c>
      <c r="D82" s="538">
        <f t="shared" ref="D82:K82" si="11">(D81-D79)</f>
        <v>641223</v>
      </c>
      <c r="E82" s="538">
        <f t="shared" si="11"/>
        <v>303198</v>
      </c>
      <c r="F82" s="538">
        <f t="shared" si="11"/>
        <v>1237454</v>
      </c>
      <c r="G82" s="538">
        <f t="shared" si="11"/>
        <v>150207</v>
      </c>
      <c r="H82" s="538">
        <f t="shared" si="11"/>
        <v>218394</v>
      </c>
      <c r="I82" s="538">
        <f t="shared" si="11"/>
        <v>2126271</v>
      </c>
      <c r="J82" s="538">
        <f t="shared" si="11"/>
        <v>23176</v>
      </c>
      <c r="K82" s="538">
        <f t="shared" si="11"/>
        <v>49484</v>
      </c>
    </row>
    <row r="83" spans="1:12" ht="14.25" hidden="1" thickTop="1" thickBot="1" x14ac:dyDescent="0.25">
      <c r="A83" s="539" t="s">
        <v>344</v>
      </c>
      <c r="B83" s="464"/>
      <c r="C83" s="540">
        <f>C82/C81</f>
        <v>0.83391933254865203</v>
      </c>
      <c r="D83" s="540">
        <f t="shared" ref="D83:K83" si="12">D82/D81</f>
        <v>0.84230029581912469</v>
      </c>
      <c r="E83" s="540">
        <f t="shared" si="12"/>
        <v>0.8300813386518755</v>
      </c>
      <c r="F83" s="540">
        <f t="shared" si="12"/>
        <v>0.85704391621642773</v>
      </c>
      <c r="G83" s="540">
        <f t="shared" si="12"/>
        <v>0.16298078175047526</v>
      </c>
      <c r="H83" s="540">
        <f t="shared" si="12"/>
        <v>0.20995345134887261</v>
      </c>
      <c r="I83" s="540">
        <f t="shared" si="12"/>
        <v>0.31642901055020822</v>
      </c>
      <c r="J83" s="540">
        <f t="shared" si="12"/>
        <v>8.61388420168442E-2</v>
      </c>
      <c r="K83" s="540">
        <f t="shared" si="12"/>
        <v>0.17496517244061635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04" activePane="bottomLeft" state="frozen"/>
      <selection activeCell="U31" sqref="U31"/>
      <selection pane="bottomLeft" activeCell="C206" sqref="C20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5" t="s">
        <v>1800</v>
      </c>
      <c r="B1" s="452"/>
      <c r="C1" s="453" t="s">
        <v>425</v>
      </c>
      <c r="D1" s="453" t="s">
        <v>426</v>
      </c>
      <c r="E1" s="453" t="s">
        <v>427</v>
      </c>
      <c r="F1" s="453" t="s">
        <v>428</v>
      </c>
      <c r="G1" s="453" t="s">
        <v>429</v>
      </c>
      <c r="H1" s="453" t="s">
        <v>430</v>
      </c>
      <c r="I1" s="453" t="s">
        <v>431</v>
      </c>
      <c r="J1" s="453" t="s">
        <v>432</v>
      </c>
      <c r="K1" s="453" t="s">
        <v>756</v>
      </c>
    </row>
    <row r="2" spans="1:12" ht="36" x14ac:dyDescent="0.2">
      <c r="A2" s="212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7348785</v>
      </c>
      <c r="D5" s="481">
        <v>1113694</v>
      </c>
      <c r="E5" s="466">
        <v>1821674</v>
      </c>
      <c r="F5" s="548">
        <v>445473</v>
      </c>
      <c r="G5" s="466">
        <v>300578</v>
      </c>
      <c r="H5" s="466"/>
      <c r="I5" s="466">
        <v>111369</v>
      </c>
      <c r="J5" s="467">
        <v>812809</v>
      </c>
      <c r="K5" s="466">
        <v>111369</v>
      </c>
    </row>
    <row r="6" spans="1:12" ht="15" x14ac:dyDescent="0.2">
      <c r="A6" s="463" t="s">
        <v>1662</v>
      </c>
      <c r="B6" s="470">
        <v>1130</v>
      </c>
      <c r="C6" s="466">
        <v>111369</v>
      </c>
      <c r="D6" s="466"/>
      <c r="E6" s="475"/>
      <c r="F6" s="475"/>
      <c r="G6" s="468"/>
      <c r="H6" s="468"/>
      <c r="I6" s="468"/>
      <c r="J6" s="468"/>
      <c r="K6" s="468"/>
    </row>
    <row r="7" spans="1:12" x14ac:dyDescent="0.2">
      <c r="A7" s="463" t="s">
        <v>110</v>
      </c>
      <c r="B7" s="549">
        <v>1140</v>
      </c>
      <c r="C7" s="466">
        <v>89092</v>
      </c>
      <c r="D7" s="466"/>
      <c r="E7" s="468"/>
      <c r="F7" s="467"/>
      <c r="G7" s="467"/>
      <c r="H7" s="467"/>
      <c r="I7" s="468"/>
      <c r="J7" s="468"/>
      <c r="K7" s="468"/>
    </row>
    <row r="8" spans="1:12" x14ac:dyDescent="0.2">
      <c r="A8" s="463" t="s">
        <v>413</v>
      </c>
      <c r="B8" s="470">
        <v>1150</v>
      </c>
      <c r="C8" s="475"/>
      <c r="D8" s="475"/>
      <c r="E8" s="477"/>
      <c r="F8" s="477"/>
      <c r="G8" s="481">
        <v>497726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7549246</v>
      </c>
      <c r="D12" s="1707">
        <f t="shared" si="0"/>
        <v>1113694</v>
      </c>
      <c r="E12" s="1707">
        <f t="shared" si="0"/>
        <v>1821674</v>
      </c>
      <c r="F12" s="1707">
        <f t="shared" si="0"/>
        <v>445473</v>
      </c>
      <c r="G12" s="1707">
        <f t="shared" si="0"/>
        <v>798304</v>
      </c>
      <c r="H12" s="1707">
        <f t="shared" si="0"/>
        <v>0</v>
      </c>
      <c r="I12" s="1707">
        <f t="shared" si="0"/>
        <v>111369</v>
      </c>
      <c r="J12" s="1707">
        <f t="shared" si="0"/>
        <v>812809</v>
      </c>
      <c r="K12" s="1688">
        <f t="shared" si="0"/>
        <v>111369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767001</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767001</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9158</v>
      </c>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9158</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69759</v>
      </c>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69759</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25819</v>
      </c>
      <c r="D65" s="466">
        <v>9439</v>
      </c>
      <c r="E65" s="466">
        <v>3172</v>
      </c>
      <c r="F65" s="467">
        <v>6796</v>
      </c>
      <c r="G65" s="466">
        <v>11019</v>
      </c>
      <c r="H65" s="466">
        <v>9796</v>
      </c>
      <c r="I65" s="466">
        <v>76391</v>
      </c>
      <c r="J65" s="467">
        <v>5378</v>
      </c>
      <c r="K65" s="466">
        <v>2315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25819</v>
      </c>
      <c r="D67" s="1688">
        <f t="shared" ref="D67:K67" si="2">SUM(D65:D66)</f>
        <v>9439</v>
      </c>
      <c r="E67" s="1688">
        <f t="shared" si="2"/>
        <v>3172</v>
      </c>
      <c r="F67" s="1688">
        <f t="shared" si="2"/>
        <v>6796</v>
      </c>
      <c r="G67" s="1688">
        <f t="shared" si="2"/>
        <v>11019</v>
      </c>
      <c r="H67" s="1688">
        <f t="shared" si="2"/>
        <v>9796</v>
      </c>
      <c r="I67" s="1688">
        <f t="shared" si="2"/>
        <v>76391</v>
      </c>
      <c r="J67" s="1688">
        <f t="shared" si="2"/>
        <v>5378</v>
      </c>
      <c r="K67" s="1688">
        <f t="shared" si="2"/>
        <v>2315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311549</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8431</v>
      </c>
      <c r="D73" s="468"/>
      <c r="E73" s="468"/>
      <c r="F73" s="468"/>
      <c r="G73" s="468"/>
      <c r="H73" s="468"/>
      <c r="I73" s="468"/>
      <c r="J73" s="468"/>
      <c r="K73" s="468"/>
    </row>
    <row r="74" spans="1:11" ht="12.75" customHeight="1" x14ac:dyDescent="0.2">
      <c r="A74" s="463" t="s">
        <v>25</v>
      </c>
      <c r="B74" s="470">
        <v>1690</v>
      </c>
      <c r="C74" s="551">
        <v>22357</v>
      </c>
      <c r="D74" s="468"/>
      <c r="E74" s="468"/>
      <c r="F74" s="468"/>
      <c r="G74" s="468"/>
      <c r="H74" s="468"/>
      <c r="I74" s="468"/>
      <c r="J74" s="468"/>
      <c r="K74" s="468"/>
    </row>
    <row r="75" spans="1:11" ht="12.75" customHeight="1" thickBot="1" x14ac:dyDescent="0.25">
      <c r="A75" s="1708" t="s">
        <v>548</v>
      </c>
      <c r="B75" s="1709"/>
      <c r="C75" s="1688">
        <f>SUM(C69:C74)</f>
        <v>342337</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42772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30424</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73196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103021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v>202</v>
      </c>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103223</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182</v>
      </c>
      <c r="E95" s="521"/>
      <c r="F95" s="521"/>
      <c r="G95" s="521"/>
      <c r="H95" s="521"/>
      <c r="I95" s="521"/>
      <c r="J95" s="521"/>
      <c r="K95" s="521"/>
    </row>
    <row r="96" spans="1:11" ht="12.75" customHeight="1" x14ac:dyDescent="0.2">
      <c r="A96" s="463" t="s">
        <v>391</v>
      </c>
      <c r="B96" s="470">
        <v>1920</v>
      </c>
      <c r="C96" s="551">
        <v>500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24931</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685424</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150291</v>
      </c>
      <c r="D107" s="466"/>
      <c r="E107" s="466"/>
      <c r="F107" s="466">
        <v>11726</v>
      </c>
      <c r="G107" s="466"/>
      <c r="H107" s="466"/>
      <c r="I107" s="466"/>
      <c r="J107" s="467"/>
      <c r="K107" s="466"/>
    </row>
    <row r="108" spans="1:12" ht="12.75" customHeight="1" thickBot="1" x14ac:dyDescent="0.25">
      <c r="A108" s="1708" t="s">
        <v>487</v>
      </c>
      <c r="B108" s="1712"/>
      <c r="C108" s="1707">
        <f>SUM(C95:C107)</f>
        <v>175722</v>
      </c>
      <c r="D108" s="1707">
        <f t="shared" ref="D108:K108" si="3">SUM(D95:D107)</f>
        <v>182</v>
      </c>
      <c r="E108" s="1707">
        <f t="shared" si="3"/>
        <v>0</v>
      </c>
      <c r="F108" s="1707">
        <f t="shared" si="3"/>
        <v>11726</v>
      </c>
      <c r="G108" s="1707">
        <f t="shared" si="3"/>
        <v>0</v>
      </c>
      <c r="H108" s="1707">
        <f t="shared" si="3"/>
        <v>685424</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9045702</v>
      </c>
      <c r="D109" s="1715">
        <f t="shared" si="4"/>
        <v>1123315</v>
      </c>
      <c r="E109" s="1715">
        <f t="shared" si="4"/>
        <v>1824846</v>
      </c>
      <c r="F109" s="1715">
        <f t="shared" si="4"/>
        <v>533754</v>
      </c>
      <c r="G109" s="1715">
        <f t="shared" si="4"/>
        <v>809323</v>
      </c>
      <c r="H109" s="1715">
        <f t="shared" si="4"/>
        <v>695220</v>
      </c>
      <c r="I109" s="1715">
        <f t="shared" si="4"/>
        <v>187760</v>
      </c>
      <c r="J109" s="1715">
        <f t="shared" si="4"/>
        <v>818187</v>
      </c>
      <c r="K109" s="1702">
        <f t="shared" si="4"/>
        <v>113684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6072986</v>
      </c>
      <c r="D117" s="481"/>
      <c r="E117" s="466"/>
      <c r="F117" s="481"/>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6072986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107236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110659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v>10364</v>
      </c>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228259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3620</v>
      </c>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36407</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40027</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7616</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24446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421106</v>
      </c>
      <c r="G152" s="467"/>
      <c r="H152" s="468"/>
      <c r="I152" s="468"/>
      <c r="J152" s="468"/>
      <c r="K152" s="468"/>
    </row>
    <row r="153" spans="1:11" ht="12.75" customHeight="1" x14ac:dyDescent="0.2">
      <c r="A153" s="463" t="s">
        <v>1057</v>
      </c>
      <c r="B153" s="562">
        <v>3510</v>
      </c>
      <c r="C153" s="551"/>
      <c r="D153" s="466"/>
      <c r="E153" s="561"/>
      <c r="F153" s="466">
        <v>402695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823801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259850</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1307</v>
      </c>
      <c r="D168" s="580"/>
      <c r="E168" s="580"/>
      <c r="F168" s="580"/>
      <c r="G168" s="581"/>
      <c r="H168" s="582"/>
      <c r="I168" s="581"/>
      <c r="J168" s="581"/>
      <c r="K168" s="582"/>
    </row>
    <row r="169" spans="1:11" ht="12.75" customHeight="1" thickTop="1" thickBot="1" x14ac:dyDescent="0.25">
      <c r="A169" s="2145" t="s">
        <v>398</v>
      </c>
      <c r="B169" s="2146"/>
      <c r="C169" s="1722">
        <f t="shared" ref="C169:K169" si="6">SUM(C132,C141,C145,C146:C150,C155,C156:C167,C168)</f>
        <v>561505</v>
      </c>
      <c r="D169" s="1722">
        <f t="shared" si="6"/>
        <v>0</v>
      </c>
      <c r="E169" s="1722">
        <f t="shared" si="6"/>
        <v>0</v>
      </c>
      <c r="F169" s="1722">
        <f t="shared" si="6"/>
        <v>823801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6634491</v>
      </c>
      <c r="D170" s="1715">
        <f t="shared" si="7"/>
        <v>0</v>
      </c>
      <c r="E170" s="1715">
        <f t="shared" si="7"/>
        <v>0</v>
      </c>
      <c r="F170" s="1715">
        <f t="shared" si="7"/>
        <v>823801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7" t="s">
        <v>1492</v>
      </c>
      <c r="B172" s="2148"/>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1" t="s">
        <v>1665</v>
      </c>
      <c r="B175" s="2152"/>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5" t="s">
        <v>1664</v>
      </c>
      <c r="B176" s="2156"/>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3" t="s">
        <v>785</v>
      </c>
      <c r="B181" s="2154"/>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9" t="s">
        <v>1801</v>
      </c>
      <c r="B182" s="2150"/>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322371</v>
      </c>
      <c r="D191" s="468"/>
      <c r="E191" s="561"/>
      <c r="F191" s="468"/>
      <c r="G191" s="585"/>
      <c r="H191" s="468"/>
      <c r="I191" s="468"/>
      <c r="J191" s="468"/>
      <c r="K191" s="468"/>
    </row>
    <row r="192" spans="1:11" ht="12.75" customHeight="1" x14ac:dyDescent="0.2">
      <c r="A192" s="463" t="s">
        <v>1047</v>
      </c>
      <c r="B192" s="470">
        <v>4215</v>
      </c>
      <c r="C192" s="551">
        <v>1457</v>
      </c>
      <c r="D192" s="468"/>
      <c r="E192" s="561"/>
      <c r="F192" s="468"/>
      <c r="G192" s="585"/>
      <c r="H192" s="468"/>
      <c r="I192" s="468"/>
      <c r="J192" s="468"/>
      <c r="K192" s="468"/>
    </row>
    <row r="193" spans="1:11" ht="12.75" customHeight="1" x14ac:dyDescent="0.2">
      <c r="A193" s="463" t="s">
        <v>1059</v>
      </c>
      <c r="B193" s="470">
        <v>4220</v>
      </c>
      <c r="C193" s="551">
        <v>83505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407333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323615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10275</v>
      </c>
      <c r="D203" s="466"/>
      <c r="E203" s="468"/>
      <c r="F203" s="466"/>
      <c r="G203" s="466"/>
      <c r="H203" s="468"/>
      <c r="I203" s="468"/>
      <c r="J203" s="468"/>
      <c r="K203" s="468"/>
    </row>
    <row r="204" spans="1:11" ht="12.75" customHeight="1" thickBot="1" x14ac:dyDescent="0.25">
      <c r="A204" s="1708" t="s">
        <v>400</v>
      </c>
      <c r="B204" s="1709"/>
      <c r="C204" s="1707">
        <f>SUM(C200:C203)</f>
        <v>333890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9690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9690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251453</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251453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3338</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3338</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v>49587</v>
      </c>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53562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1108853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1108853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16789046</v>
      </c>
      <c r="D268" s="1715">
        <f t="shared" si="12"/>
        <v>1123315</v>
      </c>
      <c r="E268" s="1715">
        <f t="shared" si="12"/>
        <v>1824846</v>
      </c>
      <c r="F268" s="1715">
        <f t="shared" si="12"/>
        <v>1357555</v>
      </c>
      <c r="G268" s="1715">
        <f t="shared" si="12"/>
        <v>809323</v>
      </c>
      <c r="H268" s="1715">
        <f t="shared" si="12"/>
        <v>695220</v>
      </c>
      <c r="I268" s="1715">
        <f t="shared" si="12"/>
        <v>187760</v>
      </c>
      <c r="J268" s="1715">
        <f t="shared" si="12"/>
        <v>818187</v>
      </c>
      <c r="K268" s="1702">
        <f t="shared" si="12"/>
        <v>113684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&amp;F&amp;RThe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2" activePane="bottomLeft" state="frozen"/>
      <selection activeCell="U31" sqref="U31"/>
      <selection pane="bottomLeft" activeCell="U31" sqref="U3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5"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5944980</v>
      </c>
      <c r="D5" s="466">
        <v>594694</v>
      </c>
      <c r="E5" s="466">
        <v>62992</v>
      </c>
      <c r="F5" s="466">
        <v>295766</v>
      </c>
      <c r="G5" s="466"/>
      <c r="H5" s="466"/>
      <c r="I5" s="467"/>
      <c r="J5" s="467"/>
      <c r="K5" s="1671">
        <f>SUM(C5:J5)</f>
        <v>6898432</v>
      </c>
      <c r="L5" s="466">
        <v>6883552</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189916</v>
      </c>
      <c r="D7" s="467">
        <v>16927</v>
      </c>
      <c r="E7" s="467">
        <v>1961</v>
      </c>
      <c r="F7" s="467">
        <v>14108</v>
      </c>
      <c r="G7" s="467"/>
      <c r="H7" s="467"/>
      <c r="I7" s="467"/>
      <c r="J7" s="467"/>
      <c r="K7" s="1671">
        <f t="shared" ref="K7:K32" si="0">SUM(C7:J7)</f>
        <v>222912</v>
      </c>
      <c r="L7" s="466"/>
    </row>
    <row r="8" spans="1:14" x14ac:dyDescent="0.2">
      <c r="A8" s="1504" t="s">
        <v>164</v>
      </c>
      <c r="B8" s="614">
        <v>1200</v>
      </c>
      <c r="C8" s="466">
        <v>2266670</v>
      </c>
      <c r="D8" s="466">
        <v>287879</v>
      </c>
      <c r="E8" s="466">
        <v>299409</v>
      </c>
      <c r="F8" s="466">
        <v>11540</v>
      </c>
      <c r="G8" s="466"/>
      <c r="H8" s="466">
        <v>608</v>
      </c>
      <c r="I8" s="467"/>
      <c r="J8" s="467"/>
      <c r="K8" s="1671">
        <f t="shared" si="0"/>
        <v>2866106</v>
      </c>
      <c r="L8" s="466">
        <v>3364008</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81819</v>
      </c>
      <c r="D10" s="466">
        <v>10085</v>
      </c>
      <c r="E10" s="466">
        <v>161100</v>
      </c>
      <c r="F10" s="466">
        <v>57542</v>
      </c>
      <c r="G10" s="466"/>
      <c r="H10" s="466"/>
      <c r="I10" s="467"/>
      <c r="J10" s="467"/>
      <c r="K10" s="1671">
        <f t="shared" si="0"/>
        <v>310546</v>
      </c>
      <c r="L10" s="466">
        <v>288969</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578751</v>
      </c>
      <c r="D13" s="466">
        <v>62536</v>
      </c>
      <c r="E13" s="466">
        <v>564</v>
      </c>
      <c r="F13" s="466">
        <v>23304</v>
      </c>
      <c r="G13" s="466">
        <v>10200</v>
      </c>
      <c r="H13" s="466"/>
      <c r="I13" s="467"/>
      <c r="J13" s="467"/>
      <c r="K13" s="1671">
        <f t="shared" si="0"/>
        <v>675355</v>
      </c>
      <c r="L13" s="466">
        <v>637693</v>
      </c>
    </row>
    <row r="14" spans="1:14" x14ac:dyDescent="0.2">
      <c r="A14" s="1504" t="s">
        <v>963</v>
      </c>
      <c r="B14" s="614">
        <v>1500</v>
      </c>
      <c r="C14" s="466">
        <v>492890</v>
      </c>
      <c r="D14" s="466">
        <v>35580</v>
      </c>
      <c r="E14" s="466">
        <v>44500</v>
      </c>
      <c r="F14" s="466">
        <v>40151</v>
      </c>
      <c r="G14" s="466"/>
      <c r="H14" s="466">
        <v>14327</v>
      </c>
      <c r="I14" s="467"/>
      <c r="J14" s="467"/>
      <c r="K14" s="1671">
        <f t="shared" si="0"/>
        <v>627448</v>
      </c>
      <c r="L14" s="466">
        <v>671474</v>
      </c>
    </row>
    <row r="15" spans="1:14" x14ac:dyDescent="0.2">
      <c r="A15" s="1504" t="s">
        <v>964</v>
      </c>
      <c r="B15" s="614">
        <v>1600</v>
      </c>
      <c r="C15" s="466">
        <v>3503</v>
      </c>
      <c r="D15" s="466">
        <v>45</v>
      </c>
      <c r="E15" s="466"/>
      <c r="F15" s="466"/>
      <c r="G15" s="466"/>
      <c r="H15" s="466"/>
      <c r="I15" s="467"/>
      <c r="J15" s="467"/>
      <c r="K15" s="1671">
        <f t="shared" si="0"/>
        <v>3548</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9558529</v>
      </c>
      <c r="D33" s="1670">
        <f t="shared" ref="D33:L33" si="1">SUM(D5:D32)</f>
        <v>1007746</v>
      </c>
      <c r="E33" s="1670">
        <f t="shared" si="1"/>
        <v>570526</v>
      </c>
      <c r="F33" s="1670">
        <f t="shared" si="1"/>
        <v>442411</v>
      </c>
      <c r="G33" s="1670">
        <f t="shared" si="1"/>
        <v>10200</v>
      </c>
      <c r="H33" s="1670">
        <f t="shared" si="1"/>
        <v>14935</v>
      </c>
      <c r="I33" s="1670">
        <f t="shared" si="1"/>
        <v>0</v>
      </c>
      <c r="J33" s="1670">
        <f t="shared" si="1"/>
        <v>0</v>
      </c>
      <c r="K33" s="1670">
        <f t="shared" si="1"/>
        <v>11604347</v>
      </c>
      <c r="L33" s="1670">
        <f t="shared" si="1"/>
        <v>11845696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194601</v>
      </c>
      <c r="D37" s="466">
        <v>18825</v>
      </c>
      <c r="E37" s="466">
        <v>18829</v>
      </c>
      <c r="F37" s="466">
        <v>2909</v>
      </c>
      <c r="G37" s="466"/>
      <c r="H37" s="466"/>
      <c r="I37" s="467"/>
      <c r="J37" s="467"/>
      <c r="K37" s="1671">
        <f t="shared" si="2"/>
        <v>235164</v>
      </c>
      <c r="L37" s="466">
        <v>240627</v>
      </c>
    </row>
    <row r="38" spans="1:14" x14ac:dyDescent="0.2">
      <c r="A38" s="1504" t="s">
        <v>198</v>
      </c>
      <c r="B38" s="614">
        <v>2130</v>
      </c>
      <c r="C38" s="466">
        <v>2862</v>
      </c>
      <c r="D38" s="466"/>
      <c r="E38" s="466">
        <v>27210</v>
      </c>
      <c r="F38" s="466">
        <v>1283</v>
      </c>
      <c r="G38" s="466"/>
      <c r="H38" s="466"/>
      <c r="I38" s="467"/>
      <c r="J38" s="467"/>
      <c r="K38" s="1671">
        <f t="shared" si="2"/>
        <v>31355</v>
      </c>
      <c r="L38" s="466">
        <v>28000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162612</v>
      </c>
      <c r="D40" s="466">
        <v>21885</v>
      </c>
      <c r="E40" s="466"/>
      <c r="F40" s="466"/>
      <c r="G40" s="466"/>
      <c r="H40" s="466"/>
      <c r="I40" s="467"/>
      <c r="J40" s="467"/>
      <c r="K40" s="1671">
        <f t="shared" si="2"/>
        <v>184497</v>
      </c>
      <c r="L40" s="466">
        <v>188563</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360075</v>
      </c>
      <c r="D42" s="1670">
        <f t="shared" ref="D42:L42" si="3">SUM(D36:D41)</f>
        <v>40710</v>
      </c>
      <c r="E42" s="1670">
        <f t="shared" si="3"/>
        <v>46039</v>
      </c>
      <c r="F42" s="1670">
        <f t="shared" si="3"/>
        <v>4192</v>
      </c>
      <c r="G42" s="1670">
        <f t="shared" si="3"/>
        <v>0</v>
      </c>
      <c r="H42" s="1670">
        <f t="shared" si="3"/>
        <v>0</v>
      </c>
      <c r="I42" s="1670">
        <f t="shared" si="3"/>
        <v>0</v>
      </c>
      <c r="J42" s="1670">
        <f t="shared" si="3"/>
        <v>0</v>
      </c>
      <c r="K42" s="1670">
        <f t="shared" si="3"/>
        <v>451016</v>
      </c>
      <c r="L42" s="1670">
        <f t="shared" si="3"/>
        <v>457190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295514</v>
      </c>
      <c r="D44" s="481">
        <v>28709</v>
      </c>
      <c r="E44" s="481">
        <v>108300</v>
      </c>
      <c r="F44" s="481">
        <v>56330</v>
      </c>
      <c r="G44" s="481"/>
      <c r="H44" s="481"/>
      <c r="I44" s="467"/>
      <c r="J44" s="467"/>
      <c r="K44" s="1672">
        <f>SUM(C44:J44)</f>
        <v>488853</v>
      </c>
      <c r="L44" s="481">
        <v>673310</v>
      </c>
    </row>
    <row r="45" spans="1:14" x14ac:dyDescent="0.2">
      <c r="A45" s="1504" t="s">
        <v>815</v>
      </c>
      <c r="B45" s="614">
        <v>2220</v>
      </c>
      <c r="C45" s="466">
        <v>256543</v>
      </c>
      <c r="D45" s="466">
        <v>33234</v>
      </c>
      <c r="E45" s="466"/>
      <c r="F45" s="466">
        <v>15664</v>
      </c>
      <c r="G45" s="466"/>
      <c r="H45" s="466"/>
      <c r="I45" s="467"/>
      <c r="J45" s="467"/>
      <c r="K45" s="1672">
        <f>SUM(C45:J45)</f>
        <v>305441</v>
      </c>
      <c r="L45" s="466">
        <v>310000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552057</v>
      </c>
      <c r="D47" s="1670">
        <f t="shared" ref="D47:K47" si="4">SUM(D44:D46)</f>
        <v>61943</v>
      </c>
      <c r="E47" s="1670">
        <f t="shared" si="4"/>
        <v>108300</v>
      </c>
      <c r="F47" s="1670">
        <f t="shared" si="4"/>
        <v>71994</v>
      </c>
      <c r="G47" s="1670">
        <f t="shared" si="4"/>
        <v>0</v>
      </c>
      <c r="H47" s="1670">
        <f t="shared" si="4"/>
        <v>0</v>
      </c>
      <c r="I47" s="1670">
        <f t="shared" si="4"/>
        <v>0</v>
      </c>
      <c r="J47" s="1670">
        <f t="shared" si="4"/>
        <v>0</v>
      </c>
      <c r="K47" s="1670">
        <f t="shared" si="4"/>
        <v>794294</v>
      </c>
      <c r="L47" s="1670">
        <f>SUM(L44:L46)</f>
        <v>983310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23283</v>
      </c>
      <c r="F49" s="481"/>
      <c r="G49" s="481"/>
      <c r="H49" s="481">
        <v>13098</v>
      </c>
      <c r="I49" s="467"/>
      <c r="J49" s="467"/>
      <c r="K49" s="1672">
        <f>SUM(C49:J49)</f>
        <v>36381</v>
      </c>
      <c r="L49" s="481">
        <v>47500</v>
      </c>
    </row>
    <row r="50" spans="1:14" x14ac:dyDescent="0.2">
      <c r="A50" s="1504" t="s">
        <v>818</v>
      </c>
      <c r="B50" s="614">
        <v>2320</v>
      </c>
      <c r="C50" s="466">
        <v>110904</v>
      </c>
      <c r="D50" s="466">
        <v>14326</v>
      </c>
      <c r="E50" s="466">
        <v>7772</v>
      </c>
      <c r="F50" s="466">
        <v>2015</v>
      </c>
      <c r="G50" s="466"/>
      <c r="H50" s="466">
        <v>3235</v>
      </c>
      <c r="I50" s="467"/>
      <c r="J50" s="467"/>
      <c r="K50" s="1672">
        <f>SUM(C50:J50)</f>
        <v>138252</v>
      </c>
      <c r="L50" s="466">
        <v>135630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110904</v>
      </c>
      <c r="D53" s="1670">
        <f t="shared" ref="D53:L53" si="5">SUM(D49:D52)</f>
        <v>14326</v>
      </c>
      <c r="E53" s="1670">
        <f t="shared" si="5"/>
        <v>31055</v>
      </c>
      <c r="F53" s="1670">
        <f t="shared" si="5"/>
        <v>2015</v>
      </c>
      <c r="G53" s="1670">
        <f t="shared" si="5"/>
        <v>0</v>
      </c>
      <c r="H53" s="1670">
        <f t="shared" si="5"/>
        <v>16333</v>
      </c>
      <c r="I53" s="1670">
        <f t="shared" si="5"/>
        <v>0</v>
      </c>
      <c r="J53" s="1670">
        <f t="shared" si="5"/>
        <v>0</v>
      </c>
      <c r="K53" s="1670">
        <f t="shared" si="5"/>
        <v>174633</v>
      </c>
      <c r="L53" s="1670">
        <f t="shared" si="5"/>
        <v>183130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891127</v>
      </c>
      <c r="D55" s="481">
        <v>123939</v>
      </c>
      <c r="E55" s="481">
        <v>71090</v>
      </c>
      <c r="F55" s="481">
        <v>5183</v>
      </c>
      <c r="G55" s="481"/>
      <c r="H55" s="481"/>
      <c r="I55" s="467"/>
      <c r="J55" s="467"/>
      <c r="K55" s="1672">
        <f>SUM(C55:J55)</f>
        <v>1091339</v>
      </c>
      <c r="L55" s="481">
        <v>1129130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891127</v>
      </c>
      <c r="D57" s="1674">
        <f t="shared" ref="D57:K57" si="6">SUM(D55:D56)</f>
        <v>123939</v>
      </c>
      <c r="E57" s="1674">
        <f t="shared" si="6"/>
        <v>71090</v>
      </c>
      <c r="F57" s="1674">
        <f t="shared" si="6"/>
        <v>5183</v>
      </c>
      <c r="G57" s="1674">
        <f t="shared" si="6"/>
        <v>0</v>
      </c>
      <c r="H57" s="1674">
        <f t="shared" si="6"/>
        <v>0</v>
      </c>
      <c r="I57" s="1674">
        <f t="shared" si="6"/>
        <v>0</v>
      </c>
      <c r="J57" s="1674">
        <f t="shared" si="6"/>
        <v>0</v>
      </c>
      <c r="K57" s="1674">
        <f t="shared" si="6"/>
        <v>1091339</v>
      </c>
      <c r="L57" s="1670">
        <f>SUM(L55:L56)</f>
        <v>1129130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172952</v>
      </c>
      <c r="D60" s="466">
        <v>19422</v>
      </c>
      <c r="E60" s="466">
        <v>9778</v>
      </c>
      <c r="F60" s="466">
        <v>2525</v>
      </c>
      <c r="G60" s="466"/>
      <c r="H60" s="466"/>
      <c r="I60" s="467"/>
      <c r="J60" s="467"/>
      <c r="K60" s="1672">
        <f t="shared" si="7"/>
        <v>204677</v>
      </c>
      <c r="L60" s="466"/>
      <c r="M60" s="609"/>
      <c r="N60" s="609"/>
    </row>
    <row r="61" spans="1:14" s="343" customFormat="1" x14ac:dyDescent="0.2">
      <c r="A61" s="1504" t="s">
        <v>197</v>
      </c>
      <c r="B61" s="614">
        <v>2540</v>
      </c>
      <c r="C61" s="466">
        <v>2635</v>
      </c>
      <c r="D61" s="466"/>
      <c r="E61" s="466"/>
      <c r="F61" s="466"/>
      <c r="G61" s="466"/>
      <c r="H61" s="466"/>
      <c r="I61" s="467"/>
      <c r="J61" s="467"/>
      <c r="K61" s="1672">
        <f t="shared" si="7"/>
        <v>2635</v>
      </c>
      <c r="L61" s="466">
        <v>209100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318327</v>
      </c>
      <c r="D63" s="466">
        <v>44595</v>
      </c>
      <c r="E63" s="466">
        <v>18402</v>
      </c>
      <c r="F63" s="466">
        <v>286153</v>
      </c>
      <c r="G63" s="466">
        <v>1640</v>
      </c>
      <c r="H63" s="466"/>
      <c r="I63" s="467"/>
      <c r="J63" s="467"/>
      <c r="K63" s="1672">
        <f t="shared" si="7"/>
        <v>669117</v>
      </c>
      <c r="L63" s="466">
        <v>666505</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493914</v>
      </c>
      <c r="D65" s="1670">
        <f t="shared" ref="D65:L65" si="8">SUM(D59:D64)</f>
        <v>64017</v>
      </c>
      <c r="E65" s="1670">
        <f t="shared" si="8"/>
        <v>28180</v>
      </c>
      <c r="F65" s="1670">
        <f t="shared" si="8"/>
        <v>288678</v>
      </c>
      <c r="G65" s="1670">
        <f t="shared" si="8"/>
        <v>1640</v>
      </c>
      <c r="H65" s="1670">
        <f t="shared" si="8"/>
        <v>0</v>
      </c>
      <c r="I65" s="1670">
        <f t="shared" si="8"/>
        <v>0</v>
      </c>
      <c r="J65" s="1670">
        <f t="shared" si="8"/>
        <v>0</v>
      </c>
      <c r="K65" s="1670">
        <f t="shared" si="8"/>
        <v>876429</v>
      </c>
      <c r="L65" s="1670">
        <f t="shared" si="8"/>
        <v>875605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2408077</v>
      </c>
      <c r="D74" s="1677">
        <f t="shared" ref="D74:K74" si="10">SUM(D42,D47,D53,D57,D65,D72,D73)</f>
        <v>304935</v>
      </c>
      <c r="E74" s="1677">
        <f t="shared" si="10"/>
        <v>284664</v>
      </c>
      <c r="F74" s="1677">
        <f t="shared" si="10"/>
        <v>372062</v>
      </c>
      <c r="G74" s="1677">
        <f t="shared" si="10"/>
        <v>1640</v>
      </c>
      <c r="H74" s="1677">
        <f t="shared" si="10"/>
        <v>16333</v>
      </c>
      <c r="I74" s="1677">
        <f t="shared" si="10"/>
        <v>0</v>
      </c>
      <c r="J74" s="1677">
        <f t="shared" si="10"/>
        <v>0</v>
      </c>
      <c r="K74" s="1677">
        <f t="shared" si="10"/>
        <v>3387711</v>
      </c>
      <c r="L74" s="1677">
        <f>SUM(L42,L47,L53,L57,L65,L72,L73)</f>
        <v>3628365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821079</v>
      </c>
      <c r="I79" s="477"/>
      <c r="J79" s="477"/>
      <c r="K79" s="1671">
        <f t="shared" si="11"/>
        <v>821079</v>
      </c>
      <c r="L79" s="466">
        <v>1000000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15895</v>
      </c>
      <c r="I81" s="477"/>
      <c r="J81" s="477"/>
      <c r="K81" s="1671">
        <f t="shared" si="11"/>
        <v>15895</v>
      </c>
      <c r="L81" s="466">
        <v>14000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836974</v>
      </c>
      <c r="I84" s="477"/>
      <c r="J84" s="477"/>
      <c r="K84" s="1670">
        <f>SUM(K78:K83)</f>
        <v>836974</v>
      </c>
      <c r="L84" s="1670">
        <f>SUM(L78:L83)</f>
        <v>1014000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836974</v>
      </c>
      <c r="I102" s="477"/>
      <c r="J102" s="477"/>
      <c r="K102" s="1677">
        <f>SUM(K84,K92,K100,K101)</f>
        <v>836974</v>
      </c>
      <c r="L102" s="1677">
        <f>SUM(L84,L92,L100,L101)</f>
        <v>1014000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11966606</v>
      </c>
      <c r="D114" s="1670">
        <f t="shared" ref="D114:K114" si="13">SUM(D33,D74,D75,D102,D112,D113)</f>
        <v>1312681</v>
      </c>
      <c r="E114" s="1670">
        <f t="shared" si="13"/>
        <v>855190</v>
      </c>
      <c r="F114" s="1670">
        <f t="shared" si="13"/>
        <v>814473</v>
      </c>
      <c r="G114" s="1670">
        <f t="shared" si="13"/>
        <v>11840</v>
      </c>
      <c r="H114" s="1670">
        <f>SUM(H33,H74,H75,H102,H112,H113)</f>
        <v>868242</v>
      </c>
      <c r="I114" s="1670">
        <f t="shared" si="13"/>
        <v>0</v>
      </c>
      <c r="J114" s="1670">
        <f t="shared" si="13"/>
        <v>0</v>
      </c>
      <c r="K114" s="1670">
        <f t="shared" si="13"/>
        <v>15829032</v>
      </c>
      <c r="L114" s="1670">
        <f>SUM(L33,L74,L75,L102,L112,L113)</f>
        <v>16488061</v>
      </c>
    </row>
    <row r="115" spans="1:14" ht="13.5" thickTop="1" x14ac:dyDescent="0.2">
      <c r="A115" s="2182" t="s">
        <v>996</v>
      </c>
      <c r="B115" s="2183"/>
      <c r="C115" s="618"/>
      <c r="D115" s="618"/>
      <c r="E115" s="618"/>
      <c r="F115" s="618"/>
      <c r="G115" s="618"/>
      <c r="H115" s="618"/>
      <c r="I115" s="618"/>
      <c r="J115" s="618"/>
      <c r="K115" s="1684">
        <f>'Revenues 9-14'!C268-'Expenditures 15-22'!K114</f>
        <v>960014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558972</v>
      </c>
      <c r="D124" s="466">
        <v>71742</v>
      </c>
      <c r="E124" s="466">
        <v>184915</v>
      </c>
      <c r="F124" s="466">
        <v>360309</v>
      </c>
      <c r="G124" s="466">
        <v>6154</v>
      </c>
      <c r="H124" s="466"/>
      <c r="I124" s="467"/>
      <c r="J124" s="467"/>
      <c r="K124" s="1670">
        <f>SUM(C124:J124)</f>
        <v>1182092</v>
      </c>
      <c r="L124" s="466">
        <v>1047500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558972</v>
      </c>
      <c r="D127" s="1670">
        <f t="shared" ref="D127:L127" si="14">SUM(D122:D126)</f>
        <v>71742</v>
      </c>
      <c r="E127" s="1670">
        <f t="shared" si="14"/>
        <v>184915</v>
      </c>
      <c r="F127" s="1670">
        <f t="shared" si="14"/>
        <v>360309</v>
      </c>
      <c r="G127" s="1670">
        <f t="shared" si="14"/>
        <v>6154</v>
      </c>
      <c r="H127" s="1670">
        <f t="shared" si="14"/>
        <v>0</v>
      </c>
      <c r="I127" s="1670">
        <f t="shared" si="14"/>
        <v>0</v>
      </c>
      <c r="J127" s="1670">
        <f t="shared" si="14"/>
        <v>0</v>
      </c>
      <c r="K127" s="1670">
        <f t="shared" si="14"/>
        <v>1182092</v>
      </c>
      <c r="L127" s="1670">
        <f t="shared" si="14"/>
        <v>1047500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558972</v>
      </c>
      <c r="D129" s="1677">
        <f t="shared" ref="D129:L129" si="15">SUM(D120,D127,D128)</f>
        <v>71742</v>
      </c>
      <c r="E129" s="1677">
        <f t="shared" si="15"/>
        <v>184915</v>
      </c>
      <c r="F129" s="1677">
        <f t="shared" si="15"/>
        <v>360309</v>
      </c>
      <c r="G129" s="1677">
        <f t="shared" si="15"/>
        <v>6154</v>
      </c>
      <c r="H129" s="1677">
        <f t="shared" si="15"/>
        <v>0</v>
      </c>
      <c r="I129" s="1677">
        <f t="shared" si="15"/>
        <v>0</v>
      </c>
      <c r="J129" s="1677">
        <f t="shared" si="15"/>
        <v>0</v>
      </c>
      <c r="K129" s="1677">
        <f t="shared" si="15"/>
        <v>1182092</v>
      </c>
      <c r="L129" s="1677">
        <f t="shared" si="15"/>
        <v>1047500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4"/>
      <c r="C151" s="1670">
        <f>SUM(C129,C130,C139,C149,C150)</f>
        <v>558972</v>
      </c>
      <c r="D151" s="1670">
        <f t="shared" ref="D151:K151" si="16">SUM(D129,D130,D139,D149,D150)</f>
        <v>71742</v>
      </c>
      <c r="E151" s="1670">
        <f t="shared" si="16"/>
        <v>184915</v>
      </c>
      <c r="F151" s="1670">
        <f t="shared" si="16"/>
        <v>360309</v>
      </c>
      <c r="G151" s="1670">
        <f t="shared" si="16"/>
        <v>6154</v>
      </c>
      <c r="H151" s="1670">
        <f t="shared" si="16"/>
        <v>0</v>
      </c>
      <c r="I151" s="1670">
        <f t="shared" si="16"/>
        <v>0</v>
      </c>
      <c r="J151" s="1670">
        <f t="shared" si="16"/>
        <v>0</v>
      </c>
      <c r="K151" s="1670">
        <f t="shared" si="16"/>
        <v>1182092</v>
      </c>
      <c r="L151" s="1670">
        <f>SUM(L129,L130,L139,L149,L150)</f>
        <v>1047500</v>
      </c>
    </row>
    <row r="152" spans="1:14" ht="12.75" customHeight="1" thickTop="1" x14ac:dyDescent="0.2">
      <c r="A152" s="2175" t="s">
        <v>1178</v>
      </c>
      <c r="B152" s="2176"/>
      <c r="C152" s="618"/>
      <c r="D152" s="618"/>
      <c r="E152" s="618"/>
      <c r="F152" s="618"/>
      <c r="G152" s="618"/>
      <c r="H152" s="618"/>
      <c r="I152" s="618"/>
      <c r="J152" s="616"/>
      <c r="K152" s="1684">
        <f>'Revenues 9-14'!D268-'Expenditures 15-22'!K151</f>
        <v>-58777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35325</v>
      </c>
      <c r="I169" s="616"/>
      <c r="J169" s="616"/>
      <c r="K169" s="1671">
        <f>SUM(C169:H169)</f>
        <v>35325</v>
      </c>
      <c r="L169" s="656">
        <v>35325</v>
      </c>
    </row>
    <row r="170" spans="1:14" ht="33.75" customHeight="1" x14ac:dyDescent="0.2">
      <c r="A170" s="669" t="s">
        <v>1670</v>
      </c>
      <c r="B170" s="671" t="s">
        <v>31</v>
      </c>
      <c r="C170" s="616"/>
      <c r="D170" s="616"/>
      <c r="E170" s="616"/>
      <c r="F170" s="616"/>
      <c r="G170" s="616"/>
      <c r="H170" s="569">
        <v>1570000</v>
      </c>
      <c r="I170" s="616"/>
      <c r="J170" s="616"/>
      <c r="K170" s="1671">
        <f>SUM(C170:J170)</f>
        <v>1570000</v>
      </c>
      <c r="L170" s="569">
        <v>1570000</v>
      </c>
    </row>
    <row r="171" spans="1:14" ht="15.75" customHeight="1" x14ac:dyDescent="0.2">
      <c r="A171" s="621" t="s">
        <v>766</v>
      </c>
      <c r="B171" s="672" t="s">
        <v>84</v>
      </c>
      <c r="C171" s="616"/>
      <c r="D171" s="616"/>
      <c r="E171" s="466"/>
      <c r="F171" s="616"/>
      <c r="G171" s="616"/>
      <c r="H171" s="569">
        <v>500</v>
      </c>
      <c r="I171" s="477"/>
      <c r="J171" s="616"/>
      <c r="K171" s="1671">
        <f>SUM(C171:J171)</f>
        <v>500</v>
      </c>
      <c r="L171" s="569">
        <v>1000</v>
      </c>
    </row>
    <row r="172" spans="1:14" ht="12.75" customHeight="1" thickBot="1" x14ac:dyDescent="0.25">
      <c r="A172" s="1668" t="s">
        <v>638</v>
      </c>
      <c r="B172" s="1669" t="s">
        <v>492</v>
      </c>
      <c r="C172" s="616"/>
      <c r="D172" s="616"/>
      <c r="E172" s="1677">
        <f>SUM(E168,E169,E170,E171)</f>
        <v>0</v>
      </c>
      <c r="F172" s="616"/>
      <c r="G172" s="616"/>
      <c r="H172" s="1677">
        <f>SUM(H168,H169,H170,H171)</f>
        <v>1605825</v>
      </c>
      <c r="I172" s="638"/>
      <c r="J172" s="616"/>
      <c r="K172" s="1677">
        <f>SUM(K168,K169,K170,K171)</f>
        <v>1605825</v>
      </c>
      <c r="L172" s="1677">
        <f>SUM(L168,L169,L170,L171)</f>
        <v>1606325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1605825</v>
      </c>
      <c r="I174" s="638"/>
      <c r="J174" s="616"/>
      <c r="K174" s="1677">
        <f>SUM(K160,K172,K173)</f>
        <v>1605825</v>
      </c>
      <c r="L174" s="1677">
        <f>SUM(L160,L172,L173)</f>
        <v>1606325</v>
      </c>
    </row>
    <row r="175" spans="1:14" ht="13.5" thickTop="1" x14ac:dyDescent="0.2">
      <c r="A175" s="2182" t="s">
        <v>996</v>
      </c>
      <c r="B175" s="2183"/>
      <c r="C175" s="616"/>
      <c r="D175" s="616"/>
      <c r="E175" s="616"/>
      <c r="F175" s="616"/>
      <c r="G175" s="616"/>
      <c r="H175" s="618"/>
      <c r="I175" s="616"/>
      <c r="J175" s="616"/>
      <c r="K175" s="1684">
        <f>'Revenues 9-14'!E268-'Expenditures 15-22'!K174</f>
        <v>219021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641876</v>
      </c>
      <c r="D182" s="466">
        <v>73077</v>
      </c>
      <c r="E182" s="466">
        <v>178740</v>
      </c>
      <c r="F182" s="466">
        <v>152620</v>
      </c>
      <c r="G182" s="466">
        <v>1512601</v>
      </c>
      <c r="H182" s="466">
        <v>2987</v>
      </c>
      <c r="I182" s="467">
        <v>58200</v>
      </c>
      <c r="J182" s="467"/>
      <c r="K182" s="1671">
        <f>SUM(C182:J182)</f>
        <v>2620101</v>
      </c>
      <c r="L182" s="466">
        <v>2876200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641876</v>
      </c>
      <c r="D184" s="1677">
        <f t="shared" ref="D184:J184" si="17">SUM(D180,D182,D183)</f>
        <v>73077</v>
      </c>
      <c r="E184" s="1677">
        <f t="shared" si="17"/>
        <v>178740</v>
      </c>
      <c r="F184" s="1677">
        <f t="shared" si="17"/>
        <v>152620</v>
      </c>
      <c r="G184" s="1677">
        <f t="shared" si="17"/>
        <v>1512601</v>
      </c>
      <c r="H184" s="1677">
        <f t="shared" si="17"/>
        <v>2987</v>
      </c>
      <c r="I184" s="1677">
        <f t="shared" si="17"/>
        <v>58200</v>
      </c>
      <c r="J184" s="1677">
        <f t="shared" si="17"/>
        <v>0</v>
      </c>
      <c r="K184" s="1677">
        <f>SUM(K180,K182,K183)</f>
        <v>2620101</v>
      </c>
      <c r="L184" s="1677">
        <f>SUM(L180, L182:L183)</f>
        <v>2876200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641876</v>
      </c>
      <c r="D210" s="1670">
        <f>SUM(D184,D185)</f>
        <v>73077</v>
      </c>
      <c r="E210" s="1670">
        <f>SUM(E184,E185,E196)</f>
        <v>178740</v>
      </c>
      <c r="F210" s="1670">
        <f>SUM(F184,F185)</f>
        <v>152620</v>
      </c>
      <c r="G210" s="1670">
        <f>SUM(G184,G185)</f>
        <v>1512601</v>
      </c>
      <c r="H210" s="1670">
        <f>SUM(H184,H185,H196,H208,H209)</f>
        <v>2987</v>
      </c>
      <c r="I210" s="1670">
        <f>SUM(I184,I185)</f>
        <v>58200</v>
      </c>
      <c r="J210" s="1670">
        <f>SUM(J184,J185)</f>
        <v>0</v>
      </c>
      <c r="K210" s="1671">
        <f>SUM(K184,K185,K196,K208,K209)</f>
        <v>2620101</v>
      </c>
      <c r="L210" s="1670">
        <f>SUM(L184,L185,L196,L208,L209)</f>
        <v>2876200</v>
      </c>
    </row>
    <row r="211" spans="1:14" ht="13.5" thickTop="1" x14ac:dyDescent="0.2">
      <c r="A211" s="2182" t="s">
        <v>996</v>
      </c>
      <c r="B211" s="2183"/>
      <c r="C211" s="618"/>
      <c r="D211" s="618"/>
      <c r="E211" s="618"/>
      <c r="F211" s="618"/>
      <c r="G211" s="618"/>
      <c r="H211" s="618"/>
      <c r="I211" s="616"/>
      <c r="J211" s="616"/>
      <c r="K211" s="1684">
        <f>'Revenues 9-14'!F268-'Expenditures 15-22'!K210</f>
        <v>-1262546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85270</v>
      </c>
      <c r="E215" s="616"/>
      <c r="F215" s="616"/>
      <c r="G215" s="616"/>
      <c r="H215" s="616"/>
      <c r="I215" s="616"/>
      <c r="J215" s="616"/>
      <c r="K215" s="1671">
        <f>D215</f>
        <v>85270</v>
      </c>
      <c r="L215" s="466">
        <v>80645</v>
      </c>
    </row>
    <row r="216" spans="1:14" x14ac:dyDescent="0.2">
      <c r="A216" s="1504" t="s">
        <v>163</v>
      </c>
      <c r="B216" s="614" t="s">
        <v>967</v>
      </c>
      <c r="C216" s="616"/>
      <c r="D216" s="467">
        <v>13607</v>
      </c>
      <c r="E216" s="616"/>
      <c r="F216" s="616"/>
      <c r="G216" s="616"/>
      <c r="H216" s="616"/>
      <c r="I216" s="616"/>
      <c r="J216" s="616"/>
      <c r="K216" s="1671">
        <f t="shared" ref="K216:K228" si="19">D216</f>
        <v>13607</v>
      </c>
      <c r="L216" s="466"/>
    </row>
    <row r="217" spans="1:14" x14ac:dyDescent="0.2">
      <c r="A217" s="1504" t="s">
        <v>164</v>
      </c>
      <c r="B217" s="614">
        <v>1200</v>
      </c>
      <c r="C217" s="616"/>
      <c r="D217" s="466">
        <v>140050</v>
      </c>
      <c r="E217" s="616"/>
      <c r="F217" s="616"/>
      <c r="G217" s="616"/>
      <c r="H217" s="616"/>
      <c r="I217" s="616"/>
      <c r="J217" s="616"/>
      <c r="K217" s="1671">
        <f t="shared" si="19"/>
        <v>140050</v>
      </c>
      <c r="L217" s="466">
        <v>163093</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1141</v>
      </c>
      <c r="E219" s="616"/>
      <c r="F219" s="616"/>
      <c r="G219" s="616"/>
      <c r="H219" s="616"/>
      <c r="I219" s="616"/>
      <c r="J219" s="616"/>
      <c r="K219" s="1671">
        <f t="shared" si="19"/>
        <v>1141</v>
      </c>
      <c r="L219" s="466">
        <v>1002</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9357</v>
      </c>
      <c r="E222" s="616"/>
      <c r="F222" s="616"/>
      <c r="G222" s="616"/>
      <c r="H222" s="616"/>
      <c r="I222" s="616"/>
      <c r="J222" s="616"/>
      <c r="K222" s="1671">
        <f t="shared" si="19"/>
        <v>9357</v>
      </c>
      <c r="L222" s="466">
        <v>10018</v>
      </c>
    </row>
    <row r="223" spans="1:14" x14ac:dyDescent="0.2">
      <c r="A223" s="1504" t="s">
        <v>963</v>
      </c>
      <c r="B223" s="614">
        <v>1500</v>
      </c>
      <c r="C223" s="616"/>
      <c r="D223" s="466">
        <v>11963</v>
      </c>
      <c r="E223" s="616"/>
      <c r="F223" s="616"/>
      <c r="G223" s="616"/>
      <c r="H223" s="616"/>
      <c r="I223" s="616"/>
      <c r="J223" s="616"/>
      <c r="K223" s="1671">
        <f t="shared" si="19"/>
        <v>11963</v>
      </c>
      <c r="L223" s="466">
        <v>12422</v>
      </c>
    </row>
    <row r="224" spans="1:14" x14ac:dyDescent="0.2">
      <c r="A224" s="1504" t="s">
        <v>964</v>
      </c>
      <c r="B224" s="614">
        <v>1600</v>
      </c>
      <c r="C224" s="616"/>
      <c r="D224" s="466">
        <v>249</v>
      </c>
      <c r="E224" s="616"/>
      <c r="F224" s="616"/>
      <c r="G224" s="616"/>
      <c r="H224" s="616"/>
      <c r="I224" s="616"/>
      <c r="J224" s="616"/>
      <c r="K224" s="1671">
        <f t="shared" si="19"/>
        <v>249</v>
      </c>
      <c r="L224" s="466">
        <v>551</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261637</v>
      </c>
      <c r="E229" s="616"/>
      <c r="F229" s="616"/>
      <c r="G229" s="616"/>
      <c r="H229" s="616"/>
      <c r="I229" s="616"/>
      <c r="J229" s="616"/>
      <c r="K229" s="1670">
        <f>SUM(K215:K228)</f>
        <v>261637</v>
      </c>
      <c r="L229" s="1670">
        <f>SUM(L215:L228)</f>
        <v>267731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5750</v>
      </c>
      <c r="E233" s="616"/>
      <c r="F233" s="616"/>
      <c r="G233" s="616"/>
      <c r="H233" s="616"/>
      <c r="I233" s="616"/>
      <c r="J233" s="616"/>
      <c r="K233" s="1671">
        <f t="shared" si="20"/>
        <v>5750</v>
      </c>
      <c r="L233" s="466">
        <v>6412</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2490</v>
      </c>
      <c r="E236" s="616"/>
      <c r="F236" s="616"/>
      <c r="G236" s="616"/>
      <c r="H236" s="616"/>
      <c r="I236" s="616"/>
      <c r="J236" s="616"/>
      <c r="K236" s="1671">
        <f t="shared" si="20"/>
        <v>2490</v>
      </c>
      <c r="L236" s="466">
        <v>3506</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8240</v>
      </c>
      <c r="E238" s="616"/>
      <c r="F238" s="616"/>
      <c r="G238" s="616"/>
      <c r="H238" s="616"/>
      <c r="I238" s="616"/>
      <c r="J238" s="616"/>
      <c r="K238" s="1670">
        <f>SUM(K232:K237)</f>
        <v>8240</v>
      </c>
      <c r="L238" s="1670">
        <f>SUM(L232:L237)</f>
        <v>9918</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25596</v>
      </c>
      <c r="E240" s="616"/>
      <c r="F240" s="616"/>
      <c r="G240" s="616"/>
      <c r="H240" s="616"/>
      <c r="I240" s="616"/>
      <c r="J240" s="616"/>
      <c r="K240" s="1672">
        <f>D240</f>
        <v>25596</v>
      </c>
      <c r="L240" s="481">
        <v>22190</v>
      </c>
    </row>
    <row r="241" spans="1:12" x14ac:dyDescent="0.2">
      <c r="A241" s="1504" t="s">
        <v>815</v>
      </c>
      <c r="B241" s="614">
        <v>2220</v>
      </c>
      <c r="C241" s="616"/>
      <c r="D241" s="466">
        <v>7499</v>
      </c>
      <c r="E241" s="616"/>
      <c r="F241" s="616"/>
      <c r="G241" s="616"/>
      <c r="H241" s="616"/>
      <c r="I241" s="616"/>
      <c r="J241" s="616"/>
      <c r="K241" s="1672">
        <f>D241</f>
        <v>7499</v>
      </c>
      <c r="L241" s="466">
        <v>11521</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33095</v>
      </c>
      <c r="E243" s="616"/>
      <c r="F243" s="616"/>
      <c r="G243" s="616"/>
      <c r="H243" s="616"/>
      <c r="I243" s="616"/>
      <c r="J243" s="616"/>
      <c r="K243" s="1670">
        <f>SUM(K240:K242)</f>
        <v>33095</v>
      </c>
      <c r="L243" s="1670">
        <f>SUM(L240:L242)</f>
        <v>33711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1592</v>
      </c>
      <c r="E246" s="616"/>
      <c r="F246" s="616"/>
      <c r="G246" s="616"/>
      <c r="H246" s="616"/>
      <c r="I246" s="616"/>
      <c r="J246" s="616"/>
      <c r="K246" s="1672">
        <f t="shared" ref="K246:K256" si="21">D246</f>
        <v>1592</v>
      </c>
      <c r="L246" s="466">
        <v>1503</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1592</v>
      </c>
      <c r="E257" s="616"/>
      <c r="F257" s="616"/>
      <c r="G257" s="616"/>
      <c r="H257" s="616"/>
      <c r="I257" s="616"/>
      <c r="J257" s="616"/>
      <c r="K257" s="1670">
        <f>SUM(K245:K256)</f>
        <v>1592</v>
      </c>
      <c r="L257" s="1670">
        <f>SUM(L245:L256)</f>
        <v>1503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52135</v>
      </c>
      <c r="E259" s="616"/>
      <c r="F259" s="616"/>
      <c r="G259" s="616"/>
      <c r="H259" s="616"/>
      <c r="I259" s="616"/>
      <c r="J259" s="616"/>
      <c r="K259" s="1672">
        <f>D259</f>
        <v>52135</v>
      </c>
      <c r="L259" s="481">
        <v>63214</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52135</v>
      </c>
      <c r="E261" s="616"/>
      <c r="F261" s="616"/>
      <c r="G261" s="616"/>
      <c r="H261" s="616"/>
      <c r="I261" s="616"/>
      <c r="J261" s="616"/>
      <c r="K261" s="1670">
        <f>SUM(K259:K260)</f>
        <v>52135</v>
      </c>
      <c r="L261" s="1670">
        <f>SUM(L259:L260)</f>
        <v>63214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29657</v>
      </c>
      <c r="E264" s="616"/>
      <c r="F264" s="616"/>
      <c r="G264" s="616"/>
      <c r="H264" s="616"/>
      <c r="I264" s="616"/>
      <c r="J264" s="616"/>
      <c r="K264" s="1672">
        <f t="shared" ref="K264:K269" si="22">D264</f>
        <v>29657</v>
      </c>
      <c r="L264" s="466">
        <v>40573</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104171</v>
      </c>
      <c r="E266" s="616"/>
      <c r="F266" s="616"/>
      <c r="G266" s="616"/>
      <c r="H266" s="616"/>
      <c r="I266" s="616"/>
      <c r="J266" s="616"/>
      <c r="K266" s="1672">
        <f t="shared" si="22"/>
        <v>104171</v>
      </c>
      <c r="L266" s="466">
        <v>121619</v>
      </c>
    </row>
    <row r="267" spans="1:14" x14ac:dyDescent="0.2">
      <c r="A267" s="1504" t="s">
        <v>953</v>
      </c>
      <c r="B267" s="614">
        <v>2550</v>
      </c>
      <c r="C267" s="616"/>
      <c r="D267" s="466">
        <v>108357</v>
      </c>
      <c r="E267" s="616"/>
      <c r="F267" s="616"/>
      <c r="G267" s="616"/>
      <c r="H267" s="616"/>
      <c r="I267" s="616"/>
      <c r="J267" s="616"/>
      <c r="K267" s="1672">
        <f t="shared" si="22"/>
        <v>108357</v>
      </c>
      <c r="L267" s="466">
        <v>117211</v>
      </c>
    </row>
    <row r="268" spans="1:14" x14ac:dyDescent="0.2">
      <c r="A268" s="1504" t="s">
        <v>100</v>
      </c>
      <c r="B268" s="614">
        <v>2560</v>
      </c>
      <c r="C268" s="616"/>
      <c r="D268" s="466">
        <v>60232</v>
      </c>
      <c r="E268" s="616"/>
      <c r="F268" s="616"/>
      <c r="G268" s="616"/>
      <c r="H268" s="616"/>
      <c r="I268" s="616"/>
      <c r="J268" s="616"/>
      <c r="K268" s="1672">
        <f t="shared" si="22"/>
        <v>60232</v>
      </c>
      <c r="L268" s="466">
        <v>68323</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302417</v>
      </c>
      <c r="E270" s="616"/>
      <c r="F270" s="616"/>
      <c r="G270" s="616"/>
      <c r="H270" s="616"/>
      <c r="I270" s="616"/>
      <c r="J270" s="616"/>
      <c r="K270" s="1670">
        <f>SUM(K263:K269)</f>
        <v>302417</v>
      </c>
      <c r="L270" s="1670">
        <f>SUM(L263:L269)</f>
        <v>347726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397479</v>
      </c>
      <c r="E279" s="616"/>
      <c r="F279" s="616"/>
      <c r="G279" s="616"/>
      <c r="H279" s="616"/>
      <c r="I279" s="616"/>
      <c r="J279" s="616"/>
      <c r="K279" s="1677">
        <f>SUM(K238,K243,K257,K261,K270,K277,K278)</f>
        <v>397479</v>
      </c>
      <c r="L279" s="1677">
        <f>SUM(L238,L243,L257,L261,L270,L277,L278)</f>
        <v>456072</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659116</v>
      </c>
      <c r="E295" s="616"/>
      <c r="F295" s="616"/>
      <c r="G295" s="616"/>
      <c r="H295" s="1670">
        <f>H293</f>
        <v>0</v>
      </c>
      <c r="I295" s="616"/>
      <c r="J295" s="616"/>
      <c r="K295" s="1670">
        <f>SUM(K229,K279,K280,K285,K293,K294)</f>
        <v>659116</v>
      </c>
      <c r="L295" s="1670">
        <f>SUM(L229,L279,L280,L285,L293,L294)</f>
        <v>723803</v>
      </c>
    </row>
    <row r="296" spans="1:14" ht="13.5" thickTop="1" x14ac:dyDescent="0.2">
      <c r="A296" s="2182" t="s">
        <v>996</v>
      </c>
      <c r="B296" s="2183"/>
      <c r="C296" s="616"/>
      <c r="D296" s="618"/>
      <c r="E296" s="616"/>
      <c r="F296" s="616"/>
      <c r="G296" s="616"/>
      <c r="H296" s="687"/>
      <c r="I296" s="616"/>
      <c r="J296" s="616"/>
      <c r="K296" s="1684">
        <f>'Revenues 9-14'!G268-'Expenditures 15-22'!K295</f>
        <v>150207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19554</v>
      </c>
      <c r="F301" s="466"/>
      <c r="G301" s="466">
        <v>456882</v>
      </c>
      <c r="H301" s="466">
        <v>390</v>
      </c>
      <c r="I301" s="467"/>
      <c r="J301" s="467"/>
      <c r="K301" s="1671">
        <f>SUM(C301:J301)</f>
        <v>476826</v>
      </c>
      <c r="L301" s="467">
        <v>480000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19554</v>
      </c>
      <c r="F303" s="1677">
        <f t="shared" si="23"/>
        <v>0</v>
      </c>
      <c r="G303" s="1677">
        <f t="shared" si="23"/>
        <v>456882</v>
      </c>
      <c r="H303" s="1677">
        <f t="shared" si="23"/>
        <v>390</v>
      </c>
      <c r="I303" s="1677">
        <f t="shared" si="23"/>
        <v>0</v>
      </c>
      <c r="J303" s="1677">
        <f t="shared" si="23"/>
        <v>0</v>
      </c>
      <c r="K303" s="1677">
        <f t="shared" si="23"/>
        <v>476826</v>
      </c>
      <c r="L303" s="1677">
        <f t="shared" si="23"/>
        <v>480000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19554</v>
      </c>
      <c r="F312" s="1670">
        <f>SUM(F303)</f>
        <v>0</v>
      </c>
      <c r="G312" s="1670">
        <f>SUM(G303)</f>
        <v>456882</v>
      </c>
      <c r="H312" s="1670">
        <f>SUM(H303,H310)</f>
        <v>390</v>
      </c>
      <c r="I312" s="1670">
        <f>SUM(I303)</f>
        <v>0</v>
      </c>
      <c r="J312" s="1670">
        <f>SUM(J303)</f>
        <v>0</v>
      </c>
      <c r="K312" s="1670">
        <f>SUM(K303,K310,K311)</f>
        <v>476826</v>
      </c>
      <c r="L312" s="1670">
        <f>SUM(L303,L310,L311)</f>
        <v>480000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218394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v>126995</v>
      </c>
      <c r="F320" s="467"/>
      <c r="G320" s="467"/>
      <c r="H320" s="467"/>
      <c r="I320" s="467"/>
      <c r="J320" s="467"/>
      <c r="K320" s="1671">
        <f t="shared" ref="K320:K327" si="24">SUM(C320:J320)</f>
        <v>126995</v>
      </c>
      <c r="L320" s="467"/>
      <c r="M320" s="665"/>
      <c r="N320" s="665"/>
    </row>
    <row r="321" spans="1:14" s="674" customFormat="1" x14ac:dyDescent="0.2">
      <c r="A321" s="1519" t="s">
        <v>300</v>
      </c>
      <c r="B321" s="697" t="s">
        <v>283</v>
      </c>
      <c r="C321" s="467"/>
      <c r="D321" s="467"/>
      <c r="E321" s="467">
        <v>4690</v>
      </c>
      <c r="F321" s="467"/>
      <c r="G321" s="467"/>
      <c r="H321" s="467"/>
      <c r="I321" s="467"/>
      <c r="J321" s="467"/>
      <c r="K321" s="1671">
        <f t="shared" si="24"/>
        <v>4690</v>
      </c>
      <c r="L321" s="467"/>
      <c r="M321" s="665"/>
      <c r="N321" s="665"/>
    </row>
    <row r="322" spans="1:14" s="674" customFormat="1" x14ac:dyDescent="0.2">
      <c r="A322" s="1519" t="s">
        <v>238</v>
      </c>
      <c r="B322" s="697" t="s">
        <v>284</v>
      </c>
      <c r="C322" s="467"/>
      <c r="D322" s="467"/>
      <c r="E322" s="467">
        <v>123227</v>
      </c>
      <c r="F322" s="467"/>
      <c r="G322" s="467"/>
      <c r="H322" s="467"/>
      <c r="I322" s="467"/>
      <c r="J322" s="467"/>
      <c r="K322" s="1671">
        <f t="shared" si="24"/>
        <v>123227</v>
      </c>
      <c r="L322" s="467">
        <v>402000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495816</v>
      </c>
      <c r="F325" s="467"/>
      <c r="G325" s="467"/>
      <c r="H325" s="467"/>
      <c r="I325" s="467"/>
      <c r="J325" s="467"/>
      <c r="K325" s="1671">
        <f t="shared" si="24"/>
        <v>495816</v>
      </c>
      <c r="L325" s="467">
        <v>350000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73566</v>
      </c>
      <c r="F327" s="467"/>
      <c r="G327" s="467"/>
      <c r="H327" s="467"/>
      <c r="I327" s="467"/>
      <c r="J327" s="467"/>
      <c r="K327" s="1671">
        <f t="shared" si="24"/>
        <v>73566</v>
      </c>
      <c r="L327" s="467"/>
      <c r="M327" s="665"/>
      <c r="N327" s="665"/>
    </row>
    <row r="328" spans="1:14" s="674" customFormat="1" x14ac:dyDescent="0.2">
      <c r="A328" s="1520" t="s">
        <v>472</v>
      </c>
      <c r="B328" s="690" t="s">
        <v>1132</v>
      </c>
      <c r="C328" s="474"/>
      <c r="D328" s="474"/>
      <c r="E328" s="474">
        <v>4371</v>
      </c>
      <c r="F328" s="474"/>
      <c r="G328" s="474"/>
      <c r="H328" s="474"/>
      <c r="I328" s="474"/>
      <c r="J328" s="474"/>
      <c r="K328" s="1699">
        <f>SUM(C328:J328)</f>
        <v>4371</v>
      </c>
      <c r="L328" s="474">
        <v>15000</v>
      </c>
      <c r="M328" s="665"/>
      <c r="N328" s="665"/>
    </row>
    <row r="329" spans="1:14" s="674" customFormat="1" x14ac:dyDescent="0.2">
      <c r="A329" s="1520" t="s">
        <v>1133</v>
      </c>
      <c r="B329" s="690" t="s">
        <v>1134</v>
      </c>
      <c r="C329" s="474"/>
      <c r="D329" s="474"/>
      <c r="E329" s="474">
        <v>39458</v>
      </c>
      <c r="F329" s="474"/>
      <c r="G329" s="474"/>
      <c r="H329" s="474"/>
      <c r="I329" s="474"/>
      <c r="J329" s="474"/>
      <c r="K329" s="1699">
        <f>SUM(C329:J329)</f>
        <v>39458</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868123</v>
      </c>
      <c r="F330" s="1670">
        <f t="shared" si="25"/>
        <v>0</v>
      </c>
      <c r="G330" s="1670">
        <f t="shared" si="25"/>
        <v>0</v>
      </c>
      <c r="H330" s="1670">
        <f t="shared" si="25"/>
        <v>0</v>
      </c>
      <c r="I330" s="1670">
        <f t="shared" si="25"/>
        <v>0</v>
      </c>
      <c r="J330" s="1670">
        <f t="shared" si="25"/>
        <v>0</v>
      </c>
      <c r="K330" s="1670">
        <f>SUM(K319:K329)</f>
        <v>868123</v>
      </c>
      <c r="L330" s="1670">
        <f>SUM(L319:L329)</f>
        <v>767000</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868123</v>
      </c>
      <c r="F342" s="1670">
        <f>SUM(F330)</f>
        <v>0</v>
      </c>
      <c r="G342" s="1670">
        <f>SUM(G330)</f>
        <v>0</v>
      </c>
      <c r="H342" s="1670">
        <f>SUM(H330,H334,H340)</f>
        <v>0</v>
      </c>
      <c r="I342" s="1670">
        <f>SUM(I330)</f>
        <v>0</v>
      </c>
      <c r="J342" s="1670">
        <f>SUM(J330)</f>
        <v>0</v>
      </c>
      <c r="K342" s="1670">
        <f>SUM(K330,K334,K340)</f>
        <v>868123</v>
      </c>
      <c r="L342" s="1677">
        <f>SUM(L330,L340,L341)</f>
        <v>767000</v>
      </c>
    </row>
    <row r="343" spans="1:14" ht="12.75" customHeight="1" thickTop="1" x14ac:dyDescent="0.2">
      <c r="A343" s="2168" t="s">
        <v>996</v>
      </c>
      <c r="B343" s="2169"/>
      <c r="C343" s="616"/>
      <c r="D343" s="616"/>
      <c r="E343" s="616"/>
      <c r="F343" s="616"/>
      <c r="G343" s="616"/>
      <c r="H343" s="616"/>
      <c r="I343" s="616"/>
      <c r="J343" s="616"/>
      <c r="K343" s="1684">
        <f>'Revenues 9-14'!J268-'Expenditures 15-22'!K342</f>
        <v>-49936</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64200</v>
      </c>
      <c r="H348" s="466"/>
      <c r="I348" s="467"/>
      <c r="J348" s="467"/>
      <c r="K348" s="1671">
        <f>SUM(C348:J348)</f>
        <v>64200</v>
      </c>
      <c r="L348" s="466">
        <v>65000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64200</v>
      </c>
      <c r="H350" s="1670">
        <f t="shared" si="26"/>
        <v>0</v>
      </c>
      <c r="I350" s="1670">
        <f t="shared" si="26"/>
        <v>0</v>
      </c>
      <c r="J350" s="1670">
        <f t="shared" si="26"/>
        <v>0</v>
      </c>
      <c r="K350" s="1670">
        <f t="shared" si="26"/>
        <v>64200</v>
      </c>
      <c r="L350" s="1670">
        <f t="shared" si="26"/>
        <v>65000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64200</v>
      </c>
      <c r="H352" s="1670">
        <f t="shared" si="27"/>
        <v>0</v>
      </c>
      <c r="I352" s="1670">
        <f t="shared" si="27"/>
        <v>0</v>
      </c>
      <c r="J352" s="1670">
        <f t="shared" si="27"/>
        <v>0</v>
      </c>
      <c r="K352" s="1670">
        <f t="shared" si="27"/>
        <v>64200</v>
      </c>
      <c r="L352" s="1670">
        <f t="shared" si="27"/>
        <v>65000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64200</v>
      </c>
      <c r="H367" s="1670">
        <f t="shared" si="28"/>
        <v>0</v>
      </c>
      <c r="I367" s="1670">
        <f t="shared" si="28"/>
        <v>0</v>
      </c>
      <c r="J367" s="1670">
        <f t="shared" si="28"/>
        <v>0</v>
      </c>
      <c r="K367" s="1670">
        <f t="shared" si="28"/>
        <v>64200</v>
      </c>
      <c r="L367" s="1670">
        <f t="shared" si="28"/>
        <v>65000</v>
      </c>
    </row>
    <row r="368" spans="1:14" ht="13.5" thickTop="1" x14ac:dyDescent="0.2">
      <c r="A368" s="2182" t="s">
        <v>996</v>
      </c>
      <c r="B368" s="2183"/>
      <c r="C368" s="654"/>
      <c r="D368" s="654"/>
      <c r="E368" s="626"/>
      <c r="F368" s="626"/>
      <c r="G368" s="626"/>
      <c r="H368" s="626"/>
      <c r="I368" s="626"/>
      <c r="J368" s="623"/>
      <c r="K368" s="1671">
        <f>'Revenues 9-14'!K268-'Expenditures 15-22'!K367</f>
        <v>49484</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&amp;F&amp;RThe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U31" sqref="U3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4" t="s">
        <v>1800</v>
      </c>
      <c r="B2" s="1528" t="s">
        <v>1947</v>
      </c>
      <c r="C2" s="714" t="s">
        <v>1948</v>
      </c>
      <c r="D2" s="714" t="s">
        <v>1949</v>
      </c>
      <c r="E2" s="714" t="s">
        <v>1950</v>
      </c>
      <c r="F2" s="714" t="s">
        <v>1951</v>
      </c>
    </row>
    <row r="3" spans="1:6" ht="12" customHeight="1" x14ac:dyDescent="0.2">
      <c r="A3" s="2185"/>
      <c r="B3" s="1525"/>
      <c r="C3" s="1526"/>
      <c r="D3" s="1527" t="s">
        <v>256</v>
      </c>
      <c r="E3" s="1526"/>
      <c r="F3" s="1527" t="s">
        <v>257</v>
      </c>
    </row>
    <row r="4" spans="1:6" ht="13.7" customHeight="1" x14ac:dyDescent="0.2">
      <c r="A4" s="715" t="s">
        <v>1155</v>
      </c>
      <c r="B4" s="1749">
        <f>'Revenues 9-14'!C5</f>
        <v>7348785</v>
      </c>
      <c r="C4" s="1524">
        <v>866223</v>
      </c>
      <c r="D4" s="1752">
        <f>B4-C4</f>
        <v>6482562</v>
      </c>
      <c r="E4" s="1524">
        <v>7700007</v>
      </c>
      <c r="F4" s="1752">
        <f>E4-C4</f>
        <v>6833784</v>
      </c>
    </row>
    <row r="5" spans="1:6" ht="13.7" customHeight="1" x14ac:dyDescent="0.2">
      <c r="A5" s="715" t="s">
        <v>870</v>
      </c>
      <c r="B5" s="1750">
        <f>'Revenues 9-14'!D5</f>
        <v>1113694</v>
      </c>
      <c r="C5" s="585">
        <v>131492</v>
      </c>
      <c r="D5" s="1753">
        <f t="shared" ref="D5:D18" si="0">B5-C5</f>
        <v>982202</v>
      </c>
      <c r="E5" s="585">
        <v>1168853</v>
      </c>
      <c r="F5" s="1753">
        <f>E5-C5</f>
        <v>1037361</v>
      </c>
    </row>
    <row r="6" spans="1:6" ht="13.7" customHeight="1" x14ac:dyDescent="0.2">
      <c r="A6" s="715" t="s">
        <v>411</v>
      </c>
      <c r="B6" s="1750">
        <f>'Revenues 9-14'!E5</f>
        <v>1821674</v>
      </c>
      <c r="C6" s="585">
        <v>286710</v>
      </c>
      <c r="D6" s="1753">
        <f t="shared" si="0"/>
        <v>1534964</v>
      </c>
      <c r="E6" s="585">
        <v>2045376</v>
      </c>
      <c r="F6" s="1753">
        <f t="shared" ref="F6:F18" si="1">E6-C6</f>
        <v>1758666</v>
      </c>
    </row>
    <row r="7" spans="1:6" ht="13.7" customHeight="1" x14ac:dyDescent="0.2">
      <c r="A7" s="715" t="s">
        <v>155</v>
      </c>
      <c r="B7" s="1750">
        <f>'Revenues 9-14'!F5</f>
        <v>445473</v>
      </c>
      <c r="C7" s="585">
        <v>52597</v>
      </c>
      <c r="D7" s="1753">
        <f t="shared" si="0"/>
        <v>392876</v>
      </c>
      <c r="E7" s="585">
        <v>467541</v>
      </c>
      <c r="F7" s="1753">
        <f t="shared" si="1"/>
        <v>414944</v>
      </c>
    </row>
    <row r="8" spans="1:6" ht="13.7" customHeight="1" x14ac:dyDescent="0.2">
      <c r="A8" s="715" t="s">
        <v>1179</v>
      </c>
      <c r="B8" s="1750">
        <f>'Revenues 9-14'!G5</f>
        <v>300578</v>
      </c>
      <c r="C8" s="585">
        <v>23625</v>
      </c>
      <c r="D8" s="1753">
        <f t="shared" si="0"/>
        <v>276953</v>
      </c>
      <c r="E8" s="585">
        <v>210020</v>
      </c>
      <c r="F8" s="1753">
        <f t="shared" si="1"/>
        <v>186395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111369</v>
      </c>
      <c r="C10" s="585">
        <v>13149</v>
      </c>
      <c r="D10" s="1753">
        <f t="shared" si="0"/>
        <v>98220</v>
      </c>
      <c r="E10" s="585">
        <v>116885</v>
      </c>
      <c r="F10" s="1753">
        <f t="shared" si="1"/>
        <v>103736</v>
      </c>
    </row>
    <row r="11" spans="1:6" x14ac:dyDescent="0.2">
      <c r="A11" s="715" t="s">
        <v>409</v>
      </c>
      <c r="B11" s="1750">
        <f>'Revenues 9-14'!J5</f>
        <v>812809</v>
      </c>
      <c r="C11" s="585">
        <v>109686</v>
      </c>
      <c r="D11" s="1753">
        <f t="shared" si="0"/>
        <v>703123</v>
      </c>
      <c r="E11" s="585">
        <v>975011</v>
      </c>
      <c r="F11" s="1753">
        <f t="shared" si="1"/>
        <v>865325</v>
      </c>
    </row>
    <row r="12" spans="1:6" ht="13.7" customHeight="1" x14ac:dyDescent="0.2">
      <c r="A12" s="715" t="s">
        <v>157</v>
      </c>
      <c r="B12" s="1750">
        <f>'Revenues 9-14'!K5</f>
        <v>111369</v>
      </c>
      <c r="C12" s="585">
        <v>13149</v>
      </c>
      <c r="D12" s="1753">
        <f t="shared" si="0"/>
        <v>98220</v>
      </c>
      <c r="E12" s="585">
        <v>116885</v>
      </c>
      <c r="F12" s="1753">
        <f t="shared" si="1"/>
        <v>103736</v>
      </c>
    </row>
    <row r="13" spans="1:6" ht="13.7" customHeight="1" x14ac:dyDescent="0.2">
      <c r="A13" s="715" t="s">
        <v>936</v>
      </c>
      <c r="B13" s="1750">
        <f>SUM('Revenues 9-14'!C6:D6)</f>
        <v>111369</v>
      </c>
      <c r="C13" s="585">
        <v>13149</v>
      </c>
      <c r="D13" s="1753">
        <f t="shared" si="0"/>
        <v>98220</v>
      </c>
      <c r="E13" s="585">
        <v>116885</v>
      </c>
      <c r="F13" s="1753">
        <f t="shared" si="1"/>
        <v>103736</v>
      </c>
    </row>
    <row r="14" spans="1:6" ht="13.7" customHeight="1" x14ac:dyDescent="0.2">
      <c r="A14" s="715" t="s">
        <v>410</v>
      </c>
      <c r="B14" s="1750">
        <f>SUM('Revenues 9-14'!C7:D7,'Revenues 9-14'!F7:H7)</f>
        <v>89092</v>
      </c>
      <c r="C14" s="585">
        <v>10519</v>
      </c>
      <c r="D14" s="1753">
        <f t="shared" si="0"/>
        <v>78573</v>
      </c>
      <c r="E14" s="585">
        <v>93508</v>
      </c>
      <c r="F14" s="1753">
        <f t="shared" si="1"/>
        <v>82989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497726</v>
      </c>
      <c r="C16" s="585">
        <v>45000</v>
      </c>
      <c r="D16" s="1753">
        <f t="shared" si="0"/>
        <v>452726</v>
      </c>
      <c r="E16" s="585">
        <v>400005</v>
      </c>
      <c r="F16" s="1753">
        <f t="shared" si="1"/>
        <v>355005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12763938</v>
      </c>
      <c r="C19" s="1751">
        <f>SUM(C4:C18)</f>
        <v>1565299</v>
      </c>
      <c r="D19" s="1751">
        <f>SUM(D4:D18)</f>
        <v>11198639</v>
      </c>
      <c r="E19" s="1751">
        <f>SUM(E4:E18)</f>
        <v>13410976</v>
      </c>
      <c r="F19" s="1751">
        <f>SUM(F4:F18)</f>
        <v>11845677</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U31" sqref="U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629</v>
      </c>
      <c r="B1" s="2191"/>
      <c r="C1" s="721"/>
    </row>
    <row r="2" spans="1:7" ht="33.75" x14ac:dyDescent="0.2">
      <c r="A2" s="2199" t="s">
        <v>1800</v>
      </c>
      <c r="B2" s="2200"/>
      <c r="C2" s="1884" t="s">
        <v>1952</v>
      </c>
      <c r="D2" s="723" t="s">
        <v>1953</v>
      </c>
      <c r="E2" s="723" t="s">
        <v>1954</v>
      </c>
      <c r="F2" s="1884" t="s">
        <v>1955</v>
      </c>
    </row>
    <row r="3" spans="1:7" ht="15.75" customHeight="1" x14ac:dyDescent="0.2">
      <c r="A3" s="2203" t="s">
        <v>1114</v>
      </c>
      <c r="B3" s="2204"/>
      <c r="C3" s="2192"/>
      <c r="D3" s="2193"/>
      <c r="E3" s="2193"/>
      <c r="F3" s="2194"/>
    </row>
    <row r="4" spans="1:7" ht="12.75" customHeight="1" thickBot="1" x14ac:dyDescent="0.25">
      <c r="A4" s="2201" t="s">
        <v>630</v>
      </c>
      <c r="B4" s="2202"/>
      <c r="C4" s="581"/>
      <c r="D4" s="581"/>
      <c r="E4" s="581"/>
      <c r="F4" s="1755">
        <f>SUM(C4+D4)-E4</f>
        <v>0</v>
      </c>
    </row>
    <row r="5" spans="1:7" ht="15.75" customHeight="1" thickTop="1" x14ac:dyDescent="0.2">
      <c r="A5" s="2186" t="s">
        <v>1110</v>
      </c>
      <c r="B5" s="2187"/>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8" t="s">
        <v>631</v>
      </c>
      <c r="B15" s="2189"/>
      <c r="C15" s="1755">
        <f>SUM(C6:C14)</f>
        <v>0</v>
      </c>
      <c r="D15" s="1755">
        <f>SUM(D6:D14)</f>
        <v>0</v>
      </c>
      <c r="E15" s="1755">
        <f>SUM(E6:E14)</f>
        <v>0</v>
      </c>
      <c r="F15" s="1755">
        <f>SUM(F6:F14)</f>
        <v>0</v>
      </c>
      <c r="G15" s="552"/>
    </row>
    <row r="16" spans="1:7" s="202" customFormat="1" ht="15.75" customHeight="1" thickTop="1" x14ac:dyDescent="0.2">
      <c r="A16" s="2198" t="s">
        <v>1111</v>
      </c>
      <c r="B16" s="2187"/>
      <c r="C16" s="2195"/>
      <c r="D16" s="2196"/>
      <c r="E16" s="2196"/>
      <c r="F16" s="2197"/>
    </row>
    <row r="17" spans="1:11" ht="12.75" customHeight="1" thickBot="1" x14ac:dyDescent="0.25">
      <c r="A17" s="2211" t="s">
        <v>64</v>
      </c>
      <c r="B17" s="2212"/>
      <c r="C17" s="726"/>
      <c r="D17" s="585"/>
      <c r="E17" s="726"/>
      <c r="F17" s="1755">
        <f>SUM(C17+D17)-E17</f>
        <v>0</v>
      </c>
    </row>
    <row r="18" spans="1:11" ht="12.75" customHeight="1" thickTop="1" thickBot="1" x14ac:dyDescent="0.25">
      <c r="A18" s="2211" t="s">
        <v>6</v>
      </c>
      <c r="B18" s="2212"/>
      <c r="C18" s="726"/>
      <c r="D18" s="585"/>
      <c r="E18" s="726"/>
      <c r="F18" s="1755">
        <f>SUM(C18+D18)-E18</f>
        <v>0</v>
      </c>
    </row>
    <row r="19" spans="1:11" ht="12.75" customHeight="1" thickTop="1" thickBot="1" x14ac:dyDescent="0.25">
      <c r="A19" s="2211" t="s">
        <v>388</v>
      </c>
      <c r="B19" s="2212"/>
      <c r="C19" s="726"/>
      <c r="D19" s="585"/>
      <c r="E19" s="726"/>
      <c r="F19" s="1755">
        <f>SUM(C19+D19)-E19</f>
        <v>0</v>
      </c>
    </row>
    <row r="20" spans="1:11" ht="12.75" customHeight="1" thickTop="1" thickBot="1" x14ac:dyDescent="0.25">
      <c r="A20" s="2211" t="s">
        <v>448</v>
      </c>
      <c r="B20" s="2212"/>
      <c r="C20" s="726"/>
      <c r="D20" s="585"/>
      <c r="E20" s="726"/>
      <c r="F20" s="1755">
        <f>SUM(C20+D20)-E20</f>
        <v>0</v>
      </c>
    </row>
    <row r="21" spans="1:11" ht="14.25" thickTop="1" thickBot="1" x14ac:dyDescent="0.25">
      <c r="A21" s="2188" t="s">
        <v>632</v>
      </c>
      <c r="B21" s="2189"/>
      <c r="C21" s="1755">
        <f>SUM(C17:C20)</f>
        <v>0</v>
      </c>
      <c r="D21" s="1755">
        <f>SUM(D17:D20)</f>
        <v>0</v>
      </c>
      <c r="E21" s="1755">
        <f>SUM(E17:E20)</f>
        <v>0</v>
      </c>
      <c r="F21" s="1755">
        <f>SUM(F17:F20)</f>
        <v>0</v>
      </c>
      <c r="G21" s="552"/>
    </row>
    <row r="22" spans="1:11" ht="15.75" customHeight="1" thickTop="1" x14ac:dyDescent="0.2">
      <c r="A22" s="2213" t="s">
        <v>1112</v>
      </c>
      <c r="B22" s="2187"/>
      <c r="C22" s="2195"/>
      <c r="D22" s="2196"/>
      <c r="E22" s="2196"/>
      <c r="F22" s="2197"/>
    </row>
    <row r="23" spans="1:11" ht="13.5" thickBot="1" x14ac:dyDescent="0.25">
      <c r="A23" s="2201" t="s">
        <v>633</v>
      </c>
      <c r="B23" s="2202"/>
      <c r="C23" s="581"/>
      <c r="D23" s="581"/>
      <c r="E23" s="581"/>
      <c r="F23" s="1755">
        <f>SUM(C23+D23)-E23</f>
        <v>0</v>
      </c>
      <c r="G23" s="552"/>
    </row>
    <row r="24" spans="1:11" ht="15.75" customHeight="1" thickTop="1" x14ac:dyDescent="0.2">
      <c r="A24" s="2213" t="s">
        <v>1113</v>
      </c>
      <c r="B24" s="2187"/>
      <c r="C24" s="2195"/>
      <c r="D24" s="2196"/>
      <c r="E24" s="2196"/>
      <c r="F24" s="2197"/>
    </row>
    <row r="25" spans="1:11" ht="13.5" thickBot="1" x14ac:dyDescent="0.25">
      <c r="A25" s="2201" t="s">
        <v>634</v>
      </c>
      <c r="B25" s="2202"/>
      <c r="C25" s="581"/>
      <c r="D25" s="581"/>
      <c r="E25" s="581"/>
      <c r="F25" s="1755">
        <f>SUM(C25+D25)-E25</f>
        <v>0</v>
      </c>
      <c r="G25" s="552"/>
    </row>
    <row r="26" spans="1:11" ht="15.75" customHeight="1" thickTop="1" x14ac:dyDescent="0.2">
      <c r="A26" s="2186" t="s">
        <v>657</v>
      </c>
      <c r="B26" s="2187"/>
      <c r="C26" s="727"/>
      <c r="D26" s="727"/>
      <c r="E26" s="727"/>
      <c r="F26" s="728"/>
    </row>
    <row r="27" spans="1:11" ht="13.5" thickBot="1" x14ac:dyDescent="0.25">
      <c r="A27" s="2188" t="s">
        <v>1070</v>
      </c>
      <c r="B27" s="2189"/>
      <c r="C27" s="585"/>
      <c r="D27" s="585"/>
      <c r="E27" s="585"/>
      <c r="F27" s="1755">
        <f>SUM(C27+D27)-E27</f>
        <v>0</v>
      </c>
      <c r="G27" s="552"/>
    </row>
    <row r="28" spans="1:11" ht="7.5" customHeight="1" thickTop="1" x14ac:dyDescent="0.2">
      <c r="A28" s="593"/>
    </row>
    <row r="29" spans="1:11" ht="23.25" customHeight="1" x14ac:dyDescent="0.2">
      <c r="A29" s="2214" t="s">
        <v>582</v>
      </c>
      <c r="B29" s="2191"/>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t="s">
        <v>2078</v>
      </c>
      <c r="B31" s="733">
        <v>42102</v>
      </c>
      <c r="C31" s="734">
        <v>4330000</v>
      </c>
      <c r="D31" s="735">
        <v>1</v>
      </c>
      <c r="E31" s="734">
        <v>1570000</v>
      </c>
      <c r="F31" s="734"/>
      <c r="G31" s="734"/>
      <c r="H31" s="734">
        <v>1570000</v>
      </c>
      <c r="I31" s="1756">
        <f>((E31+F31)-H31)+G31</f>
        <v>0</v>
      </c>
      <c r="J31" s="734"/>
      <c r="K31" s="736"/>
    </row>
    <row r="32" spans="1:11" ht="12" customHeight="1" x14ac:dyDescent="0.2">
      <c r="A32" s="732" t="s">
        <v>2078</v>
      </c>
      <c r="B32" s="733">
        <v>43314</v>
      </c>
      <c r="C32" s="734">
        <v>1497000</v>
      </c>
      <c r="D32" s="735">
        <v>1</v>
      </c>
      <c r="E32" s="734"/>
      <c r="F32" s="734">
        <v>1497000</v>
      </c>
      <c r="G32" s="734"/>
      <c r="H32" s="734"/>
      <c r="I32" s="1756">
        <f>((E32+F32)-H32)+G32</f>
        <v>1497000</v>
      </c>
      <c r="J32" s="734">
        <v>1131737</v>
      </c>
      <c r="K32" s="736"/>
    </row>
    <row r="33" spans="1:11" ht="12" customHeight="1" x14ac:dyDescent="0.2">
      <c r="A33" s="732" t="s">
        <v>2078</v>
      </c>
      <c r="B33" s="733">
        <v>43476</v>
      </c>
      <c r="C33" s="734">
        <v>4499000</v>
      </c>
      <c r="D33" s="735">
        <v>1</v>
      </c>
      <c r="E33" s="734"/>
      <c r="F33" s="734">
        <v>4499000</v>
      </c>
      <c r="G33" s="734"/>
      <c r="H33" s="734"/>
      <c r="I33" s="1756">
        <f t="shared" ref="I33:I48" si="1">((E33+F33)-H33)+G33</f>
        <v>4499000</v>
      </c>
      <c r="J33" s="734">
        <v>4499000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10326000</v>
      </c>
      <c r="D49" s="745"/>
      <c r="E49" s="1756">
        <f t="shared" ref="E49:J49" si="2">SUM(E31:E48)</f>
        <v>1570000</v>
      </c>
      <c r="F49" s="1756">
        <f t="shared" si="2"/>
        <v>5996000</v>
      </c>
      <c r="G49" s="1756">
        <f t="shared" si="2"/>
        <v>0</v>
      </c>
      <c r="H49" s="1756">
        <f t="shared" si="2"/>
        <v>1570000</v>
      </c>
      <c r="I49" s="1756">
        <f t="shared" si="2"/>
        <v>5996000</v>
      </c>
      <c r="J49" s="1756">
        <f t="shared" si="2"/>
        <v>5630737</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205" t="s">
        <v>584</v>
      </c>
      <c r="C52" s="2206"/>
      <c r="D52" s="2206"/>
      <c r="E52" s="749" t="s">
        <v>845</v>
      </c>
      <c r="F52" s="2207"/>
      <c r="G52" s="2208"/>
      <c r="H52" s="736"/>
      <c r="I52" s="736"/>
      <c r="J52" s="746"/>
    </row>
    <row r="53" spans="1:11" ht="11.25" customHeight="1" x14ac:dyDescent="0.2">
      <c r="A53" s="750" t="s">
        <v>913</v>
      </c>
      <c r="B53" s="751" t="s">
        <v>951</v>
      </c>
      <c r="C53" s="746"/>
      <c r="D53" s="737"/>
      <c r="E53" s="749" t="s">
        <v>497</v>
      </c>
      <c r="F53" s="2209"/>
      <c r="G53" s="2210"/>
      <c r="H53" s="736"/>
      <c r="I53" s="736"/>
      <c r="J53" s="746"/>
    </row>
    <row r="54" spans="1:11" ht="11.25" customHeight="1" x14ac:dyDescent="0.2">
      <c r="A54" s="752" t="s">
        <v>914</v>
      </c>
      <c r="B54" s="747" t="s">
        <v>952</v>
      </c>
      <c r="C54" s="746"/>
      <c r="D54" s="737"/>
      <c r="E54" s="749" t="s">
        <v>498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U31" sqref="U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856</v>
      </c>
      <c r="B1" s="2240"/>
      <c r="C1" s="2240"/>
      <c r="D1" s="2240"/>
      <c r="E1" s="2240"/>
      <c r="F1" s="2240"/>
      <c r="G1" s="2241"/>
      <c r="H1" s="1530"/>
      <c r="I1" s="760"/>
      <c r="J1" s="433"/>
    </row>
    <row r="2" spans="1:11" ht="26.25" x14ac:dyDescent="0.2">
      <c r="A2" s="2218" t="s">
        <v>1677</v>
      </c>
      <c r="B2" s="2219"/>
      <c r="C2" s="2219"/>
      <c r="D2" s="2219"/>
      <c r="E2" s="2220"/>
      <c r="F2" s="761" t="s">
        <v>904</v>
      </c>
      <c r="G2" s="762" t="s">
        <v>1674</v>
      </c>
      <c r="H2" s="762" t="s">
        <v>410</v>
      </c>
      <c r="I2" s="762" t="s">
        <v>1158</v>
      </c>
      <c r="J2" s="762" t="s">
        <v>1810</v>
      </c>
      <c r="K2" s="762" t="s">
        <v>138</v>
      </c>
    </row>
    <row r="3" spans="1:11" x14ac:dyDescent="0.2">
      <c r="A3" s="2221" t="s">
        <v>1960</v>
      </c>
      <c r="B3" s="2222"/>
      <c r="C3" s="2222"/>
      <c r="D3" s="2222"/>
      <c r="E3" s="2223"/>
      <c r="F3" s="763"/>
      <c r="G3" s="764"/>
      <c r="H3" s="764"/>
      <c r="I3" s="764"/>
      <c r="J3" s="765">
        <v>821808</v>
      </c>
      <c r="K3" s="765"/>
    </row>
    <row r="4" spans="1:11" x14ac:dyDescent="0.2">
      <c r="A4" s="2224" t="s">
        <v>369</v>
      </c>
      <c r="B4" s="2225"/>
      <c r="C4" s="2225"/>
      <c r="D4" s="2225"/>
      <c r="E4" s="2206"/>
      <c r="F4" s="766"/>
      <c r="G4" s="767"/>
      <c r="H4" s="768"/>
      <c r="I4" s="767"/>
      <c r="J4" s="769"/>
      <c r="K4" s="769"/>
    </row>
    <row r="5" spans="1:11" x14ac:dyDescent="0.2">
      <c r="A5" s="2242" t="s">
        <v>1069</v>
      </c>
      <c r="B5" s="2215"/>
      <c r="C5" s="2215"/>
      <c r="D5" s="2215"/>
      <c r="E5" s="2243"/>
      <c r="F5" s="770" t="s">
        <v>848</v>
      </c>
      <c r="G5" s="771"/>
      <c r="H5" s="764">
        <v>89092</v>
      </c>
      <c r="I5" s="772"/>
      <c r="J5" s="773"/>
      <c r="K5" s="773"/>
    </row>
    <row r="6" spans="1:11" x14ac:dyDescent="0.2">
      <c r="A6" s="774" t="s">
        <v>720</v>
      </c>
      <c r="B6" s="775"/>
      <c r="C6" s="775"/>
      <c r="D6" s="775"/>
      <c r="E6" s="776"/>
      <c r="F6" s="777" t="s">
        <v>849</v>
      </c>
      <c r="G6" s="764"/>
      <c r="H6" s="764"/>
      <c r="I6" s="764"/>
      <c r="J6" s="765">
        <v>9796</v>
      </c>
      <c r="K6" s="765"/>
    </row>
    <row r="7" spans="1:11" x14ac:dyDescent="0.2">
      <c r="A7" s="778" t="s">
        <v>246</v>
      </c>
      <c r="B7" s="779"/>
      <c r="C7" s="779"/>
      <c r="D7" s="779"/>
      <c r="E7" s="780"/>
      <c r="F7" s="770" t="s">
        <v>850</v>
      </c>
      <c r="G7" s="767"/>
      <c r="H7" s="767"/>
      <c r="I7" s="767"/>
      <c r="J7" s="781"/>
      <c r="K7" s="765">
        <v>24931</v>
      </c>
    </row>
    <row r="8" spans="1:11" x14ac:dyDescent="0.2">
      <c r="A8" s="778" t="s">
        <v>345</v>
      </c>
      <c r="B8" s="779"/>
      <c r="C8" s="779"/>
      <c r="D8" s="779"/>
      <c r="E8" s="780"/>
      <c r="F8" s="770" t="s">
        <v>851</v>
      </c>
      <c r="G8" s="782"/>
      <c r="H8" s="782"/>
      <c r="I8" s="782"/>
      <c r="J8" s="765">
        <v>685424</v>
      </c>
      <c r="K8" s="769"/>
    </row>
    <row r="9" spans="1:11" x14ac:dyDescent="0.2">
      <c r="A9" s="778" t="s">
        <v>138</v>
      </c>
      <c r="B9" s="779"/>
      <c r="C9" s="779"/>
      <c r="D9" s="779"/>
      <c r="E9" s="780"/>
      <c r="F9" s="777" t="s">
        <v>853</v>
      </c>
      <c r="G9" s="782"/>
      <c r="H9" s="771"/>
      <c r="I9" s="771"/>
      <c r="J9" s="781"/>
      <c r="K9" s="765">
        <v>24446</v>
      </c>
    </row>
    <row r="10" spans="1:11" x14ac:dyDescent="0.2">
      <c r="A10" s="2242" t="s">
        <v>1811</v>
      </c>
      <c r="B10" s="2215"/>
      <c r="C10" s="2215"/>
      <c r="D10" s="2215"/>
      <c r="E10" s="2244"/>
      <c r="F10" s="783" t="s">
        <v>862</v>
      </c>
      <c r="G10" s="782"/>
      <c r="H10" s="784"/>
      <c r="I10" s="764"/>
      <c r="J10" s="765"/>
      <c r="K10" s="765"/>
    </row>
    <row r="11" spans="1:11" x14ac:dyDescent="0.2">
      <c r="A11" s="2242" t="s">
        <v>160</v>
      </c>
      <c r="B11" s="2215"/>
      <c r="C11" s="2215"/>
      <c r="D11" s="2215"/>
      <c r="E11" s="2243"/>
      <c r="F11" s="770" t="s">
        <v>852</v>
      </c>
      <c r="G11" s="771"/>
      <c r="H11" s="764"/>
      <c r="I11" s="764"/>
      <c r="J11" s="765"/>
      <c r="K11" s="773"/>
    </row>
    <row r="12" spans="1:11" ht="13.5" thickBot="1" x14ac:dyDescent="0.25">
      <c r="A12" s="2232" t="s">
        <v>905</v>
      </c>
      <c r="B12" s="2233"/>
      <c r="C12" s="2233"/>
      <c r="D12" s="2233"/>
      <c r="E12" s="2234"/>
      <c r="F12" s="1757"/>
      <c r="G12" s="1758">
        <f>SUM(G5:G11)</f>
        <v>0</v>
      </c>
      <c r="H12" s="1758">
        <f>SUM(H5:H11)</f>
        <v>89092</v>
      </c>
      <c r="I12" s="1758">
        <f>SUM(I5:I11)</f>
        <v>0</v>
      </c>
      <c r="J12" s="1758">
        <f>SUM(J5:J11)</f>
        <v>695220</v>
      </c>
      <c r="K12" s="1758">
        <f>SUM(K5:K11)</f>
        <v>49377</v>
      </c>
    </row>
    <row r="13" spans="1:11" ht="13.5" thickTop="1" x14ac:dyDescent="0.2">
      <c r="A13" s="2226" t="s">
        <v>370</v>
      </c>
      <c r="B13" s="2227"/>
      <c r="C13" s="2227"/>
      <c r="D13" s="2227"/>
      <c r="E13" s="2228"/>
      <c r="F13" s="785"/>
      <c r="G13" s="786"/>
      <c r="H13" s="787"/>
      <c r="I13" s="788"/>
      <c r="J13" s="788"/>
      <c r="K13" s="788"/>
    </row>
    <row r="14" spans="1:11" x14ac:dyDescent="0.2">
      <c r="A14" s="2248" t="s">
        <v>456</v>
      </c>
      <c r="B14" s="2248"/>
      <c r="C14" s="2248"/>
      <c r="D14" s="2248"/>
      <c r="E14" s="2249"/>
      <c r="F14" s="789" t="s">
        <v>854</v>
      </c>
      <c r="G14" s="782"/>
      <c r="H14" s="764">
        <v>89092</v>
      </c>
      <c r="I14" s="771"/>
      <c r="J14" s="773"/>
      <c r="K14" s="765">
        <v>49377</v>
      </c>
    </row>
    <row r="15" spans="1:11" x14ac:dyDescent="0.2">
      <c r="A15" s="2215" t="s">
        <v>4</v>
      </c>
      <c r="B15" s="2215"/>
      <c r="C15" s="2215"/>
      <c r="D15" s="2215"/>
      <c r="E15" s="2243"/>
      <c r="F15" s="789" t="s">
        <v>855</v>
      </c>
      <c r="G15" s="771"/>
      <c r="H15" s="764"/>
      <c r="I15" s="764"/>
      <c r="J15" s="765">
        <v>476826</v>
      </c>
      <c r="K15" s="765"/>
    </row>
    <row r="16" spans="1:11" x14ac:dyDescent="0.2">
      <c r="A16" s="2215" t="s">
        <v>298</v>
      </c>
      <c r="B16" s="2215"/>
      <c r="C16" s="2215"/>
      <c r="D16" s="2215"/>
      <c r="E16" s="2243"/>
      <c r="F16" s="789" t="s">
        <v>923</v>
      </c>
      <c r="G16" s="772"/>
      <c r="H16" s="767"/>
      <c r="I16" s="767"/>
      <c r="J16" s="769"/>
      <c r="K16" s="769"/>
    </row>
    <row r="17" spans="1:11" x14ac:dyDescent="0.2">
      <c r="A17" s="2237" t="s">
        <v>935</v>
      </c>
      <c r="B17" s="2237"/>
      <c r="C17" s="2237"/>
      <c r="D17" s="2237"/>
      <c r="E17" s="2238"/>
      <c r="F17" s="790"/>
      <c r="G17" s="791"/>
      <c r="H17" s="792"/>
      <c r="I17" s="792"/>
      <c r="J17" s="793"/>
      <c r="K17" s="794"/>
    </row>
    <row r="18" spans="1:11" x14ac:dyDescent="0.2">
      <c r="A18" s="2229" t="s">
        <v>368</v>
      </c>
      <c r="B18" s="2230"/>
      <c r="C18" s="2230"/>
      <c r="D18" s="2230"/>
      <c r="E18" s="2231"/>
      <c r="F18" s="789" t="s">
        <v>932</v>
      </c>
      <c r="G18" s="782"/>
      <c r="H18" s="782"/>
      <c r="I18" s="782"/>
      <c r="J18" s="765"/>
      <c r="K18" s="795"/>
    </row>
    <row r="19" spans="1:11" ht="21.75" customHeight="1" x14ac:dyDescent="0.2">
      <c r="A19" s="2250" t="s">
        <v>1807</v>
      </c>
      <c r="B19" s="2250"/>
      <c r="C19" s="2250"/>
      <c r="D19" s="2250"/>
      <c r="E19" s="2251"/>
      <c r="F19" s="789" t="s">
        <v>933</v>
      </c>
      <c r="G19" s="782"/>
      <c r="H19" s="782"/>
      <c r="I19" s="782"/>
      <c r="J19" s="765"/>
      <c r="K19" s="795"/>
    </row>
    <row r="20" spans="1:11" x14ac:dyDescent="0.2">
      <c r="A20" s="2229" t="s">
        <v>1812</v>
      </c>
      <c r="B20" s="2230"/>
      <c r="C20" s="2230"/>
      <c r="D20" s="2230"/>
      <c r="E20" s="2231"/>
      <c r="F20" s="789" t="s">
        <v>934</v>
      </c>
      <c r="G20" s="782"/>
      <c r="H20" s="782"/>
      <c r="I20" s="782"/>
      <c r="J20" s="765"/>
      <c r="K20" s="795"/>
    </row>
    <row r="21" spans="1:11" ht="13.5" thickBot="1" x14ac:dyDescent="0.25">
      <c r="A21" s="2235" t="s">
        <v>638</v>
      </c>
      <c r="B21" s="2235"/>
      <c r="C21" s="2235"/>
      <c r="D21" s="2235"/>
      <c r="E21" s="2235"/>
      <c r="F21" s="1759"/>
      <c r="G21" s="792"/>
      <c r="H21" s="796"/>
      <c r="I21" s="796"/>
      <c r="J21" s="1760">
        <f>SUM(J18:J20)</f>
        <v>0</v>
      </c>
      <c r="K21" s="793"/>
    </row>
    <row r="22" spans="1:11" ht="13.5" thickTop="1" x14ac:dyDescent="0.2">
      <c r="A22" s="2215" t="s">
        <v>1813</v>
      </c>
      <c r="B22" s="2215"/>
      <c r="C22" s="2215"/>
      <c r="D22" s="2215"/>
      <c r="E22" s="2243"/>
      <c r="F22" s="789" t="s">
        <v>862</v>
      </c>
      <c r="G22" s="782"/>
      <c r="H22" s="764"/>
      <c r="I22" s="764"/>
      <c r="J22" s="797"/>
      <c r="K22" s="765"/>
    </row>
    <row r="23" spans="1:11" ht="13.5" thickBot="1" x14ac:dyDescent="0.25">
      <c r="A23" s="2236" t="s">
        <v>906</v>
      </c>
      <c r="B23" s="2235"/>
      <c r="C23" s="2235"/>
      <c r="D23" s="2235"/>
      <c r="E23" s="2235"/>
      <c r="F23" s="1761"/>
      <c r="G23" s="1758">
        <f>SUM(G14:G16,G21,G22)</f>
        <v>0</v>
      </c>
      <c r="H23" s="1758">
        <f>SUM(H14:H16,H21,H22)</f>
        <v>89092</v>
      </c>
      <c r="I23" s="1758">
        <f>SUM(I14:I16,I21,I22)</f>
        <v>0</v>
      </c>
      <c r="J23" s="1758">
        <f>SUM(J14:J16,J21,J22)</f>
        <v>476826</v>
      </c>
      <c r="K23" s="1758">
        <f>SUM(K14:K16,K21,K22)</f>
        <v>49377</v>
      </c>
    </row>
    <row r="24" spans="1:11" ht="14.25" thickTop="1" thickBot="1" x14ac:dyDescent="0.25">
      <c r="A24" s="2236" t="s">
        <v>1961</v>
      </c>
      <c r="B24" s="2235"/>
      <c r="C24" s="2235"/>
      <c r="D24" s="2235"/>
      <c r="E24" s="2235"/>
      <c r="F24" s="1762"/>
      <c r="G24" s="1763">
        <f>SUM(G3,G12)-G23</f>
        <v>0</v>
      </c>
      <c r="H24" s="1763">
        <f>SUM(H3,H12)-H23</f>
        <v>0</v>
      </c>
      <c r="I24" s="1763">
        <f>SUM(I3,I12)-I23</f>
        <v>0</v>
      </c>
      <c r="J24" s="1763">
        <f>SUM(J3,J12)-J23</f>
        <v>1040202</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1040202</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5"/>
      <c r="I31" s="2246"/>
      <c r="J31" s="2246"/>
      <c r="K31" s="2246"/>
    </row>
    <row r="32" spans="1:11" x14ac:dyDescent="0.2">
      <c r="A32" s="809"/>
      <c r="B32" s="237"/>
      <c r="C32" s="237"/>
      <c r="D32" s="237"/>
      <c r="E32" s="805"/>
      <c r="F32" s="811" t="s">
        <v>540</v>
      </c>
      <c r="G32" s="764"/>
      <c r="H32" s="2247"/>
      <c r="I32" s="2246"/>
      <c r="J32" s="2246"/>
      <c r="K32" s="2246"/>
    </row>
    <row r="33" spans="1:11" ht="1.5" customHeight="1" x14ac:dyDescent="0.2">
      <c r="A33" s="812" t="s">
        <v>1169</v>
      </c>
      <c r="B33" s="364"/>
      <c r="C33" s="364"/>
      <c r="D33" s="364"/>
      <c r="E33" s="364"/>
      <c r="F33" s="364"/>
      <c r="G33" s="813"/>
      <c r="H33" s="2247"/>
      <c r="I33" s="2246"/>
      <c r="J33" s="2246"/>
      <c r="K33" s="2246"/>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16"/>
      <c r="C41" s="2216"/>
      <c r="D41" s="2216"/>
      <c r="E41" s="2216"/>
      <c r="F41" s="221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U31" sqref="U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4" t="s">
        <v>1906</v>
      </c>
      <c r="B1" s="2255"/>
      <c r="C1" s="2256"/>
      <c r="D1" s="826"/>
      <c r="E1" s="827"/>
      <c r="F1" s="827"/>
      <c r="G1" s="828"/>
      <c r="H1" s="829"/>
      <c r="I1" s="830"/>
      <c r="J1" s="2252"/>
      <c r="K1" s="2253"/>
      <c r="L1" s="2253"/>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441852</v>
      </c>
      <c r="D5" s="841"/>
      <c r="E5" s="841"/>
      <c r="F5" s="1760">
        <f>(C5+D5)-E5</f>
        <v>441852</v>
      </c>
      <c r="G5" s="837"/>
      <c r="H5" s="842"/>
      <c r="I5" s="842"/>
      <c r="J5" s="842"/>
      <c r="K5" s="793"/>
      <c r="L5" s="1769">
        <f>F5-K5</f>
        <v>441852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26182284</v>
      </c>
      <c r="D8" s="844">
        <v>174768</v>
      </c>
      <c r="E8" s="844"/>
      <c r="F8" s="1760">
        <f>(C8+D8)-E8</f>
        <v>26357052</v>
      </c>
      <c r="G8" s="843">
        <v>50</v>
      </c>
      <c r="H8" s="765">
        <v>14593689</v>
      </c>
      <c r="I8" s="765">
        <v>495535</v>
      </c>
      <c r="J8" s="765"/>
      <c r="K8" s="1769">
        <f>(H8+I8)-J8</f>
        <v>15089224</v>
      </c>
      <c r="L8" s="1769">
        <f>F8-K8</f>
        <v>11267828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896412</v>
      </c>
      <c r="D10" s="846">
        <v>44934</v>
      </c>
      <c r="E10" s="846"/>
      <c r="F10" s="1764">
        <f>(C10+D10)-E10</f>
        <v>941346</v>
      </c>
      <c r="G10" s="843">
        <v>20</v>
      </c>
      <c r="H10" s="847">
        <v>574502</v>
      </c>
      <c r="I10" s="847">
        <v>20433</v>
      </c>
      <c r="J10" s="847"/>
      <c r="K10" s="1769">
        <f>(H10+I10)-J10</f>
        <v>594935</v>
      </c>
      <c r="L10" s="1769">
        <f>F10-K10</f>
        <v>346411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4974398</v>
      </c>
      <c r="D12" s="844">
        <v>316446</v>
      </c>
      <c r="E12" s="844"/>
      <c r="F12" s="1760">
        <f>(C12+D12)-E12</f>
        <v>5290844</v>
      </c>
      <c r="G12" s="843">
        <v>10</v>
      </c>
      <c r="H12" s="765">
        <v>4200927</v>
      </c>
      <c r="I12" s="765">
        <v>118183</v>
      </c>
      <c r="J12" s="765"/>
      <c r="K12" s="1769">
        <f>(H12+I12)-J12</f>
        <v>4319110</v>
      </c>
      <c r="L12" s="1769">
        <f>F12-K12</f>
        <v>971734</v>
      </c>
    </row>
    <row r="13" spans="1:14" ht="14.25" thickTop="1" thickBot="1" x14ac:dyDescent="0.25">
      <c r="A13" s="848" t="s">
        <v>1122</v>
      </c>
      <c r="B13" s="840">
        <v>252</v>
      </c>
      <c r="C13" s="844">
        <v>2620347</v>
      </c>
      <c r="D13" s="844">
        <v>1515529</v>
      </c>
      <c r="E13" s="844"/>
      <c r="F13" s="1760">
        <f>(C13+D13)-E13</f>
        <v>4135876</v>
      </c>
      <c r="G13" s="843">
        <v>5</v>
      </c>
      <c r="H13" s="765">
        <v>2177021</v>
      </c>
      <c r="I13" s="765">
        <v>281851</v>
      </c>
      <c r="J13" s="765"/>
      <c r="K13" s="1769">
        <f>(H13+I13)-J13</f>
        <v>2458872</v>
      </c>
      <c r="L13" s="1769">
        <f>F13-K13</f>
        <v>1677004</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35115293</v>
      </c>
      <c r="D16" s="1760">
        <f>SUM(D3,D5:D6,D8:D10,D12:D15)</f>
        <v>2051677</v>
      </c>
      <c r="E16" s="1760">
        <f>SUM(E3,E5:E6,E8:E10,E12:E15)</f>
        <v>0</v>
      </c>
      <c r="F16" s="1760">
        <f>SUM(F3,F5:F6,F8:F10,F12:F15)</f>
        <v>37166970</v>
      </c>
      <c r="G16" s="843"/>
      <c r="H16" s="1760">
        <f>SUM(H3,H6,H8:H10,H12:H14,)</f>
        <v>21546139</v>
      </c>
      <c r="I16" s="1760">
        <f>SUM(I3,I6,I8:I10,I12:I14,)</f>
        <v>916002</v>
      </c>
      <c r="J16" s="1760">
        <f>SUM(J3,J6,J8:J10,J12:J14,)</f>
        <v>0</v>
      </c>
      <c r="K16" s="1760">
        <f>(H16+I16)-J16</f>
        <v>22462141</v>
      </c>
      <c r="L16" s="1760">
        <f>F16-K16</f>
        <v>14704829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58200</v>
      </c>
      <c r="G17" s="837">
        <v>10</v>
      </c>
      <c r="H17" s="769"/>
      <c r="I17" s="1769">
        <f>F17/G17</f>
        <v>5820</v>
      </c>
      <c r="J17" s="769"/>
      <c r="K17" s="795"/>
      <c r="L17" s="795"/>
    </row>
    <row r="18" spans="1:12" ht="14.25" thickTop="1" thickBot="1" x14ac:dyDescent="0.25">
      <c r="A18" s="1767" t="s">
        <v>685</v>
      </c>
      <c r="B18" s="1768"/>
      <c r="C18" s="771"/>
      <c r="D18" s="771"/>
      <c r="E18" s="771"/>
      <c r="F18" s="850"/>
      <c r="G18" s="851"/>
      <c r="H18" s="773"/>
      <c r="I18" s="1760">
        <f>SUM(I16,I17)</f>
        <v>921822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U31" sqref="U31"/>
      <selection pane="bottomLeft" activeCell="U31" sqref="U3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0" t="s">
        <v>1971</v>
      </c>
      <c r="B1" s="2261"/>
      <c r="C1" s="2261"/>
      <c r="D1" s="2261"/>
      <c r="E1" s="2261"/>
      <c r="F1" s="2262"/>
      <c r="G1" s="855"/>
    </row>
    <row r="2" spans="1:7" ht="15" customHeight="1" thickBot="1" x14ac:dyDescent="0.25">
      <c r="A2" s="2263" t="s">
        <v>477</v>
      </c>
      <c r="B2" s="2264"/>
      <c r="C2" s="2264"/>
      <c r="D2" s="2264"/>
      <c r="E2" s="2264"/>
      <c r="F2" s="226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6"/>
      <c r="B5" s="2267"/>
      <c r="C5" s="2267"/>
      <c r="D5" s="2267"/>
      <c r="E5" s="2267"/>
      <c r="F5" s="2267"/>
    </row>
    <row r="6" spans="1:7" ht="13.5" customHeight="1" thickBot="1" x14ac:dyDescent="0.25">
      <c r="A6" s="2257" t="s">
        <v>1104</v>
      </c>
      <c r="B6" s="2258"/>
      <c r="C6" s="2258"/>
      <c r="D6" s="2258"/>
      <c r="E6" s="2258"/>
      <c r="F6" s="2259"/>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15829032</v>
      </c>
      <c r="G8" s="865"/>
    </row>
    <row r="9" spans="1:7" x14ac:dyDescent="0.2">
      <c r="A9" s="869" t="s">
        <v>460</v>
      </c>
      <c r="B9" s="870" t="s">
        <v>1874</v>
      </c>
      <c r="C9" s="871"/>
      <c r="D9" s="869" t="s">
        <v>501</v>
      </c>
      <c r="E9" s="868"/>
      <c r="F9" s="1909">
        <f>'Expenditures 15-22'!K151</f>
        <v>1182092</v>
      </c>
      <c r="G9" s="872"/>
    </row>
    <row r="10" spans="1:7" x14ac:dyDescent="0.2">
      <c r="A10" s="869" t="s">
        <v>499</v>
      </c>
      <c r="B10" s="870" t="s">
        <v>1875</v>
      </c>
      <c r="C10" s="871"/>
      <c r="D10" s="869" t="s">
        <v>501</v>
      </c>
      <c r="E10" s="868"/>
      <c r="F10" s="1909">
        <f>'Expenditures 15-22'!K174</f>
        <v>1605825</v>
      </c>
      <c r="G10" s="872"/>
    </row>
    <row r="11" spans="1:7" x14ac:dyDescent="0.2">
      <c r="A11" s="869" t="s">
        <v>461</v>
      </c>
      <c r="B11" s="870" t="s">
        <v>1876</v>
      </c>
      <c r="C11" s="871"/>
      <c r="D11" s="869" t="s">
        <v>501</v>
      </c>
      <c r="E11" s="868"/>
      <c r="F11" s="1909">
        <f>'Expenditures 15-22'!K210</f>
        <v>2620101</v>
      </c>
      <c r="G11" s="872"/>
    </row>
    <row r="12" spans="1:7" x14ac:dyDescent="0.2">
      <c r="A12" s="869" t="s">
        <v>462</v>
      </c>
      <c r="B12" s="870" t="s">
        <v>1877</v>
      </c>
      <c r="C12" s="871"/>
      <c r="D12" s="869" t="s">
        <v>501</v>
      </c>
      <c r="E12" s="868"/>
      <c r="F12" s="1909">
        <f>'Expenditures 15-22'!K295</f>
        <v>659116</v>
      </c>
      <c r="G12" s="872"/>
    </row>
    <row r="13" spans="1:7" x14ac:dyDescent="0.2">
      <c r="A13" s="869" t="s">
        <v>106</v>
      </c>
      <c r="B13" s="870" t="s">
        <v>1878</v>
      </c>
      <c r="C13" s="871"/>
      <c r="D13" s="869" t="s">
        <v>501</v>
      </c>
      <c r="E13" s="868"/>
      <c r="F13" s="1909">
        <f>'Expenditures 15-22'!K342</f>
        <v>868123</v>
      </c>
      <c r="G13" s="873"/>
    </row>
    <row r="14" spans="1:7" ht="12" customHeight="1" thickBot="1" x14ac:dyDescent="0.25">
      <c r="A14" s="1770"/>
      <c r="B14" s="1771"/>
      <c r="C14" s="1772"/>
      <c r="D14" s="1773" t="s">
        <v>501</v>
      </c>
      <c r="E14" s="1774" t="s">
        <v>958</v>
      </c>
      <c r="F14" s="1775">
        <f>SUM(F8:F13)</f>
        <v>22764289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222912</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3548</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836974</v>
      </c>
      <c r="G53" s="865"/>
    </row>
    <row r="54" spans="1:7" x14ac:dyDescent="0.2">
      <c r="A54" s="869" t="s">
        <v>459</v>
      </c>
      <c r="B54" s="869" t="s">
        <v>1476</v>
      </c>
      <c r="C54" s="889" t="s">
        <v>982</v>
      </c>
      <c r="D54" s="885" t="s">
        <v>1095</v>
      </c>
      <c r="E54" s="868"/>
      <c r="F54" s="1913">
        <f>'Expenditures 15-22'!G114</f>
        <v>11840</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6154</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1570000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1512601</v>
      </c>
      <c r="G65" s="865"/>
    </row>
    <row r="66" spans="1:8" x14ac:dyDescent="0.2">
      <c r="A66" s="869" t="s">
        <v>461</v>
      </c>
      <c r="B66" s="869" t="s">
        <v>1888</v>
      </c>
      <c r="C66" s="886" t="s">
        <v>982</v>
      </c>
      <c r="D66" s="885" t="s">
        <v>291</v>
      </c>
      <c r="E66" s="868"/>
      <c r="F66" s="1913">
        <f>'Expenditures 15-22'!I210</f>
        <v>58200</v>
      </c>
      <c r="G66" s="865"/>
    </row>
    <row r="67" spans="1:8" x14ac:dyDescent="0.2">
      <c r="A67" s="869" t="s">
        <v>462</v>
      </c>
      <c r="B67" s="869" t="s">
        <v>1889</v>
      </c>
      <c r="C67" s="886" t="str">
        <f>'Expenditures 15-22'!B216</f>
        <v>1125</v>
      </c>
      <c r="D67" s="892" t="str">
        <f>'Expenditures 15-22'!A216</f>
        <v>Pre-K Programs</v>
      </c>
      <c r="E67" s="868"/>
      <c r="F67" s="1913">
        <f>'Expenditures 15-22'!K216</f>
        <v>13607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249</v>
      </c>
      <c r="G71" s="865"/>
    </row>
    <row r="72" spans="1:8" x14ac:dyDescent="0.2">
      <c r="A72" s="869" t="s">
        <v>462</v>
      </c>
      <c r="B72" s="869" t="s">
        <v>1893</v>
      </c>
      <c r="C72" s="886">
        <f>'Expenditures 15-22'!B280</f>
        <v>3000</v>
      </c>
      <c r="D72" s="876" t="s">
        <v>449</v>
      </c>
      <c r="E72" s="868"/>
      <c r="F72" s="1913">
        <f>'Expenditures 15-22'!K280</f>
        <v>0</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4236085</v>
      </c>
      <c r="G76" s="865"/>
    </row>
    <row r="77" spans="1:8" s="893" customFormat="1" ht="12" customHeight="1" thickTop="1" thickBot="1" x14ac:dyDescent="0.25">
      <c r="A77" s="1779"/>
      <c r="B77" s="1776"/>
      <c r="C77" s="1772"/>
      <c r="D77" s="1777" t="s">
        <v>1897</v>
      </c>
      <c r="E77" s="1774"/>
      <c r="F77" s="1780">
        <f>(F14-F76)</f>
        <v>18528204</v>
      </c>
      <c r="G77" s="869"/>
    </row>
    <row r="78" spans="1:8" s="893" customFormat="1" ht="12" customHeight="1" thickTop="1" x14ac:dyDescent="0.2">
      <c r="A78" s="1781"/>
      <c r="B78" s="1776"/>
      <c r="C78" s="1772"/>
      <c r="D78" s="1777" t="s">
        <v>2058</v>
      </c>
      <c r="E78" s="1774"/>
      <c r="F78" s="898">
        <v>1626.2</v>
      </c>
      <c r="G78" s="899"/>
      <c r="H78" s="869"/>
    </row>
    <row r="79" spans="1:8" s="893" customFormat="1" ht="12" customHeight="1" thickBot="1" x14ac:dyDescent="0.25">
      <c r="A79" s="1782"/>
      <c r="B79" s="1776"/>
      <c r="C79" s="1772"/>
      <c r="D79" s="1777" t="s">
        <v>1898</v>
      </c>
      <c r="E79" s="1774" t="s">
        <v>958</v>
      </c>
      <c r="F79" s="1783">
        <f>IF(F78&gt;0,F77/F78," Complete Line 78")</f>
        <v>11393.557987947361</v>
      </c>
      <c r="G79" s="869"/>
    </row>
    <row r="80" spans="1:8" s="893" customFormat="1" ht="8.25" customHeight="1" thickTop="1" x14ac:dyDescent="0.2">
      <c r="A80" s="900"/>
      <c r="B80" s="869"/>
      <c r="C80" s="871"/>
      <c r="D80" s="901"/>
      <c r="E80" s="868"/>
      <c r="F80" s="902"/>
      <c r="G80" s="869"/>
    </row>
    <row r="81" spans="1:7" s="893" customFormat="1" ht="12" thickBot="1" x14ac:dyDescent="0.25">
      <c r="A81" s="2257" t="s">
        <v>1105</v>
      </c>
      <c r="B81" s="2258"/>
      <c r="C81" s="2258"/>
      <c r="D81" s="2258"/>
      <c r="E81" s="2258"/>
      <c r="F81" s="225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69759</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342337</v>
      </c>
      <c r="G94" s="912"/>
    </row>
    <row r="95" spans="1:7" x14ac:dyDescent="0.2">
      <c r="A95" s="908" t="s">
        <v>140</v>
      </c>
      <c r="B95" s="908" t="s">
        <v>175</v>
      </c>
      <c r="C95" s="910">
        <v>1700</v>
      </c>
      <c r="D95" s="918" t="str">
        <f>'Revenues 9-14'!A82</f>
        <v>Total District/School Activity Income</v>
      </c>
      <c r="E95" s="906"/>
      <c r="F95" s="1789">
        <f>SUM('Revenues 9-14'!C82,'Revenues 9-14'!D82)</f>
        <v>73196</v>
      </c>
      <c r="G95" s="912"/>
    </row>
    <row r="96" spans="1:7" x14ac:dyDescent="0.2">
      <c r="A96" s="908" t="s">
        <v>459</v>
      </c>
      <c r="B96" s="908" t="s">
        <v>176</v>
      </c>
      <c r="C96" s="910">
        <f>'Revenues 9-14'!B84</f>
        <v>1811</v>
      </c>
      <c r="D96" s="911" t="str">
        <f>'Revenues 9-14'!A84</f>
        <v>Rentals - Regular Textbooks</v>
      </c>
      <c r="E96" s="906"/>
      <c r="F96" s="1789">
        <f>'Revenues 9-14'!C84</f>
        <v>103021</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202</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182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228259</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40027</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7616</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24446</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823801</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1307</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407333</v>
      </c>
      <c r="G125" s="930"/>
    </row>
    <row r="126" spans="1:7" x14ac:dyDescent="0.2">
      <c r="A126" s="927" t="s">
        <v>668</v>
      </c>
      <c r="B126" s="927" t="s">
        <v>2020</v>
      </c>
      <c r="C126" s="932">
        <v>4300</v>
      </c>
      <c r="D126" s="933" t="str">
        <f>'Revenues 9-14'!A204</f>
        <v>Total Title I</v>
      </c>
      <c r="E126" s="906"/>
      <c r="F126" s="1789">
        <f>SUM('Revenues 9-14'!C204,'Revenues 9-14'!D204,'Revenues 9-14'!F204,'Revenues 9-14'!G204)</f>
        <v>333890</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9690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251453</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3338</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49587</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53562</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2823006</v>
      </c>
    </row>
    <row r="175" spans="1:7" ht="12" customHeight="1" x14ac:dyDescent="0.2">
      <c r="A175" s="1770"/>
      <c r="B175" s="1784"/>
      <c r="C175" s="1785"/>
      <c r="D175" s="1786" t="s">
        <v>2053</v>
      </c>
      <c r="E175" s="1787"/>
      <c r="F175" s="1789">
        <f>'PCTC-OEPP 27-28'!F77-F174</f>
        <v>15705198</v>
      </c>
    </row>
    <row r="176" spans="1:7" ht="12" customHeight="1" x14ac:dyDescent="0.2">
      <c r="A176" s="1770"/>
      <c r="B176" s="1784"/>
      <c r="C176" s="1785"/>
      <c r="D176" s="1786" t="s">
        <v>1815</v>
      </c>
      <c r="E176" s="1787"/>
      <c r="F176" s="1789">
        <f>'Cap Outlay Deprec 26'!I18</f>
        <v>921822</v>
      </c>
    </row>
    <row r="177" spans="1:7" ht="12" customHeight="1" x14ac:dyDescent="0.2">
      <c r="A177" s="1770"/>
      <c r="B177" s="1784"/>
      <c r="C177" s="1785"/>
      <c r="D177" s="1786" t="s">
        <v>2054</v>
      </c>
      <c r="E177" s="1787"/>
      <c r="F177" s="1789">
        <f>F175+F176</f>
        <v>16627020</v>
      </c>
    </row>
    <row r="178" spans="1:7" ht="12" customHeight="1" x14ac:dyDescent="0.2">
      <c r="A178" s="1770"/>
      <c r="B178" s="1790"/>
      <c r="C178" s="1785"/>
      <c r="D178" s="1786" t="str">
        <f>D78</f>
        <v>9 Month ADA from District Average Daily Attendance/Prior General State Aid Inquiry 2018-2019</v>
      </c>
      <c r="E178" s="1787"/>
      <c r="F178" s="1791">
        <f>'PCTC-OEPP 27-28'!F78</f>
        <v>1626.2</v>
      </c>
      <c r="G178" s="930"/>
    </row>
    <row r="179" spans="1:7" ht="12" customHeight="1" thickBot="1" x14ac:dyDescent="0.25">
      <c r="A179" s="1770"/>
      <c r="B179" s="1790"/>
      <c r="C179" s="1785"/>
      <c r="D179" s="1786" t="s">
        <v>2055</v>
      </c>
      <c r="E179" s="1787" t="s">
        <v>1545</v>
      </c>
      <c r="F179" s="1792">
        <f>F177/F178</f>
        <v>10224.461935801253</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9" sqref="A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1" t="s">
        <v>1816</v>
      </c>
      <c r="B4" s="2272"/>
      <c r="C4" s="2272"/>
      <c r="D4" s="2272"/>
      <c r="E4" s="2272"/>
      <c r="F4" s="2272"/>
      <c r="G4" s="2273"/>
    </row>
    <row r="5" spans="1:7" x14ac:dyDescent="0.25">
      <c r="A5" s="2274"/>
      <c r="B5" s="2275"/>
      <c r="C5" s="2275"/>
      <c r="D5" s="2275"/>
      <c r="E5" s="2275"/>
      <c r="F5" s="2275"/>
      <c r="G5" s="2276"/>
    </row>
    <row r="6" spans="1:7" ht="18.75" x14ac:dyDescent="0.25">
      <c r="A6" s="1534" t="s">
        <v>1817</v>
      </c>
      <c r="B6" s="1535"/>
      <c r="C6" s="1535"/>
      <c r="D6" s="1535"/>
      <c r="E6" s="1535"/>
      <c r="F6" s="1535"/>
      <c r="G6" s="1536"/>
    </row>
    <row r="7" spans="1:7" ht="30.75" customHeight="1" x14ac:dyDescent="0.25">
      <c r="A7" s="2277" t="s">
        <v>1929</v>
      </c>
      <c r="B7" s="2278"/>
      <c r="C7" s="2278"/>
      <c r="D7" s="2278"/>
      <c r="E7" s="2278"/>
      <c r="F7" s="2278"/>
      <c r="G7" s="2279"/>
    </row>
    <row r="8" spans="1:7" ht="15.75" customHeight="1" x14ac:dyDescent="0.25">
      <c r="A8" s="2280" t="s">
        <v>1904</v>
      </c>
      <c r="B8" s="2281"/>
      <c r="C8" s="2281"/>
      <c r="D8" s="2281"/>
      <c r="E8" s="2281"/>
      <c r="F8" s="2281"/>
      <c r="G8" s="2282"/>
    </row>
    <row r="9" spans="1:7" ht="35.25" customHeight="1" x14ac:dyDescent="0.25">
      <c r="A9" s="2277" t="s">
        <v>2061</v>
      </c>
      <c r="B9" s="2278"/>
      <c r="C9" s="2278"/>
      <c r="D9" s="2278"/>
      <c r="E9" s="2278"/>
      <c r="F9" s="2278"/>
      <c r="G9" s="2279"/>
    </row>
    <row r="10" spans="1:7" ht="15" customHeight="1" x14ac:dyDescent="0.25">
      <c r="A10" s="1537" t="s">
        <v>1818</v>
      </c>
      <c r="B10" s="1538"/>
      <c r="C10" s="1538"/>
      <c r="D10" s="1538"/>
      <c r="E10" s="1538"/>
      <c r="F10" s="1538"/>
      <c r="G10" s="1539"/>
    </row>
    <row r="11" spans="1:7" ht="17.25" customHeight="1" x14ac:dyDescent="0.25">
      <c r="A11" s="2277" t="s">
        <v>1931</v>
      </c>
      <c r="B11" s="2278"/>
      <c r="C11" s="2278"/>
      <c r="D11" s="2278"/>
      <c r="E11" s="2278"/>
      <c r="F11" s="2278"/>
      <c r="G11" s="2279"/>
    </row>
    <row r="12" spans="1:7" ht="15" customHeight="1" x14ac:dyDescent="0.25">
      <c r="A12" s="1537" t="s">
        <v>1823</v>
      </c>
      <c r="B12" s="1538"/>
      <c r="C12" s="1538"/>
      <c r="D12" s="1538"/>
      <c r="E12" s="1538"/>
      <c r="F12" s="1538"/>
      <c r="G12" s="1539"/>
    </row>
    <row r="13" spans="1:7" ht="32.25" customHeight="1" x14ac:dyDescent="0.25">
      <c r="A13" s="2268" t="s">
        <v>1972</v>
      </c>
      <c r="B13" s="2269"/>
      <c r="C13" s="2269"/>
      <c r="D13" s="2269"/>
      <c r="E13" s="2269"/>
      <c r="F13" s="2269"/>
      <c r="G13" s="2270"/>
    </row>
    <row r="14" spans="1:7" x14ac:dyDescent="0.25">
      <c r="A14" s="1661" t="s">
        <v>1831</v>
      </c>
      <c r="B14" s="1662"/>
      <c r="C14" s="1662"/>
      <c r="D14" s="1662"/>
      <c r="E14" s="1662"/>
      <c r="F14" s="1662"/>
      <c r="G14" s="1663"/>
    </row>
    <row r="15" spans="1:7" ht="61.5" customHeight="1" x14ac:dyDescent="0.25">
      <c r="A15" s="1546" t="s">
        <v>1824</v>
      </c>
      <c r="B15" s="1546" t="s">
        <v>1825</v>
      </c>
      <c r="C15" s="1546" t="s">
        <v>1826</v>
      </c>
      <c r="D15" s="1547" t="s">
        <v>1827</v>
      </c>
      <c r="E15" s="1547" t="s">
        <v>1819</v>
      </c>
      <c r="F15" s="1547" t="s">
        <v>1828</v>
      </c>
      <c r="G15" s="1547" t="s">
        <v>1829</v>
      </c>
    </row>
    <row r="16" spans="1:7" x14ac:dyDescent="0.25">
      <c r="A16" s="1648" t="s">
        <v>1832</v>
      </c>
      <c r="B16" s="1649" t="s">
        <v>1822</v>
      </c>
      <c r="C16" s="1650" t="s">
        <v>1820</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2104</v>
      </c>
      <c r="B17" s="1941" t="s">
        <v>2147</v>
      </c>
      <c r="C17" s="1940" t="s">
        <v>2105</v>
      </c>
      <c r="D17" s="1844">
        <v>45000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20000</v>
      </c>
      <c r="H17" s="1647"/>
    </row>
    <row r="18" spans="1:8" x14ac:dyDescent="0.25">
      <c r="A18" s="1938"/>
      <c r="B18" s="1939"/>
      <c r="C18" s="1940"/>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45000</v>
      </c>
      <c r="E141" s="1541">
        <f t="shared" si="0"/>
        <v>25000</v>
      </c>
      <c r="F141" s="1933">
        <f>SUM(F17:F140)</f>
        <v>25000</v>
      </c>
      <c r="G141" s="1795">
        <f>SUM(G17:G140)</f>
        <v>20000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U31" sqref="U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3" t="s">
        <v>1679</v>
      </c>
      <c r="B5" s="2284"/>
      <c r="C5" s="2284"/>
      <c r="D5" s="2284"/>
      <c r="E5" s="2284"/>
      <c r="F5" s="2284"/>
      <c r="G5" s="2285"/>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c r="F10" s="974"/>
      <c r="G10" s="975"/>
      <c r="H10" s="162"/>
      <c r="I10" s="162"/>
    </row>
    <row r="11" spans="1:9" s="668" customFormat="1" ht="22.5" customHeight="1" x14ac:dyDescent="0.2">
      <c r="A11" s="2288" t="s">
        <v>1973</v>
      </c>
      <c r="B11" s="2289"/>
      <c r="C11" s="2289"/>
      <c r="D11" s="2290"/>
      <c r="E11" s="977">
        <v>77398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11855784</v>
      </c>
      <c r="F19" s="1799"/>
      <c r="G19" s="1801">
        <f>'Expenditures 15-22'!K33-SUM('Expenditures 15-22'!G33,'Expenditures 15-22'!I33)+'Expenditures 15-22'!D229</f>
        <v>11855784</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459256</v>
      </c>
      <c r="F21" s="1802"/>
      <c r="G21" s="1805">
        <f>'Expenditures 15-22'!K42-SUM('Expenditures 15-22'!G42,'Expenditures 15-22'!I42)+'Expenditures 15-22'!K120-SUM('Expenditures 15-22'!G120,'Expenditures 15-22'!I120)+'Expenditures 15-22'!K180-SUM('Expenditures 15-22'!G180,'Expenditures 15-22'!I180)+'Expenditures 15-22'!D238</f>
        <v>459256</v>
      </c>
      <c r="H21" s="987"/>
      <c r="I21" s="162"/>
    </row>
    <row r="22" spans="1:9" s="668" customFormat="1" ht="12" customHeight="1" x14ac:dyDescent="0.2">
      <c r="A22" s="994" t="s">
        <v>564</v>
      </c>
      <c r="B22" s="995"/>
      <c r="C22" s="993">
        <v>2200</v>
      </c>
      <c r="D22" s="1802"/>
      <c r="E22" s="1804">
        <f>'Expenditures 15-22'!K47-SUM('Expenditures 15-22'!G47,'Expenditures 15-22'!I47)+'Expenditures 15-22'!D243</f>
        <v>827389</v>
      </c>
      <c r="F22" s="1802"/>
      <c r="G22" s="1805">
        <f>'Expenditures 15-22'!K47-SUM('Expenditures 15-22'!G47,'Expenditures 15-22'!I47)+'Expenditures 15-22'!D243</f>
        <v>827389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1044348</v>
      </c>
      <c r="F23" s="1802"/>
      <c r="G23" s="1804">
        <f>'Expenditures 15-22'!K53-SUM('Expenditures 15-22'!G53,'Expenditures 15-22'!I53)+'Expenditures 15-22'!D257+'Expenditures 15-22'!K330-SUM('Expenditures 15-22'!G330,'Expenditures 15-22'!I330)</f>
        <v>1044348</v>
      </c>
      <c r="H23" s="987"/>
      <c r="I23" s="162"/>
    </row>
    <row r="24" spans="1:9" s="668" customFormat="1" ht="12" customHeight="1" x14ac:dyDescent="0.2">
      <c r="A24" s="994" t="s">
        <v>566</v>
      </c>
      <c r="B24" s="995"/>
      <c r="C24" s="993">
        <v>2400</v>
      </c>
      <c r="D24" s="1802"/>
      <c r="E24" s="1804">
        <f>'Expenditures 15-22'!K57-SUM('Expenditures 15-22'!G57,'Expenditures 15-22'!I57)+'Expenditures 15-22'!D261</f>
        <v>1143474</v>
      </c>
      <c r="F24" s="1802"/>
      <c r="G24" s="1805">
        <f>'Expenditures 15-22'!K57-SUM('Expenditures 15-22'!G57,'Expenditures 15-22'!I57)+'Expenditures 15-22'!D261</f>
        <v>1143474</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234334</v>
      </c>
      <c r="E27" s="1804">
        <f>E8</f>
        <v>0</v>
      </c>
      <c r="F27" s="1804">
        <f>'Expenditures 15-22'!K60-SUM('Expenditures 15-22'!G60,'Expenditures 15-22'!I60)+'Expenditures 15-22'!D264-E8</f>
        <v>234334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1282744</v>
      </c>
      <c r="F28" s="1806">
        <f>'Expenditures 15-22'!K61-SUM('Expenditures 15-22'!G61,'Expenditures 15-22'!I61)+'Expenditures 15-22'!K124-SUM('Expenditures 15-22'!G124,'Expenditures 15-22'!I124)+'Expenditures 15-22'!D266-E9</f>
        <v>1282744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1157657</v>
      </c>
      <c r="F29" s="1802"/>
      <c r="G29" s="1805">
        <f>'Expenditures 15-22'!K62-SUM('Expenditures 15-22'!G62,'Expenditures 15-22'!I62)+'Expenditures 15-22'!K125-SUM('Expenditures 15-22'!G125,'Expenditures 15-22'!I125)+'Expenditures 15-22'!K182-SUM('Expenditures 15-22'!G182,'Expenditures 15-22'!I182)+'Expenditures 15-22'!D267</f>
        <v>1157657</v>
      </c>
      <c r="H29" s="985"/>
    </row>
    <row r="30" spans="1:9" ht="12" customHeight="1" x14ac:dyDescent="0.2">
      <c r="A30" s="994" t="s">
        <v>100</v>
      </c>
      <c r="B30" s="997"/>
      <c r="C30" s="993">
        <v>2560</v>
      </c>
      <c r="D30" s="1802"/>
      <c r="E30" s="1804">
        <f>'Expenditures 15-22'!K63-SUM('Expenditures 15-22'!G63,'Expenditures 15-22'!I63)+'Expenditures 15-22'!D268-E10</f>
        <v>727709</v>
      </c>
      <c r="F30" s="1802"/>
      <c r="G30" s="1804">
        <f>'Expenditures 15-22'!K63-SUM('Expenditures 15-22'!G63,'Expenditures 15-22'!I63)+'Expenditures 15-22'!D268-E10</f>
        <v>727709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1821</v>
      </c>
      <c r="B40" s="991"/>
      <c r="C40" s="993"/>
      <c r="D40" s="1802"/>
      <c r="E40" s="1806">
        <f>-'Contracts Paid in CY 29'!G141</f>
        <v>-20000</v>
      </c>
      <c r="F40" s="1802"/>
      <c r="G40" s="1806">
        <f>-'Contracts Paid in CY 29'!G141</f>
        <v>-20000</v>
      </c>
    </row>
    <row r="41" spans="1:7" ht="12" customHeight="1" x14ac:dyDescent="0.2">
      <c r="A41" s="998" t="s">
        <v>156</v>
      </c>
      <c r="B41" s="999"/>
      <c r="C41" s="1000"/>
      <c r="D41" s="1806">
        <f>SUM(D19:D39)</f>
        <v>234334</v>
      </c>
      <c r="E41" s="1806">
        <f>SUM(E19:E40)</f>
        <v>18478361</v>
      </c>
      <c r="F41" s="1806">
        <f>SUM(F19:F39)</f>
        <v>1517078</v>
      </c>
      <c r="G41" s="1806">
        <f>SUM(G19:G40)</f>
        <v>17195617</v>
      </c>
    </row>
    <row r="42" spans="1:7" x14ac:dyDescent="0.2">
      <c r="A42" s="987"/>
      <c r="B42" s="162"/>
      <c r="C42" s="1001"/>
      <c r="D42" s="2286" t="s">
        <v>522</v>
      </c>
      <c r="E42" s="2287"/>
      <c r="F42" s="1002" t="s">
        <v>523</v>
      </c>
      <c r="G42" s="1003"/>
    </row>
    <row r="43" spans="1:7" ht="12" customHeight="1" x14ac:dyDescent="0.2">
      <c r="A43" s="987"/>
      <c r="B43" s="162"/>
      <c r="C43" s="1001"/>
      <c r="D43" s="1807" t="s">
        <v>473</v>
      </c>
      <c r="E43" s="1808">
        <f>D41</f>
        <v>234334</v>
      </c>
      <c r="F43" s="1807" t="s">
        <v>473</v>
      </c>
      <c r="G43" s="1808">
        <f>F41</f>
        <v>1517078</v>
      </c>
    </row>
    <row r="44" spans="1:7" ht="12" customHeight="1" x14ac:dyDescent="0.2">
      <c r="A44" s="987"/>
      <c r="B44" s="162"/>
      <c r="C44" s="1001"/>
      <c r="D44" s="1807" t="s">
        <v>474</v>
      </c>
      <c r="E44" s="1808">
        <f>E41</f>
        <v>18478361</v>
      </c>
      <c r="F44" s="1807" t="s">
        <v>474</v>
      </c>
      <c r="G44" s="1808">
        <f>G41</f>
        <v>17195617</v>
      </c>
    </row>
    <row r="45" spans="1:7" ht="12" customHeight="1" x14ac:dyDescent="0.2">
      <c r="A45" s="987"/>
      <c r="B45" s="162"/>
      <c r="C45" s="162"/>
      <c r="D45" s="1809" t="s">
        <v>1006</v>
      </c>
      <c r="E45" s="1810">
        <f>(E43/E44)</f>
        <v>1.2681535986876758E-2</v>
      </c>
      <c r="F45" s="1809" t="s">
        <v>1006</v>
      </c>
      <c r="G45" s="1810">
        <f>(G43/G44)</f>
        <v>8.8224691210556733E-2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U31" sqref="U31"/>
      <selection pane="bottomLeft" activeCell="U31" sqref="U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4" t="s">
        <v>1379</v>
      </c>
      <c r="B1" s="2294"/>
      <c r="C1" s="2294"/>
      <c r="D1" s="2294"/>
      <c r="E1" s="2294"/>
      <c r="F1" s="2294"/>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295" t="s">
        <v>1546</v>
      </c>
      <c r="B5" s="2296"/>
      <c r="C5" s="2297"/>
      <c r="D5" s="2297"/>
      <c r="E5" s="2297"/>
      <c r="F5" s="2297"/>
    </row>
    <row r="6" spans="1:10" ht="12" customHeight="1" x14ac:dyDescent="0.25">
      <c r="A6" s="1850"/>
      <c r="B6" s="1851"/>
      <c r="C6" s="2298" t="str">
        <f>COVER!A17</f>
        <v>Prairie Central CUSD 8</v>
      </c>
      <c r="D6" s="2298"/>
      <c r="E6" s="2298"/>
      <c r="F6" s="1852"/>
    </row>
    <row r="7" spans="1:10" ht="11.25" customHeight="1" thickBot="1" x14ac:dyDescent="0.3">
      <c r="A7" s="1850"/>
      <c r="B7" s="1851"/>
      <c r="C7" s="2299">
        <f>COVER!A13</f>
        <v>17053008026</v>
      </c>
      <c r="D7" s="2299"/>
      <c r="E7" s="2299"/>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2062</v>
      </c>
      <c r="D15" s="1865" t="s">
        <v>2062</v>
      </c>
      <c r="E15" s="1868" t="s">
        <v>2062</v>
      </c>
      <c r="F15" s="1867" t="s">
        <v>2079</v>
      </c>
      <c r="H15" s="1878">
        <f t="shared" si="0"/>
        <v>5</v>
      </c>
      <c r="I15" s="1878">
        <f t="shared" si="1"/>
        <v>5</v>
      </c>
      <c r="J15" s="1878">
        <f t="shared" si="2"/>
        <v>5</v>
      </c>
    </row>
    <row r="16" spans="1:10" ht="12" customHeight="1" x14ac:dyDescent="0.2">
      <c r="A16" s="1863" t="s">
        <v>1388</v>
      </c>
      <c r="B16" s="1864"/>
      <c r="C16" s="1865" t="s">
        <v>2062</v>
      </c>
      <c r="D16" s="1865" t="s">
        <v>2062</v>
      </c>
      <c r="E16" s="1868" t="s">
        <v>2062</v>
      </c>
      <c r="F16" s="1867" t="s">
        <v>2080</v>
      </c>
      <c r="H16" s="1878">
        <f t="shared" si="0"/>
        <v>5</v>
      </c>
      <c r="I16" s="1878">
        <f t="shared" si="1"/>
        <v>5</v>
      </c>
      <c r="J16" s="1878">
        <f t="shared" si="2"/>
        <v>5</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2062</v>
      </c>
      <c r="D26" s="1865" t="s">
        <v>2062</v>
      </c>
      <c r="E26" s="1868" t="s">
        <v>2062</v>
      </c>
      <c r="F26" s="1867" t="s">
        <v>2081</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15</v>
      </c>
      <c r="K34" s="1878">
        <f>SUM(H34:J34)</f>
        <v>45</v>
      </c>
    </row>
    <row r="35" spans="1:11" ht="12" customHeight="1" x14ac:dyDescent="0.2">
      <c r="A35" s="1871" t="s">
        <v>1392</v>
      </c>
      <c r="B35" s="1872"/>
      <c r="C35" s="2300"/>
      <c r="D35" s="2300"/>
      <c r="E35" s="2300"/>
      <c r="F35" s="2301"/>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305"/>
      <c r="B38" s="2306"/>
      <c r="C38" s="2306"/>
      <c r="D38" s="2306"/>
      <c r="E38" s="2306"/>
      <c r="F38" s="2307"/>
    </row>
    <row r="39" spans="1:11" ht="4.5" hidden="1" customHeight="1" x14ac:dyDescent="0.2">
      <c r="A39" s="1873"/>
      <c r="B39" s="1873"/>
      <c r="C39" s="1873"/>
      <c r="D39" s="1873"/>
      <c r="E39" s="1873"/>
      <c r="F39" s="1873"/>
    </row>
    <row r="40" spans="1:11" s="1870" customFormat="1" ht="12" customHeight="1" x14ac:dyDescent="0.25">
      <c r="A40" s="1874" t="s">
        <v>1391</v>
      </c>
      <c r="B40" s="1875"/>
      <c r="C40" s="2308"/>
      <c r="D40" s="2308"/>
      <c r="E40" s="2308"/>
      <c r="F40" s="2309"/>
      <c r="H40" s="1879"/>
      <c r="I40" s="1879"/>
      <c r="J40" s="1879"/>
      <c r="K40" s="1879"/>
    </row>
    <row r="41" spans="1:11" s="1870" customFormat="1" ht="12" customHeight="1" x14ac:dyDescent="0.25">
      <c r="A41" s="2310"/>
      <c r="B41" s="2311"/>
      <c r="C41" s="2311"/>
      <c r="D41" s="2311"/>
      <c r="E41" s="2311"/>
      <c r="F41" s="2312"/>
      <c r="H41" s="1879"/>
      <c r="I41" s="1879"/>
      <c r="J41" s="1879"/>
      <c r="K41" s="1879"/>
    </row>
    <row r="42" spans="1:11" s="1870" customFormat="1" ht="12" customHeight="1" x14ac:dyDescent="0.25">
      <c r="A42" s="2310"/>
      <c r="B42" s="2311"/>
      <c r="C42" s="2311"/>
      <c r="D42" s="2311"/>
      <c r="E42" s="2311"/>
      <c r="F42" s="2312"/>
      <c r="H42" s="1879"/>
      <c r="I42" s="1879"/>
      <c r="J42" s="1879"/>
      <c r="K42" s="1879"/>
    </row>
    <row r="43" spans="1:11" s="1870" customFormat="1" ht="15" x14ac:dyDescent="0.25">
      <c r="A43" s="2302"/>
      <c r="B43" s="2303"/>
      <c r="C43" s="2303"/>
      <c r="D43" s="2303"/>
      <c r="E43" s="2303"/>
      <c r="F43" s="2304"/>
      <c r="H43" s="1879"/>
      <c r="I43" s="1879"/>
      <c r="J43" s="1879"/>
      <c r="K43" s="1879"/>
    </row>
    <row r="44" spans="1:11" s="1870" customFormat="1" ht="12" hidden="1" customHeight="1" x14ac:dyDescent="0.25">
      <c r="A44" s="2302"/>
      <c r="B44" s="2303"/>
      <c r="C44" s="2303"/>
      <c r="D44" s="2303"/>
      <c r="E44" s="2303"/>
      <c r="F44" s="230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7" colorId="8" zoomScale="110" zoomScaleNormal="110" workbookViewId="0">
      <selection activeCell="P26" sqref="P2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8" t="str">
        <f>COVER!A17</f>
        <v>Prairie Central CUSD 8</v>
      </c>
      <c r="J6" s="2319"/>
      <c r="Q6" s="1664"/>
    </row>
    <row r="7" spans="1:17" x14ac:dyDescent="0.2">
      <c r="A7" s="2320" t="s">
        <v>869</v>
      </c>
      <c r="B7" s="2321"/>
      <c r="C7" s="2321"/>
      <c r="D7" s="2321"/>
      <c r="E7" s="2322"/>
      <c r="F7" s="1017"/>
      <c r="G7" s="1009"/>
      <c r="H7" s="1016" t="s">
        <v>372</v>
      </c>
      <c r="I7" s="2323">
        <f>COVER!A13</f>
        <v>17053008026</v>
      </c>
      <c r="J7" s="2323"/>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4" t="s">
        <v>481</v>
      </c>
      <c r="B11" s="2325"/>
      <c r="C11" s="232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138252</v>
      </c>
      <c r="F12" s="1039"/>
      <c r="G12" s="1811">
        <f t="shared" ref="G12:G18" si="0">SUM(E12:F12)</f>
        <v>138252</v>
      </c>
      <c r="H12" s="1040">
        <v>142266</v>
      </c>
      <c r="I12" s="1039"/>
      <c r="J12" s="1811">
        <f t="shared" ref="J12:J18" si="1">SUM(H12:I12)</f>
        <v>142266</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7" t="s">
        <v>7</v>
      </c>
      <c r="C18" s="2328"/>
      <c r="D18" s="2329"/>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138252</v>
      </c>
      <c r="F19" s="1813">
        <f t="shared" si="2"/>
        <v>0</v>
      </c>
      <c r="G19" s="1813">
        <f t="shared" si="2"/>
        <v>138252</v>
      </c>
      <c r="H19" s="1813">
        <f t="shared" si="2"/>
        <v>142266</v>
      </c>
      <c r="I19" s="1813">
        <f t="shared" si="2"/>
        <v>0</v>
      </c>
      <c r="J19" s="1813">
        <f t="shared" si="2"/>
        <v>142266</v>
      </c>
    </row>
    <row r="20" spans="1:10" ht="13.5" thickTop="1" x14ac:dyDescent="0.2">
      <c r="A20" s="1035">
        <v>9</v>
      </c>
      <c r="B20" s="2330" t="s">
        <v>1977</v>
      </c>
      <c r="C20" s="2330"/>
      <c r="D20" s="2331"/>
      <c r="E20" s="1046"/>
      <c r="F20" s="1046"/>
      <c r="G20" s="1046"/>
      <c r="H20" s="1046"/>
      <c r="I20" s="1046"/>
      <c r="J20" s="1814">
        <f>IF(AND(G19&gt;0,J19&gt;0),(((J19-G19)/G19)),"Enter Budget Data")</f>
        <v>2.9033938026213003E-2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6"/>
      <c r="D26" s="2336"/>
      <c r="E26" s="1050"/>
      <c r="F26" s="2335"/>
      <c r="G26" s="2335"/>
    </row>
    <row r="27" spans="1:10" x14ac:dyDescent="0.2">
      <c r="B27" s="1047"/>
      <c r="C27" s="1051" t="s">
        <v>1033</v>
      </c>
      <c r="D27" s="1052"/>
      <c r="E27" s="1053"/>
      <c r="F27" s="2332" t="s">
        <v>1509</v>
      </c>
      <c r="G27" s="2332"/>
    </row>
    <row r="28" spans="1:10" ht="28.5" customHeight="1" x14ac:dyDescent="0.2">
      <c r="B28" s="1047"/>
      <c r="C28" s="2334"/>
      <c r="D28" s="2334"/>
      <c r="E28" s="1054"/>
      <c r="F28" s="2334"/>
      <c r="G28" s="2334"/>
    </row>
    <row r="29" spans="1:10" x14ac:dyDescent="0.2">
      <c r="B29" s="1047"/>
      <c r="C29" s="1055" t="s">
        <v>1561</v>
      </c>
      <c r="E29" s="1056"/>
      <c r="F29" s="2333" t="s">
        <v>1510</v>
      </c>
      <c r="G29" s="233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5" t="s">
        <v>132</v>
      </c>
      <c r="D33" s="2316"/>
      <c r="E33" s="2316"/>
      <c r="F33" s="2316"/>
      <c r="G33" s="2316"/>
      <c r="H33" s="2316"/>
      <c r="I33" s="2316"/>
    </row>
    <row r="34" spans="1:10" ht="10.35" customHeight="1" x14ac:dyDescent="0.2">
      <c r="C34" s="2316"/>
      <c r="D34" s="2316"/>
      <c r="E34" s="2316"/>
      <c r="F34" s="2316"/>
      <c r="G34" s="2316"/>
      <c r="H34" s="2316"/>
      <c r="I34" s="2316"/>
    </row>
    <row r="35" spans="1:10" ht="7.5" customHeight="1" x14ac:dyDescent="0.2">
      <c r="C35" s="1062"/>
    </row>
    <row r="36" spans="1:10" ht="13.5" customHeight="1" x14ac:dyDescent="0.2">
      <c r="B36" s="1061"/>
      <c r="C36" s="2317" t="s">
        <v>1979</v>
      </c>
      <c r="D36" s="2316"/>
      <c r="E36" s="2316"/>
      <c r="F36" s="2316"/>
      <c r="G36" s="2316"/>
      <c r="H36" s="2316"/>
      <c r="I36" s="2316"/>
      <c r="J36" s="1063"/>
    </row>
    <row r="37" spans="1:10" ht="22.5" customHeight="1" x14ac:dyDescent="0.2">
      <c r="C37" s="2316"/>
      <c r="D37" s="2316"/>
      <c r="E37" s="2316"/>
      <c r="F37" s="2316"/>
      <c r="G37" s="2316"/>
      <c r="H37" s="2316"/>
      <c r="I37" s="2316"/>
      <c r="J37" s="1063"/>
    </row>
    <row r="38" spans="1:10" ht="7.5" customHeight="1" x14ac:dyDescent="0.2">
      <c r="C38" s="1062"/>
      <c r="D38" s="1064"/>
      <c r="E38" s="1065"/>
      <c r="F38" s="1066"/>
      <c r="G38" s="1065"/>
    </row>
    <row r="39" spans="1:10" ht="13.5" customHeight="1" x14ac:dyDescent="0.2">
      <c r="B39" s="1061"/>
      <c r="C39" s="2313" t="s">
        <v>882</v>
      </c>
      <c r="D39" s="2314"/>
      <c r="E39" s="2314"/>
      <c r="F39" s="2314"/>
      <c r="G39" s="2314"/>
      <c r="H39" s="2314"/>
      <c r="I39" s="231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5"/>
  <sheetViews>
    <sheetView showGridLines="0" topLeftCell="A16" zoomScale="110" zoomScaleNormal="110" workbookViewId="0">
      <selection activeCell="U31" sqref="U31"/>
    </sheetView>
  </sheetViews>
  <sheetFormatPr defaultRowHeight="12.75" x14ac:dyDescent="0.2"/>
  <cols>
    <col min="1" max="1" width="3" style="329" customWidth="1"/>
    <col min="2" max="2" width="56.85546875" style="329" customWidth="1"/>
    <col min="3" max="3" width="3.140625" style="329" customWidth="1"/>
    <col min="4" max="16384" width="9.140625" style="329"/>
  </cols>
  <sheetData>
    <row r="2" spans="1:4" x14ac:dyDescent="0.2">
      <c r="A2" s="389" t="s">
        <v>258</v>
      </c>
    </row>
    <row r="3" spans="1:4" x14ac:dyDescent="0.2">
      <c r="A3" s="329" t="s">
        <v>259</v>
      </c>
    </row>
    <row r="5" spans="1:4" x14ac:dyDescent="0.2">
      <c r="A5" s="1068">
        <v>1</v>
      </c>
      <c r="B5" s="329" t="s">
        <v>2082</v>
      </c>
    </row>
    <row r="6" spans="1:4" x14ac:dyDescent="0.2">
      <c r="A6" s="1068">
        <v>2</v>
      </c>
      <c r="B6" s="329" t="s">
        <v>2083</v>
      </c>
    </row>
    <row r="7" spans="1:4" x14ac:dyDescent="0.2">
      <c r="A7" s="1068">
        <v>3</v>
      </c>
      <c r="B7" s="329" t="s">
        <v>2084</v>
      </c>
      <c r="C7" s="329" t="s">
        <v>958</v>
      </c>
      <c r="D7" s="329">
        <v>746</v>
      </c>
    </row>
    <row r="8" spans="1:4" x14ac:dyDescent="0.2">
      <c r="A8" s="1068">
        <v>4</v>
      </c>
      <c r="B8" s="329" t="s">
        <v>2085</v>
      </c>
      <c r="D8" s="1937">
        <v>14911</v>
      </c>
    </row>
    <row r="9" spans="1:4" x14ac:dyDescent="0.2">
      <c r="A9" s="1069"/>
      <c r="B9" s="329" t="s">
        <v>2086</v>
      </c>
      <c r="D9" s="1937">
        <v>6700</v>
      </c>
    </row>
    <row r="10" spans="1:4" x14ac:dyDescent="0.2">
      <c r="A10" s="1069"/>
    </row>
    <row r="11" spans="1:4" x14ac:dyDescent="0.2">
      <c r="A11" s="1069"/>
      <c r="B11" s="329" t="s">
        <v>2087</v>
      </c>
    </row>
    <row r="12" spans="1:4" x14ac:dyDescent="0.2">
      <c r="A12" s="1069"/>
      <c r="B12" s="329" t="s">
        <v>2083</v>
      </c>
    </row>
    <row r="13" spans="1:4" x14ac:dyDescent="0.2">
      <c r="A13" s="1069"/>
      <c r="B13" s="329" t="s">
        <v>2088</v>
      </c>
      <c r="C13" s="329" t="s">
        <v>958</v>
      </c>
      <c r="D13" s="329">
        <v>450</v>
      </c>
    </row>
    <row r="14" spans="1:4" x14ac:dyDescent="0.2">
      <c r="A14" s="1069"/>
      <c r="B14" s="329" t="s">
        <v>2089</v>
      </c>
      <c r="D14" s="1937">
        <v>10500</v>
      </c>
    </row>
    <row r="15" spans="1:4" x14ac:dyDescent="0.2">
      <c r="A15" s="1069"/>
      <c r="B15" s="329" t="s">
        <v>2090</v>
      </c>
      <c r="D15" s="1937">
        <v>93839</v>
      </c>
    </row>
    <row r="16" spans="1:4" x14ac:dyDescent="0.2">
      <c r="A16" s="1069"/>
      <c r="B16" s="329" t="s">
        <v>2091</v>
      </c>
      <c r="D16" s="1937">
        <v>3619</v>
      </c>
    </row>
    <row r="17" spans="1:4" x14ac:dyDescent="0.2">
      <c r="A17" s="1069"/>
      <c r="B17" s="329" t="s">
        <v>2092</v>
      </c>
      <c r="D17" s="1937">
        <v>37082</v>
      </c>
    </row>
    <row r="18" spans="1:4" x14ac:dyDescent="0.2">
      <c r="A18" s="1069"/>
      <c r="B18" s="329" t="s">
        <v>2093</v>
      </c>
      <c r="D18" s="1937">
        <v>4801</v>
      </c>
    </row>
    <row r="19" spans="1:4" x14ac:dyDescent="0.2">
      <c r="A19" s="1069"/>
      <c r="B19" s="329" t="s">
        <v>2094</v>
      </c>
    </row>
    <row r="20" spans="1:4" x14ac:dyDescent="0.2">
      <c r="A20" s="1069"/>
      <c r="B20" s="329" t="s">
        <v>2095</v>
      </c>
      <c r="D20" s="1937">
        <v>11726</v>
      </c>
    </row>
    <row r="21" spans="1:4" x14ac:dyDescent="0.2">
      <c r="A21" s="1069"/>
      <c r="B21" s="329" t="s">
        <v>1169</v>
      </c>
    </row>
    <row r="22" spans="1:4" x14ac:dyDescent="0.2">
      <c r="A22" s="1069"/>
      <c r="B22" s="329" t="s">
        <v>2096</v>
      </c>
    </row>
    <row r="23" spans="1:4" x14ac:dyDescent="0.2">
      <c r="A23" s="1069"/>
      <c r="B23" s="329" t="s">
        <v>2083</v>
      </c>
    </row>
    <row r="24" spans="1:4" x14ac:dyDescent="0.2">
      <c r="A24" s="1069"/>
      <c r="B24" s="329" t="s">
        <v>2097</v>
      </c>
      <c r="C24" s="329" t="s">
        <v>958</v>
      </c>
      <c r="D24" s="1937">
        <v>1307</v>
      </c>
    </row>
    <row r="25" spans="1:4" x14ac:dyDescent="0.2">
      <c r="A25" s="1069"/>
    </row>
    <row r="26" spans="1:4" x14ac:dyDescent="0.2">
      <c r="A26" s="1069"/>
      <c r="B26" s="329" t="s">
        <v>2098</v>
      </c>
    </row>
    <row r="27" spans="1:4" x14ac:dyDescent="0.2">
      <c r="A27" s="1069"/>
      <c r="B27" s="329" t="s">
        <v>2099</v>
      </c>
    </row>
    <row r="28" spans="1:4" x14ac:dyDescent="0.2">
      <c r="A28" s="1069"/>
      <c r="B28" s="329" t="s">
        <v>2100</v>
      </c>
      <c r="C28" s="329" t="s">
        <v>958</v>
      </c>
      <c r="D28" s="329">
        <v>500</v>
      </c>
    </row>
    <row r="29" spans="1:4" x14ac:dyDescent="0.2">
      <c r="A29" s="1069"/>
    </row>
    <row r="30" spans="1:4" x14ac:dyDescent="0.2">
      <c r="A30" s="1069"/>
      <c r="B30" s="329" t="s">
        <v>2102</v>
      </c>
    </row>
    <row r="31" spans="1:4" x14ac:dyDescent="0.2">
      <c r="A31" s="1069"/>
      <c r="B31" s="329" t="s">
        <v>2101</v>
      </c>
    </row>
    <row r="32" spans="1:4" x14ac:dyDescent="0.2">
      <c r="A32" s="1069"/>
      <c r="B32" s="329" t="s">
        <v>2103</v>
      </c>
      <c r="C32" s="329" t="s">
        <v>958</v>
      </c>
      <c r="D32" s="1937">
        <v>73312</v>
      </c>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Prairie Central CUSD 8</v>
      </c>
    </row>
    <row r="65" spans="2:2" x14ac:dyDescent="0.2">
      <c r="B65" s="1070">
        <f>COVER!A13</f>
        <v>17053008026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U31" sqref="U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7" t="s">
        <v>1685</v>
      </c>
      <c r="B18" s="233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891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U31" sqref="U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8" t="s">
        <v>1690</v>
      </c>
      <c r="B1" s="2339"/>
      <c r="C1" s="2339"/>
      <c r="D1" s="2339"/>
      <c r="E1" s="2339"/>
      <c r="F1" s="2340"/>
    </row>
    <row r="2" spans="1:8" ht="45" customHeight="1" x14ac:dyDescent="0.2">
      <c r="A2" s="2348" t="s">
        <v>1983</v>
      </c>
      <c r="B2" s="2349"/>
      <c r="C2" s="2349"/>
      <c r="D2" s="2349"/>
      <c r="E2" s="2349"/>
      <c r="F2" s="2350"/>
      <c r="G2" s="1074"/>
      <c r="H2" s="1074"/>
    </row>
    <row r="3" spans="1:8" ht="57" customHeight="1" x14ac:dyDescent="0.2">
      <c r="A3" s="2351" t="s">
        <v>1686</v>
      </c>
      <c r="B3" s="2352"/>
      <c r="C3" s="2352"/>
      <c r="D3" s="2352"/>
      <c r="E3" s="2352"/>
      <c r="F3" s="2353"/>
      <c r="G3" s="1074"/>
      <c r="H3" s="1074"/>
    </row>
    <row r="4" spans="1:8" ht="14.25" customHeight="1" x14ac:dyDescent="0.2">
      <c r="A4" s="2357" t="s">
        <v>1984</v>
      </c>
      <c r="B4" s="2358"/>
      <c r="C4" s="2358"/>
      <c r="D4" s="2358"/>
      <c r="E4" s="2358"/>
      <c r="F4" s="2359"/>
      <c r="G4" s="1074"/>
      <c r="H4" s="1074"/>
    </row>
    <row r="5" spans="1:8" ht="14.25" customHeight="1" x14ac:dyDescent="0.2">
      <c r="A5" s="2360" t="s">
        <v>1980</v>
      </c>
      <c r="B5" s="2361"/>
      <c r="C5" s="2361"/>
      <c r="D5" s="2361"/>
      <c r="E5" s="2361"/>
      <c r="F5" s="2362"/>
      <c r="G5" s="1074"/>
      <c r="H5" s="1074"/>
    </row>
    <row r="6" spans="1:8" s="1075" customFormat="1" ht="41.25" customHeight="1" x14ac:dyDescent="0.2">
      <c r="A6" s="2354" t="s">
        <v>1691</v>
      </c>
      <c r="B6" s="2355"/>
      <c r="C6" s="2355"/>
      <c r="D6" s="2355"/>
      <c r="E6" s="2355"/>
      <c r="F6" s="2356"/>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16789046</v>
      </c>
      <c r="C8" s="1815">
        <f>'Acct Summary 7-8'!D8</f>
        <v>1123315</v>
      </c>
      <c r="D8" s="1815">
        <f>'Acct Summary 7-8'!F8</f>
        <v>1357555</v>
      </c>
      <c r="E8" s="1815">
        <f>'Acct Summary 7-8'!I8</f>
        <v>187760</v>
      </c>
      <c r="F8" s="1815">
        <f>SUM(B8:E8)</f>
        <v>19457676</v>
      </c>
    </row>
    <row r="9" spans="1:8" s="1079" customFormat="1" ht="14.25" customHeight="1" thickBot="1" x14ac:dyDescent="0.25">
      <c r="A9" s="1078" t="s">
        <v>1369</v>
      </c>
      <c r="B9" s="1816">
        <f>'Acct Summary 7-8'!C17</f>
        <v>15829032</v>
      </c>
      <c r="C9" s="1816">
        <f>'Acct Summary 7-8'!D17</f>
        <v>1182092</v>
      </c>
      <c r="D9" s="1816">
        <f>'Acct Summary 7-8'!F17</f>
        <v>2620101</v>
      </c>
      <c r="E9" s="1815"/>
      <c r="F9" s="1815">
        <f>SUM(B9:E9)</f>
        <v>19631225</v>
      </c>
    </row>
    <row r="10" spans="1:8" s="1079" customFormat="1" ht="14.25" thickTop="1" thickBot="1" x14ac:dyDescent="0.25">
      <c r="A10" s="1080" t="s">
        <v>1370</v>
      </c>
      <c r="B10" s="1817">
        <f>(B8-B9)</f>
        <v>960014</v>
      </c>
      <c r="C10" s="1817">
        <f>(C8-C9)</f>
        <v>-58777</v>
      </c>
      <c r="D10" s="1817">
        <f>(D8-D9)</f>
        <v>-1262546</v>
      </c>
      <c r="E10" s="1816">
        <f>(E8-E9)</f>
        <v>187760</v>
      </c>
      <c r="F10" s="1818">
        <f>SUM(F8-F9)</f>
        <v>-173549</v>
      </c>
    </row>
    <row r="11" spans="1:8" s="1079" customFormat="1" ht="14.25" thickTop="1" thickBot="1" x14ac:dyDescent="0.25">
      <c r="A11" s="1081" t="s">
        <v>1981</v>
      </c>
      <c r="B11" s="1819">
        <f>'Acct Summary 7-8'!C81</f>
        <v>1990617</v>
      </c>
      <c r="C11" s="1819">
        <f>'Acct Summary 7-8'!D81</f>
        <v>761276</v>
      </c>
      <c r="D11" s="1819">
        <f>'Acct Summary 7-8'!F81</f>
        <v>1443863</v>
      </c>
      <c r="E11" s="1819">
        <f>'Acct Summary 7-8'!I81</f>
        <v>6719583</v>
      </c>
      <c r="F11" s="1820">
        <f>SUM(B11:E11)</f>
        <v>10915339</v>
      </c>
    </row>
    <row r="12" spans="1:8" ht="16.5" customHeight="1" thickTop="1" x14ac:dyDescent="0.2">
      <c r="A12" s="1082"/>
      <c r="B12" s="1083"/>
      <c r="C12" s="2342" t="str">
        <f>IF(AND(F10&lt;0,F11&gt;=0,ABS(F10*3)&gt;ABS(F11)),A16,IF(AND(F10&lt;0,F11&gt;0,ABS(F10*3)&lt;=ABS(F11)),A17,IF(AND(F10&lt;0,F11&lt;0),A16,IF(F11=0,A19,A18))))</f>
        <v>Unbalanced -  however, a deficit reduction plan is not required at this time.</v>
      </c>
      <c r="D12" s="2343"/>
      <c r="E12" s="2343"/>
      <c r="F12" s="2344"/>
    </row>
    <row r="13" spans="1:8" ht="19.5" customHeight="1" x14ac:dyDescent="0.2">
      <c r="A13" s="1084"/>
      <c r="B13" s="1085"/>
      <c r="C13" s="2342"/>
      <c r="D13" s="2343"/>
      <c r="E13" s="2343"/>
      <c r="F13" s="2344"/>
      <c r="H13" s="1074"/>
    </row>
    <row r="14" spans="1:8" ht="19.5" customHeight="1" x14ac:dyDescent="0.2">
      <c r="A14" s="1084"/>
      <c r="B14" s="1085"/>
      <c r="C14" s="2342"/>
      <c r="D14" s="2343"/>
      <c r="E14" s="2343"/>
      <c r="F14" s="2344"/>
      <c r="H14" s="1074"/>
    </row>
    <row r="15" spans="1:8" ht="17.25" customHeight="1" x14ac:dyDescent="0.2">
      <c r="A15" s="1084"/>
      <c r="B15" s="1085"/>
      <c r="C15" s="2345"/>
      <c r="D15" s="2346"/>
      <c r="E15" s="2346"/>
      <c r="F15" s="2347"/>
      <c r="H15" s="1074"/>
    </row>
    <row r="16" spans="1:8" s="310" customFormat="1" ht="51.75" hidden="1" customHeight="1" x14ac:dyDescent="0.2">
      <c r="A16" s="2341" t="s">
        <v>1687</v>
      </c>
      <c r="B16" s="2341"/>
      <c r="C16" s="2341"/>
      <c r="D16" s="2341"/>
      <c r="E16" s="2341"/>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U31" sqref="U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3" t="s">
        <v>665</v>
      </c>
      <c r="B3" s="2364"/>
      <c r="C3" s="2364"/>
      <c r="D3" s="2365"/>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4" t="s">
        <v>1504</v>
      </c>
      <c r="D7" s="2375"/>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6" t="s">
        <v>1008</v>
      </c>
      <c r="B15" s="2367"/>
      <c r="C15" s="2367"/>
      <c r="D15" s="2368"/>
    </row>
    <row r="16" spans="1:4" s="668" customFormat="1" ht="24" customHeight="1" x14ac:dyDescent="0.2">
      <c r="A16" s="2369" t="s">
        <v>663</v>
      </c>
      <c r="B16" s="2370"/>
      <c r="C16" s="2370"/>
      <c r="D16" s="2371"/>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8" t="s">
        <v>314</v>
      </c>
      <c r="D21" s="2379"/>
    </row>
    <row r="22" spans="1:10" ht="12.75" x14ac:dyDescent="0.2">
      <c r="A22" s="1139"/>
      <c r="B22" s="1140">
        <v>2</v>
      </c>
      <c r="C22" s="2376" t="s">
        <v>1524</v>
      </c>
      <c r="D22" s="2377"/>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0" t="s">
        <v>536</v>
      </c>
      <c r="D43" s="2381"/>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2" t="s">
        <v>784</v>
      </c>
      <c r="D56" s="2373"/>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2" t="s">
        <v>1696</v>
      </c>
      <c r="D70" s="2373"/>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17053008026</v>
      </c>
    </row>
    <row r="3" spans="1:2" x14ac:dyDescent="0.2">
      <c r="A3" t="s">
        <v>956</v>
      </c>
      <c r="B3" s="138" t="str">
        <f>COVER!A15</f>
        <v>LIVINGSTON</v>
      </c>
    </row>
    <row r="4" spans="1:2" x14ac:dyDescent="0.2">
      <c r="A4" t="s">
        <v>1007</v>
      </c>
      <c r="B4" s="138" t="str">
        <f>COVER!A17</f>
        <v>Prairie Central CUSD 8</v>
      </c>
    </row>
    <row r="5" spans="1:2" x14ac:dyDescent="0.2">
      <c r="A5" t="s">
        <v>704</v>
      </c>
      <c r="B5" s="138" t="str">
        <f>COVER!A38</f>
        <v>PAULA CRANE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f>COVER!T23</f>
        <v>66.004384999999999</v>
      </c>
    </row>
    <row r="16" spans="1:2" x14ac:dyDescent="0.2">
      <c r="A16" t="s">
        <v>422</v>
      </c>
      <c r="B16" s="138" t="str">
        <f>COVER!T13</f>
        <v>FLOYD &amp; ASSOCIATES, CPAs</v>
      </c>
    </row>
    <row r="17" spans="1:2" x14ac:dyDescent="0.2">
      <c r="A17" t="s">
        <v>884</v>
      </c>
      <c r="B17" s="138" t="str">
        <f>COVER!T15</f>
        <v>JULIE M. FLOYD, CPA</v>
      </c>
    </row>
    <row r="18" spans="1:2" x14ac:dyDescent="0.2">
      <c r="A18" t="s">
        <v>1150</v>
      </c>
      <c r="B18" s="138" t="str">
        <f>COVER!T17</f>
        <v>910 STATE HIGHWAY 54 EAST</v>
      </c>
    </row>
    <row r="19" spans="1:2" x14ac:dyDescent="0.2">
      <c r="A19" t="s">
        <v>886</v>
      </c>
      <c r="B19" s="138" t="str">
        <f>COVER!T25</f>
        <v>julie.floyd@frontier.com</v>
      </c>
    </row>
    <row r="20" spans="1:2" x14ac:dyDescent="0.2">
      <c r="A20" t="s">
        <v>887</v>
      </c>
      <c r="B20" s="138" t="str">
        <f>COVER!T19</f>
        <v>CLINTON</v>
      </c>
    </row>
    <row r="21" spans="1:2" x14ac:dyDescent="0.2">
      <c r="A21" t="s">
        <v>479</v>
      </c>
      <c r="B21" s="138" t="str">
        <f>COVER!X19</f>
        <v>IL</v>
      </c>
    </row>
    <row r="22" spans="1:2" x14ac:dyDescent="0.2">
      <c r="A22" t="s">
        <v>888</v>
      </c>
      <c r="B22" s="138">
        <f>COVER!Z19</f>
        <v>61727</v>
      </c>
    </row>
    <row r="23" spans="1:2" x14ac:dyDescent="0.2">
      <c r="A23" t="s">
        <v>1152</v>
      </c>
      <c r="B23" s="138" t="str">
        <f>COVER!T21</f>
        <v>217-935-8871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1841330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1990617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1990617</v>
      </c>
      <c r="D92" s="2" t="str">
        <f t="shared" si="0"/>
        <v>Error?</v>
      </c>
    </row>
    <row r="93" spans="1:4" x14ac:dyDescent="0.2">
      <c r="A93" s="5">
        <v>32</v>
      </c>
      <c r="B93" s="138">
        <f>'Assets-Liab 5-6'!C41</f>
        <v>1990617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734239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761276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761276</v>
      </c>
      <c r="D123" s="2" t="str">
        <f t="shared" si="0"/>
        <v>Error?</v>
      </c>
    </row>
    <row r="124" spans="1:4" x14ac:dyDescent="0.2">
      <c r="A124" s="5">
        <v>63</v>
      </c>
      <c r="B124" s="138">
        <f>'Assets-Liab 5-6'!D41</f>
        <v>761276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350808</v>
      </c>
      <c r="D129" s="2" t="str">
        <f t="shared" si="1"/>
        <v>Error?</v>
      </c>
    </row>
    <row r="130" spans="1:4" x14ac:dyDescent="0.2">
      <c r="A130" s="5">
        <v>69</v>
      </c>
      <c r="B130" s="138">
        <f>'Assets-Liab 5-6'!E12</f>
        <v>0</v>
      </c>
      <c r="D130" s="2" t="str">
        <f t="shared" si="1"/>
        <v>Error?</v>
      </c>
    </row>
    <row r="131" spans="1:4" x14ac:dyDescent="0.2">
      <c r="A131" s="5">
        <v>70</v>
      </c>
      <c r="B131" s="138">
        <f>'Assets-Liab 5-6'!E13</f>
        <v>365263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365263</v>
      </c>
      <c r="D140" s="2" t="str">
        <f t="shared" si="1"/>
        <v>Error?</v>
      </c>
    </row>
    <row r="141" spans="1:4" x14ac:dyDescent="0.2">
      <c r="A141" s="5">
        <v>80</v>
      </c>
      <c r="B141" s="138">
        <f>'Assets-Liab 5-6'!E41</f>
        <v>365263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1431716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1443863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1443863</v>
      </c>
      <c r="D170" s="2" t="str">
        <f t="shared" si="1"/>
        <v>Error?</v>
      </c>
    </row>
    <row r="171" spans="1:4" x14ac:dyDescent="0.2">
      <c r="A171" s="5">
        <v>110</v>
      </c>
      <c r="B171" s="138">
        <f>'Assets-Liab 5-6'!F41</f>
        <v>1443863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909898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921624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921624</v>
      </c>
      <c r="D189" s="2" t="str">
        <f t="shared" si="1"/>
        <v>Error?</v>
      </c>
    </row>
    <row r="190" spans="1:4" x14ac:dyDescent="0.2">
      <c r="A190" s="5">
        <v>129</v>
      </c>
      <c r="B190" s="138">
        <f>'Assets-Liab 5-6'!G41</f>
        <v>921624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1019247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1040202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1040202</v>
      </c>
      <c r="D212" s="2" t="str">
        <f t="shared" si="2"/>
        <v>Error?</v>
      </c>
    </row>
    <row r="213" spans="1:4" x14ac:dyDescent="0.2">
      <c r="A213" s="12">
        <v>152</v>
      </c>
      <c r="B213" s="138">
        <f>'Assets-Liab 5-6'!H41</f>
        <v>1040202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441852</v>
      </c>
      <c r="D273" s="2" t="str">
        <f t="shared" si="3"/>
        <v>Error?</v>
      </c>
    </row>
    <row r="274" spans="1:4" x14ac:dyDescent="0.2">
      <c r="A274" s="5">
        <v>213</v>
      </c>
      <c r="B274" s="138">
        <f>'Assets-Liab 5-6'!M17</f>
        <v>27298398</v>
      </c>
      <c r="D274" s="2" t="str">
        <f t="shared" si="3"/>
        <v>Error?</v>
      </c>
    </row>
    <row r="275" spans="1:4" x14ac:dyDescent="0.2">
      <c r="A275" s="5">
        <v>214</v>
      </c>
      <c r="B275" s="138">
        <f>'Assets-Liab 5-6'!M18</f>
        <v>0</v>
      </c>
      <c r="D275" s="2" t="str">
        <f t="shared" si="3"/>
        <v>Error?</v>
      </c>
    </row>
    <row r="276" spans="1:4" x14ac:dyDescent="0.2">
      <c r="A276" s="5">
        <v>215</v>
      </c>
      <c r="B276" s="138">
        <f>'Assets-Liab 5-6'!M19</f>
        <v>9426720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37166970</v>
      </c>
      <c r="C279" s="2" t="s">
        <v>573</v>
      </c>
      <c r="D279" s="2" t="str">
        <f t="shared" si="3"/>
        <v>Error?</v>
      </c>
    </row>
    <row r="280" spans="1:4" x14ac:dyDescent="0.2">
      <c r="A280" s="5">
        <v>219</v>
      </c>
      <c r="B280" s="138">
        <f>'Assets-Liab 5-6'!M40</f>
        <v>37166970</v>
      </c>
      <c r="D280" s="2" t="str">
        <f t="shared" si="3"/>
        <v>Error?</v>
      </c>
    </row>
    <row r="281" spans="1:4" x14ac:dyDescent="0.2">
      <c r="A281" s="5">
        <v>220</v>
      </c>
      <c r="B281" s="138">
        <f>'Assets-Liab 5-6'!M41</f>
        <v>37166970</v>
      </c>
      <c r="C281" s="2" t="s">
        <v>573</v>
      </c>
      <c r="D281" s="2" t="str">
        <f t="shared" si="3"/>
        <v>Error?</v>
      </c>
    </row>
    <row r="282" spans="1:4" x14ac:dyDescent="0.2">
      <c r="A282" s="5">
        <v>221</v>
      </c>
      <c r="B282" s="138">
        <f>'Assets-Liab 5-6'!N21</f>
        <v>365263</v>
      </c>
      <c r="D282" s="2" t="str">
        <f t="shared" si="3"/>
        <v>Error?</v>
      </c>
    </row>
    <row r="283" spans="1:4" x14ac:dyDescent="0.2">
      <c r="A283" s="5">
        <v>222</v>
      </c>
      <c r="B283" s="138">
        <f>'Assets-Liab 5-6'!N22</f>
        <v>5630737</v>
      </c>
      <c r="D283" s="2" t="str">
        <f t="shared" si="3"/>
        <v>Error?</v>
      </c>
    </row>
    <row r="284" spans="1:4" x14ac:dyDescent="0.2">
      <c r="A284" s="5">
        <v>223</v>
      </c>
      <c r="B284" s="138">
        <f>'Assets-Liab 5-6'!N23</f>
        <v>5996000</v>
      </c>
      <c r="C284" s="2" t="s">
        <v>573</v>
      </c>
      <c r="D284" s="2" t="str">
        <f t="shared" si="3"/>
        <v>Error?</v>
      </c>
    </row>
    <row r="285" spans="1:4" x14ac:dyDescent="0.2">
      <c r="A285" s="5">
        <v>224</v>
      </c>
      <c r="B285" s="138">
        <f>'Assets-Liab 5-6'!N36</f>
        <v>5996000</v>
      </c>
      <c r="D285" s="2" t="str">
        <f t="shared" si="3"/>
        <v>Error?</v>
      </c>
    </row>
    <row r="286" spans="1:4" x14ac:dyDescent="0.2">
      <c r="A286" s="10">
        <v>225</v>
      </c>
      <c r="D286" s="2" t="str">
        <f t="shared" si="3"/>
        <v>OK</v>
      </c>
    </row>
    <row r="287" spans="1:4" x14ac:dyDescent="0.2">
      <c r="A287" s="5">
        <v>226</v>
      </c>
      <c r="B287" s="138">
        <f>'Assets-Liab 5-6'!N37</f>
        <v>5996000</v>
      </c>
      <c r="C287" s="2" t="s">
        <v>573</v>
      </c>
      <c r="D287" s="2" t="str">
        <f t="shared" si="3"/>
        <v>Error?</v>
      </c>
    </row>
    <row r="288" spans="1:4" x14ac:dyDescent="0.2">
      <c r="A288" s="5">
        <v>227</v>
      </c>
      <c r="B288" s="138">
        <f>'Assets-Liab 5-6'!N41</f>
        <v>5996000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5996000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5944980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578751</v>
      </c>
      <c r="D717" s="2" t="str">
        <f t="shared" si="10"/>
        <v>Error?</v>
      </c>
    </row>
    <row r="718" spans="1:4" x14ac:dyDescent="0.2">
      <c r="A718" s="5">
        <v>657</v>
      </c>
      <c r="B718" s="138">
        <f>'Expenditures 15-22'!C14</f>
        <v>492890</v>
      </c>
      <c r="D718" s="2" t="str">
        <f t="shared" si="10"/>
        <v>Error?</v>
      </c>
    </row>
    <row r="719" spans="1:4" x14ac:dyDescent="0.2">
      <c r="A719" s="5">
        <v>658</v>
      </c>
      <c r="B719" s="138">
        <f>'Expenditures 15-22'!C15</f>
        <v>3503</v>
      </c>
      <c r="D719" s="2" t="str">
        <f t="shared" si="10"/>
        <v>Error?</v>
      </c>
    </row>
    <row r="720" spans="1:4" x14ac:dyDescent="0.2">
      <c r="A720" s="5">
        <v>659</v>
      </c>
      <c r="B720" s="138">
        <f>'Expenditures 15-22'!C33</f>
        <v>9558529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194601</v>
      </c>
      <c r="D722" s="2" t="str">
        <f t="shared" si="10"/>
        <v>Error?</v>
      </c>
    </row>
    <row r="723" spans="1:4" x14ac:dyDescent="0.2">
      <c r="A723" s="5">
        <v>662</v>
      </c>
      <c r="B723" s="138">
        <f>'Expenditures 15-22'!C38</f>
        <v>2862</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162612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360075</v>
      </c>
      <c r="C727" s="2" t="s">
        <v>573</v>
      </c>
      <c r="D727" s="2" t="str">
        <f t="shared" si="10"/>
        <v>Error?</v>
      </c>
    </row>
    <row r="728" spans="1:4" x14ac:dyDescent="0.2">
      <c r="A728" s="5">
        <v>667</v>
      </c>
      <c r="B728" s="138">
        <f>'Expenditures 15-22'!C44</f>
        <v>295514</v>
      </c>
      <c r="D728" s="2" t="str">
        <f t="shared" si="10"/>
        <v>Error?</v>
      </c>
    </row>
    <row r="729" spans="1:4" x14ac:dyDescent="0.2">
      <c r="A729" s="5">
        <v>668</v>
      </c>
      <c r="B729" s="138">
        <f>'Expenditures 15-22'!C45</f>
        <v>256543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552057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110904</v>
      </c>
      <c r="D733" s="2" t="str">
        <f t="shared" si="10"/>
        <v>Error?</v>
      </c>
    </row>
    <row r="734" spans="1:4" x14ac:dyDescent="0.2">
      <c r="A734" s="5">
        <v>673</v>
      </c>
      <c r="B734" s="138">
        <f>'Expenditures 15-22'!C53</f>
        <v>110904</v>
      </c>
      <c r="C734" s="2" t="s">
        <v>573</v>
      </c>
      <c r="D734" s="2" t="str">
        <f t="shared" si="10"/>
        <v>Error?</v>
      </c>
    </row>
    <row r="735" spans="1:4" x14ac:dyDescent="0.2">
      <c r="A735" s="5">
        <v>674</v>
      </c>
      <c r="B735" s="138">
        <f>'Expenditures 15-22'!C55</f>
        <v>891127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891127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172952</v>
      </c>
      <c r="D739" s="2" t="str">
        <f t="shared" si="10"/>
        <v>Error?</v>
      </c>
    </row>
    <row r="740" spans="1:4" x14ac:dyDescent="0.2">
      <c r="A740" s="5">
        <v>679</v>
      </c>
      <c r="B740" s="138">
        <f>'Expenditures 15-22'!C61</f>
        <v>2635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318327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493914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2408077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11966606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594694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62536</v>
      </c>
      <c r="D775" s="2" t="str">
        <f t="shared" si="11"/>
        <v>Error?</v>
      </c>
    </row>
    <row r="776" spans="1:4" x14ac:dyDescent="0.2">
      <c r="A776" s="5">
        <v>715</v>
      </c>
      <c r="B776" s="138">
        <f>'Expenditures 15-22'!D14</f>
        <v>35580</v>
      </c>
      <c r="D776" s="2" t="str">
        <f t="shared" si="11"/>
        <v>Error?</v>
      </c>
    </row>
    <row r="777" spans="1:4" x14ac:dyDescent="0.2">
      <c r="A777" s="5">
        <v>716</v>
      </c>
      <c r="B777" s="138">
        <f>'Expenditures 15-22'!D15</f>
        <v>45</v>
      </c>
      <c r="D777" s="2" t="str">
        <f t="shared" si="11"/>
        <v>Error?</v>
      </c>
    </row>
    <row r="778" spans="1:4" x14ac:dyDescent="0.2">
      <c r="A778" s="5">
        <v>717</v>
      </c>
      <c r="B778" s="138">
        <f>'Expenditures 15-22'!D33</f>
        <v>1007746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18825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21885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40710</v>
      </c>
      <c r="C785" s="2" t="s">
        <v>573</v>
      </c>
      <c r="D785" s="2" t="str">
        <f t="shared" si="11"/>
        <v>Error?</v>
      </c>
    </row>
    <row r="786" spans="1:4" x14ac:dyDescent="0.2">
      <c r="A786" s="5">
        <v>725</v>
      </c>
      <c r="B786" s="138">
        <f>'Expenditures 15-22'!D44</f>
        <v>28709</v>
      </c>
      <c r="D786" s="2" t="str">
        <f t="shared" si="11"/>
        <v>Error?</v>
      </c>
    </row>
    <row r="787" spans="1:4" x14ac:dyDescent="0.2">
      <c r="A787" s="5">
        <v>726</v>
      </c>
      <c r="B787" s="138">
        <f>'Expenditures 15-22'!D45</f>
        <v>33234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61943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14326</v>
      </c>
      <c r="D791" s="2" t="str">
        <f t="shared" si="11"/>
        <v>Error?</v>
      </c>
    </row>
    <row r="792" spans="1:4" x14ac:dyDescent="0.2">
      <c r="A792" s="5">
        <v>731</v>
      </c>
      <c r="B792" s="138">
        <f>'Expenditures 15-22'!D53</f>
        <v>14326</v>
      </c>
      <c r="C792" s="2" t="s">
        <v>573</v>
      </c>
      <c r="D792" s="2" t="str">
        <f t="shared" si="11"/>
        <v>Error?</v>
      </c>
    </row>
    <row r="793" spans="1:4" x14ac:dyDescent="0.2">
      <c r="A793" s="5">
        <v>732</v>
      </c>
      <c r="B793" s="138">
        <f>'Expenditures 15-22'!D55</f>
        <v>123939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123939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19422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44595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64017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304935</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1312681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62992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564</v>
      </c>
      <c r="D833" s="2" t="str">
        <f t="shared" si="12"/>
        <v>Error?</v>
      </c>
    </row>
    <row r="834" spans="1:4" x14ac:dyDescent="0.2">
      <c r="A834" s="5">
        <v>773</v>
      </c>
      <c r="B834" s="138">
        <f>'Expenditures 15-22'!E14</f>
        <v>44500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570526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18829</v>
      </c>
      <c r="D838" s="2" t="str">
        <f t="shared" si="12"/>
        <v>Error?</v>
      </c>
    </row>
    <row r="839" spans="1:4" x14ac:dyDescent="0.2">
      <c r="A839" s="5">
        <v>778</v>
      </c>
      <c r="B839" s="138">
        <f>'Expenditures 15-22'!E38</f>
        <v>27210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46039</v>
      </c>
      <c r="C843" s="2" t="s">
        <v>573</v>
      </c>
      <c r="D843" s="2" t="str">
        <f t="shared" si="12"/>
        <v>Error?</v>
      </c>
    </row>
    <row r="844" spans="1:4" x14ac:dyDescent="0.2">
      <c r="A844" s="5">
        <v>783</v>
      </c>
      <c r="B844" s="138">
        <f>'Expenditures 15-22'!E44</f>
        <v>108300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108300</v>
      </c>
      <c r="C847" s="2" t="s">
        <v>573</v>
      </c>
      <c r="D847" s="2" t="str">
        <f t="shared" si="12"/>
        <v>Error?</v>
      </c>
    </row>
    <row r="848" spans="1:4" x14ac:dyDescent="0.2">
      <c r="A848" s="5">
        <v>787</v>
      </c>
      <c r="B848" s="138">
        <f>'Expenditures 15-22'!E49</f>
        <v>23283</v>
      </c>
      <c r="D848" s="2" t="str">
        <f t="shared" si="12"/>
        <v>Error?</v>
      </c>
    </row>
    <row r="849" spans="1:4" x14ac:dyDescent="0.2">
      <c r="A849" s="5">
        <v>788</v>
      </c>
      <c r="B849" s="138">
        <f>'Expenditures 15-22'!E50</f>
        <v>7772</v>
      </c>
      <c r="D849" s="2" t="str">
        <f t="shared" si="12"/>
        <v>Error?</v>
      </c>
    </row>
    <row r="850" spans="1:4" x14ac:dyDescent="0.2">
      <c r="A850" s="5">
        <v>789</v>
      </c>
      <c r="B850" s="138">
        <f>'Expenditures 15-22'!E53</f>
        <v>31055</v>
      </c>
      <c r="C850" s="2" t="s">
        <v>573</v>
      </c>
      <c r="D850" s="2" t="str">
        <f t="shared" si="12"/>
        <v>Error?</v>
      </c>
    </row>
    <row r="851" spans="1:4" x14ac:dyDescent="0.2">
      <c r="A851" s="5">
        <v>790</v>
      </c>
      <c r="B851" s="138">
        <f>'Expenditures 15-22'!E55</f>
        <v>71090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71090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9778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18402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28180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284664</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855190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295766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23304</v>
      </c>
      <c r="D891" s="2" t="str">
        <f t="shared" si="12"/>
        <v>Error?</v>
      </c>
    </row>
    <row r="892" spans="1:4" x14ac:dyDescent="0.2">
      <c r="A892" s="5">
        <v>831</v>
      </c>
      <c r="B892" s="138">
        <f>'Expenditures 15-22'!F14</f>
        <v>40151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442411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2909</v>
      </c>
      <c r="D896" s="2" t="str">
        <f t="shared" si="13"/>
        <v>Error?</v>
      </c>
    </row>
    <row r="897" spans="1:4" x14ac:dyDescent="0.2">
      <c r="A897" s="5">
        <v>836</v>
      </c>
      <c r="B897" s="138">
        <f>'Expenditures 15-22'!F38</f>
        <v>1283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4192</v>
      </c>
      <c r="C901" s="2" t="s">
        <v>573</v>
      </c>
      <c r="D901" s="2" t="str">
        <f t="shared" si="13"/>
        <v>Error?</v>
      </c>
    </row>
    <row r="902" spans="1:4" x14ac:dyDescent="0.2">
      <c r="A902" s="5">
        <v>841</v>
      </c>
      <c r="B902" s="138">
        <f>'Expenditures 15-22'!F44</f>
        <v>56330</v>
      </c>
      <c r="D902" s="2" t="str">
        <f t="shared" si="13"/>
        <v>Error?</v>
      </c>
    </row>
    <row r="903" spans="1:4" x14ac:dyDescent="0.2">
      <c r="A903" s="5">
        <v>842</v>
      </c>
      <c r="B903" s="138">
        <f>'Expenditures 15-22'!F45</f>
        <v>15664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71994</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2015</v>
      </c>
      <c r="D907" s="2" t="str">
        <f t="shared" si="13"/>
        <v>Error?</v>
      </c>
    </row>
    <row r="908" spans="1:4" x14ac:dyDescent="0.2">
      <c r="A908" s="5">
        <v>847</v>
      </c>
      <c r="B908" s="138">
        <f>'Expenditures 15-22'!F53</f>
        <v>2015</v>
      </c>
      <c r="C908" s="2" t="s">
        <v>573</v>
      </c>
      <c r="D908" s="2" t="str">
        <f t="shared" si="13"/>
        <v>Error?</v>
      </c>
    </row>
    <row r="909" spans="1:4" x14ac:dyDescent="0.2">
      <c r="A909" s="5">
        <v>848</v>
      </c>
      <c r="B909" s="138">
        <f>'Expenditures 15-22'!F55</f>
        <v>5183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5183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2525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286153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288678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372062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814473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10200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10200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1640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1640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1640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11840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14327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14935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13098</v>
      </c>
      <c r="D1022" s="2" t="str">
        <f t="shared" si="14"/>
        <v>Error?</v>
      </c>
    </row>
    <row r="1023" spans="1:4" x14ac:dyDescent="0.2">
      <c r="A1023" s="5">
        <v>962</v>
      </c>
      <c r="B1023" s="138">
        <f>'Expenditures 15-22'!H50</f>
        <v>3235</v>
      </c>
      <c r="D1023" s="2" t="str">
        <f t="shared" ref="D1023:D1086" si="15">IF(ISBLANK(B1023),"OK",IF(A1023-B1023=0,"OK","Error?"))</f>
        <v>Error?</v>
      </c>
    </row>
    <row r="1024" spans="1:4" x14ac:dyDescent="0.2">
      <c r="A1024" s="5">
        <v>963</v>
      </c>
      <c r="B1024" s="138">
        <f>'Expenditures 15-22'!H53</f>
        <v>16333</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16333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836974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868242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6898432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675355</v>
      </c>
      <c r="C1105" s="2" t="s">
        <v>573</v>
      </c>
      <c r="D1105" s="2" t="str">
        <f t="shared" si="16"/>
        <v>Error?</v>
      </c>
    </row>
    <row r="1106" spans="1:4" x14ac:dyDescent="0.2">
      <c r="A1106" s="5">
        <v>1045</v>
      </c>
      <c r="B1106" s="138">
        <f>'Expenditures 15-22'!K14</f>
        <v>627448</v>
      </c>
      <c r="C1106" s="2" t="s">
        <v>573</v>
      </c>
      <c r="D1106" s="2" t="str">
        <f t="shared" si="16"/>
        <v>Error?</v>
      </c>
    </row>
    <row r="1107" spans="1:4" x14ac:dyDescent="0.2">
      <c r="A1107" s="5">
        <v>1046</v>
      </c>
      <c r="B1107" s="138">
        <f>'Expenditures 15-22'!K15</f>
        <v>3548</v>
      </c>
      <c r="C1107" s="2" t="s">
        <v>573</v>
      </c>
      <c r="D1107" s="2" t="str">
        <f t="shared" si="16"/>
        <v>Error?</v>
      </c>
    </row>
    <row r="1108" spans="1:4" x14ac:dyDescent="0.2">
      <c r="A1108" s="5">
        <v>1047</v>
      </c>
      <c r="B1108" s="138">
        <f>'Expenditures 15-22'!K33</f>
        <v>11604347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235164</v>
      </c>
      <c r="C1110" s="2" t="s">
        <v>573</v>
      </c>
      <c r="D1110" s="2" t="str">
        <f t="shared" si="16"/>
        <v>Error?</v>
      </c>
    </row>
    <row r="1111" spans="1:4" x14ac:dyDescent="0.2">
      <c r="A1111" s="5">
        <v>1050</v>
      </c>
      <c r="B1111" s="138">
        <f>'Expenditures 15-22'!K38</f>
        <v>31355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184497</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451016</v>
      </c>
      <c r="C1115" s="2" t="s">
        <v>573</v>
      </c>
      <c r="D1115" s="2" t="str">
        <f t="shared" si="16"/>
        <v>Error?</v>
      </c>
    </row>
    <row r="1116" spans="1:4" x14ac:dyDescent="0.2">
      <c r="A1116" s="5">
        <v>1055</v>
      </c>
      <c r="B1116" s="138">
        <f>'Expenditures 15-22'!K44</f>
        <v>488853</v>
      </c>
      <c r="C1116" s="2" t="s">
        <v>573</v>
      </c>
      <c r="D1116" s="2" t="str">
        <f t="shared" si="16"/>
        <v>Error?</v>
      </c>
    </row>
    <row r="1117" spans="1:4" x14ac:dyDescent="0.2">
      <c r="A1117" s="5">
        <v>1056</v>
      </c>
      <c r="B1117" s="138">
        <f>'Expenditures 15-22'!K45</f>
        <v>305441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794294</v>
      </c>
      <c r="C1119" s="2" t="s">
        <v>573</v>
      </c>
      <c r="D1119" s="2" t="str">
        <f t="shared" si="16"/>
        <v>Error?</v>
      </c>
    </row>
    <row r="1120" spans="1:4" x14ac:dyDescent="0.2">
      <c r="A1120" s="5">
        <v>1059</v>
      </c>
      <c r="B1120" s="138">
        <f>'Expenditures 15-22'!K49</f>
        <v>36381</v>
      </c>
      <c r="C1120" s="2" t="s">
        <v>573</v>
      </c>
      <c r="D1120" s="2" t="str">
        <f t="shared" si="16"/>
        <v>Error?</v>
      </c>
    </row>
    <row r="1121" spans="1:4" x14ac:dyDescent="0.2">
      <c r="A1121" s="5">
        <v>1060</v>
      </c>
      <c r="B1121" s="138">
        <f>'Expenditures 15-22'!K50</f>
        <v>138252</v>
      </c>
      <c r="C1121" s="2" t="s">
        <v>573</v>
      </c>
      <c r="D1121" s="2" t="str">
        <f t="shared" si="16"/>
        <v>Error?</v>
      </c>
    </row>
    <row r="1122" spans="1:4" x14ac:dyDescent="0.2">
      <c r="A1122" s="5">
        <v>1061</v>
      </c>
      <c r="B1122" s="138">
        <f>'Expenditures 15-22'!K53</f>
        <v>174633</v>
      </c>
      <c r="C1122" s="2" t="s">
        <v>573</v>
      </c>
      <c r="D1122" s="2" t="str">
        <f t="shared" si="16"/>
        <v>Error?</v>
      </c>
    </row>
    <row r="1123" spans="1:4" x14ac:dyDescent="0.2">
      <c r="A1123" s="5">
        <v>1062</v>
      </c>
      <c r="B1123" s="138">
        <f>'Expenditures 15-22'!K55</f>
        <v>1091339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1091339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204677</v>
      </c>
      <c r="C1127" s="2" t="s">
        <v>573</v>
      </c>
      <c r="D1127" s="2" t="str">
        <f t="shared" si="16"/>
        <v>Error?</v>
      </c>
    </row>
    <row r="1128" spans="1:4" x14ac:dyDescent="0.2">
      <c r="A1128" s="5">
        <v>1067</v>
      </c>
      <c r="B1128" s="138">
        <f>'Expenditures 15-22'!K61</f>
        <v>2635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669117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876429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3387711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836974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15829032</v>
      </c>
      <c r="C1152" s="2" t="s">
        <v>573</v>
      </c>
      <c r="D1152" s="2" t="str">
        <f t="shared" si="17"/>
        <v>Error?</v>
      </c>
    </row>
    <row r="1153" spans="1:4" x14ac:dyDescent="0.2">
      <c r="A1153" s="5">
        <v>1092</v>
      </c>
      <c r="B1153" s="138">
        <f>'Expenditures 15-22'!K115</f>
        <v>960014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558972</v>
      </c>
      <c r="D1221" s="2" t="str">
        <f t="shared" si="18"/>
        <v>Error?</v>
      </c>
    </row>
    <row r="1222" spans="1:4" x14ac:dyDescent="0.2">
      <c r="A1222" s="10">
        <v>1161</v>
      </c>
      <c r="D1222" s="2" t="str">
        <f t="shared" si="18"/>
        <v>OK</v>
      </c>
    </row>
    <row r="1223" spans="1:4" x14ac:dyDescent="0.2">
      <c r="A1223" s="5">
        <v>1162</v>
      </c>
      <c r="B1223" s="138">
        <f>'Expenditures 15-22'!C127</f>
        <v>558972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558972</v>
      </c>
      <c r="C1225" s="2" t="s">
        <v>573</v>
      </c>
      <c r="D1225" s="2" t="str">
        <f t="shared" si="18"/>
        <v>Error?</v>
      </c>
    </row>
    <row r="1226" spans="1:4" x14ac:dyDescent="0.2">
      <c r="A1226" s="5">
        <v>1165</v>
      </c>
      <c r="B1226" s="138">
        <f>'Expenditures 15-22'!C151</f>
        <v>558972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71742</v>
      </c>
      <c r="D1229" s="2" t="str">
        <f t="shared" si="18"/>
        <v>Error?</v>
      </c>
    </row>
    <row r="1230" spans="1:4" x14ac:dyDescent="0.2">
      <c r="A1230" s="10">
        <v>1169</v>
      </c>
      <c r="D1230" s="2" t="str">
        <f t="shared" si="18"/>
        <v>OK</v>
      </c>
    </row>
    <row r="1231" spans="1:4" x14ac:dyDescent="0.2">
      <c r="A1231" s="5">
        <v>1170</v>
      </c>
      <c r="B1231" s="138">
        <f>'Expenditures 15-22'!D127</f>
        <v>71742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71742</v>
      </c>
      <c r="C1233" s="2" t="s">
        <v>573</v>
      </c>
      <c r="D1233" s="2" t="str">
        <f t="shared" si="18"/>
        <v>Error?</v>
      </c>
    </row>
    <row r="1234" spans="1:4" x14ac:dyDescent="0.2">
      <c r="A1234" s="5">
        <v>1173</v>
      </c>
      <c r="B1234" s="138">
        <f>'Expenditures 15-22'!D151</f>
        <v>71742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184915</v>
      </c>
      <c r="D1237" s="2" t="str">
        <f t="shared" si="18"/>
        <v>Error?</v>
      </c>
    </row>
    <row r="1238" spans="1:4" x14ac:dyDescent="0.2">
      <c r="A1238" s="10">
        <v>1177</v>
      </c>
      <c r="D1238" s="2" t="str">
        <f t="shared" si="18"/>
        <v>OK</v>
      </c>
    </row>
    <row r="1239" spans="1:4" x14ac:dyDescent="0.2">
      <c r="A1239" s="5">
        <v>1178</v>
      </c>
      <c r="B1239" s="138">
        <f>'Expenditures 15-22'!E127</f>
        <v>184915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184915</v>
      </c>
      <c r="C1241" s="2" t="s">
        <v>573</v>
      </c>
      <c r="D1241" s="2" t="str">
        <f t="shared" si="18"/>
        <v>Error?</v>
      </c>
    </row>
    <row r="1242" spans="1:4" x14ac:dyDescent="0.2">
      <c r="A1242" s="5">
        <v>1181</v>
      </c>
      <c r="B1242" s="138">
        <f>'Expenditures 15-22'!E151</f>
        <v>184915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360309</v>
      </c>
      <c r="D1245" s="2" t="str">
        <f t="shared" si="18"/>
        <v>Error?</v>
      </c>
    </row>
    <row r="1246" spans="1:4" x14ac:dyDescent="0.2">
      <c r="A1246" s="10">
        <v>1185</v>
      </c>
      <c r="D1246" s="2" t="str">
        <f t="shared" si="18"/>
        <v>OK</v>
      </c>
    </row>
    <row r="1247" spans="1:4" x14ac:dyDescent="0.2">
      <c r="A1247" s="5">
        <v>1186</v>
      </c>
      <c r="B1247" s="138">
        <f>'Expenditures 15-22'!F127</f>
        <v>360309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360309</v>
      </c>
      <c r="C1249" s="2" t="s">
        <v>573</v>
      </c>
      <c r="D1249" s="2" t="str">
        <f t="shared" si="18"/>
        <v>Error?</v>
      </c>
    </row>
    <row r="1250" spans="1:4" x14ac:dyDescent="0.2">
      <c r="A1250" s="5">
        <v>1189</v>
      </c>
      <c r="B1250" s="138">
        <f>'Expenditures 15-22'!F151</f>
        <v>360309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6154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6154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6154</v>
      </c>
      <c r="C1258" s="2" t="s">
        <v>573</v>
      </c>
      <c r="D1258" s="2" t="str">
        <f t="shared" si="18"/>
        <v>Error?</v>
      </c>
    </row>
    <row r="1259" spans="1:4" x14ac:dyDescent="0.2">
      <c r="A1259" s="5">
        <v>1198</v>
      </c>
      <c r="B1259" s="138">
        <f>'Expenditures 15-22'!G151</f>
        <v>6154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1182092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1182092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1182092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1182092</v>
      </c>
      <c r="C1288" s="2" t="s">
        <v>573</v>
      </c>
      <c r="D1288" s="2" t="str">
        <f t="shared" si="19"/>
        <v>Error?</v>
      </c>
    </row>
    <row r="1289" spans="1:4" x14ac:dyDescent="0.2">
      <c r="A1289" s="5">
        <v>1228</v>
      </c>
      <c r="B1289" s="138">
        <f>'Expenditures 15-22'!K152</f>
        <v>-58777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35325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1570000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1605825</v>
      </c>
      <c r="C1317" s="2" t="s">
        <v>573</v>
      </c>
      <c r="D1317" s="2" t="str">
        <f t="shared" si="19"/>
        <v>Error?</v>
      </c>
    </row>
    <row r="1318" spans="1:4" x14ac:dyDescent="0.2">
      <c r="A1318" s="5">
        <v>1257</v>
      </c>
      <c r="B1318" s="138">
        <f>'Expenditures 15-22'!H174</f>
        <v>1605825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35325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1570000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1605825</v>
      </c>
      <c r="C1331" s="2" t="s">
        <v>573</v>
      </c>
      <c r="D1331" s="2" t="str">
        <f t="shared" si="19"/>
        <v>Error?</v>
      </c>
    </row>
    <row r="1332" spans="1:4" x14ac:dyDescent="0.2">
      <c r="A1332" s="5">
        <v>1271</v>
      </c>
      <c r="B1332" s="138">
        <f>'Expenditures 15-22'!K174</f>
        <v>1605825</v>
      </c>
      <c r="C1332" s="2" t="s">
        <v>573</v>
      </c>
      <c r="D1332" s="2" t="str">
        <f t="shared" si="19"/>
        <v>Error?</v>
      </c>
    </row>
    <row r="1333" spans="1:4" x14ac:dyDescent="0.2">
      <c r="A1333" s="5">
        <v>1272</v>
      </c>
      <c r="B1333" s="138">
        <f>'Expenditures 15-22'!K175</f>
        <v>219021</v>
      </c>
      <c r="C1333" s="2" t="s">
        <v>573</v>
      </c>
      <c r="D1333" s="2" t="str">
        <f t="shared" si="19"/>
        <v>Error?</v>
      </c>
    </row>
    <row r="1334" spans="1:4" x14ac:dyDescent="0.2">
      <c r="A1334" s="10">
        <v>1273</v>
      </c>
      <c r="D1334" s="2" t="str">
        <f t="shared" si="19"/>
        <v>OK</v>
      </c>
    </row>
    <row r="1335" spans="1:4" x14ac:dyDescent="0.2">
      <c r="A1335" s="5">
        <v>1274</v>
      </c>
      <c r="B1335" s="138">
        <f>'Expenditures 15-22'!C182</f>
        <v>641876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641876</v>
      </c>
      <c r="C1339" s="2" t="s">
        <v>573</v>
      </c>
      <c r="D1339" s="2" t="str">
        <f t="shared" si="19"/>
        <v>Error?</v>
      </c>
    </row>
    <row r="1340" spans="1:4" x14ac:dyDescent="0.2">
      <c r="A1340" s="5">
        <v>1279</v>
      </c>
      <c r="B1340" s="138">
        <f>'Expenditures 15-22'!C210</f>
        <v>641876</v>
      </c>
      <c r="C1340" s="2" t="s">
        <v>573</v>
      </c>
      <c r="D1340" s="2" t="str">
        <f t="shared" si="19"/>
        <v>Error?</v>
      </c>
    </row>
    <row r="1341" spans="1:4" x14ac:dyDescent="0.2">
      <c r="A1341" s="5">
        <v>1280</v>
      </c>
      <c r="B1341" s="138">
        <f>'Expenditures 15-22'!D182</f>
        <v>73077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73077</v>
      </c>
      <c r="C1345" s="2" t="s">
        <v>573</v>
      </c>
      <c r="D1345" s="2" t="str">
        <f t="shared" si="20"/>
        <v>Error?</v>
      </c>
    </row>
    <row r="1346" spans="1:4" x14ac:dyDescent="0.2">
      <c r="A1346" s="5">
        <v>1285</v>
      </c>
      <c r="B1346" s="138">
        <f>'Expenditures 15-22'!D210</f>
        <v>73077</v>
      </c>
      <c r="C1346" s="2" t="s">
        <v>573</v>
      </c>
      <c r="D1346" s="2" t="str">
        <f t="shared" si="20"/>
        <v>Error?</v>
      </c>
    </row>
    <row r="1347" spans="1:4" x14ac:dyDescent="0.2">
      <c r="A1347" s="5">
        <v>1286</v>
      </c>
      <c r="B1347" s="138">
        <f>'Expenditures 15-22'!E182</f>
        <v>178740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178740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178740</v>
      </c>
      <c r="C1353" s="2" t="s">
        <v>573</v>
      </c>
      <c r="D1353" s="2" t="str">
        <f t="shared" si="20"/>
        <v>Error?</v>
      </c>
    </row>
    <row r="1354" spans="1:4" x14ac:dyDescent="0.2">
      <c r="A1354" s="5">
        <v>1293</v>
      </c>
      <c r="B1354" s="138">
        <f>'Expenditures 15-22'!F182</f>
        <v>152620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152620</v>
      </c>
      <c r="C1358" s="2" t="s">
        <v>573</v>
      </c>
      <c r="D1358" s="2" t="str">
        <f t="shared" si="20"/>
        <v>Error?</v>
      </c>
    </row>
    <row r="1359" spans="1:4" x14ac:dyDescent="0.2">
      <c r="A1359" s="5">
        <v>1298</v>
      </c>
      <c r="B1359" s="138">
        <f>'Expenditures 15-22'!F210</f>
        <v>152620</v>
      </c>
      <c r="C1359" s="2" t="s">
        <v>573</v>
      </c>
      <c r="D1359" s="2" t="str">
        <f t="shared" si="20"/>
        <v>Error?</v>
      </c>
    </row>
    <row r="1360" spans="1:4" x14ac:dyDescent="0.2">
      <c r="A1360" s="5">
        <v>1299</v>
      </c>
      <c r="B1360" s="138">
        <f>'Expenditures 15-22'!G182</f>
        <v>1512601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1512601</v>
      </c>
      <c r="C1364" s="2" t="s">
        <v>573</v>
      </c>
      <c r="D1364" s="2" t="str">
        <f t="shared" si="20"/>
        <v>Error?</v>
      </c>
    </row>
    <row r="1365" spans="1:4" x14ac:dyDescent="0.2">
      <c r="A1365" s="5">
        <v>1304</v>
      </c>
      <c r="B1365" s="138">
        <f>'Expenditures 15-22'!G210</f>
        <v>1512601</v>
      </c>
      <c r="C1365" s="2" t="s">
        <v>573</v>
      </c>
      <c r="D1365" s="2" t="str">
        <f t="shared" si="20"/>
        <v>Error?</v>
      </c>
    </row>
    <row r="1366" spans="1:4" x14ac:dyDescent="0.2">
      <c r="A1366" s="5">
        <v>1305</v>
      </c>
      <c r="B1366" s="138">
        <f>'Expenditures 15-22'!H182</f>
        <v>2987</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2987</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2987</v>
      </c>
      <c r="C1376" s="2" t="s">
        <v>573</v>
      </c>
      <c r="D1376" s="2" t="str">
        <f t="shared" si="20"/>
        <v>Error?</v>
      </c>
    </row>
    <row r="1377" spans="1:4" x14ac:dyDescent="0.2">
      <c r="A1377" s="5">
        <v>1316</v>
      </c>
      <c r="B1377" s="138">
        <f>'Expenditures 15-22'!K182</f>
        <v>2620101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2620101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2620101</v>
      </c>
      <c r="C1388" s="2" t="s">
        <v>573</v>
      </c>
      <c r="D1388" s="2" t="str">
        <f t="shared" si="20"/>
        <v>Error?</v>
      </c>
    </row>
    <row r="1389" spans="1:4" x14ac:dyDescent="0.2">
      <c r="A1389" s="5">
        <v>1328</v>
      </c>
      <c r="B1389" s="138">
        <f>'Expenditures 15-22'!K211</f>
        <v>-1262546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9357</v>
      </c>
      <c r="D1407" s="2" t="str">
        <f t="shared" ref="D1407:D1470" si="21">IF(ISBLANK(B1407),"OK",IF(A1407-B1407=0,"OK","Error?"))</f>
        <v>Error?</v>
      </c>
    </row>
    <row r="1408" spans="1:4" x14ac:dyDescent="0.2">
      <c r="A1408" s="5">
        <v>1347</v>
      </c>
      <c r="B1408" s="138">
        <f>'Expenditures 15-22'!D223</f>
        <v>11963</v>
      </c>
      <c r="D1408" s="2" t="str">
        <f t="shared" si="21"/>
        <v>Error?</v>
      </c>
    </row>
    <row r="1409" spans="1:4" x14ac:dyDescent="0.2">
      <c r="A1409" s="5">
        <v>1348</v>
      </c>
      <c r="B1409" s="138">
        <f>'Expenditures 15-22'!D224</f>
        <v>249</v>
      </c>
      <c r="D1409" s="2" t="str">
        <f t="shared" si="21"/>
        <v>Error?</v>
      </c>
    </row>
    <row r="1410" spans="1:4" x14ac:dyDescent="0.2">
      <c r="A1410" s="5">
        <v>1349</v>
      </c>
      <c r="B1410" s="138">
        <f>'Expenditures 15-22'!D229</f>
        <v>261637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5750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2490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8240</v>
      </c>
      <c r="C1417" s="2" t="s">
        <v>573</v>
      </c>
      <c r="D1417" s="2" t="str">
        <f t="shared" si="21"/>
        <v>Error?</v>
      </c>
    </row>
    <row r="1418" spans="1:4" x14ac:dyDescent="0.2">
      <c r="A1418" s="5">
        <v>1357</v>
      </c>
      <c r="B1418" s="138">
        <f>'Expenditures 15-22'!D240</f>
        <v>25596</v>
      </c>
      <c r="D1418" s="2" t="str">
        <f t="shared" si="21"/>
        <v>Error?</v>
      </c>
    </row>
    <row r="1419" spans="1:4" x14ac:dyDescent="0.2">
      <c r="A1419" s="5">
        <v>1358</v>
      </c>
      <c r="B1419" s="138">
        <f>'Expenditures 15-22'!D241</f>
        <v>7499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33095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1592</v>
      </c>
      <c r="D1423" s="2" t="str">
        <f t="shared" si="21"/>
        <v>Error?</v>
      </c>
    </row>
    <row r="1424" spans="1:4" x14ac:dyDescent="0.2">
      <c r="A1424" s="5">
        <v>1363</v>
      </c>
      <c r="B1424" s="138">
        <f>'Expenditures 15-22'!D257</f>
        <v>1592</v>
      </c>
      <c r="C1424" s="2" t="s">
        <v>573</v>
      </c>
      <c r="D1424" s="2" t="str">
        <f t="shared" si="21"/>
        <v>Error?</v>
      </c>
    </row>
    <row r="1425" spans="1:4" x14ac:dyDescent="0.2">
      <c r="A1425" s="5">
        <v>1364</v>
      </c>
      <c r="B1425" s="138">
        <f>'Expenditures 15-22'!D259</f>
        <v>52135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52135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29657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104171</v>
      </c>
      <c r="D1431" s="2" t="str">
        <f t="shared" si="21"/>
        <v>Error?</v>
      </c>
    </row>
    <row r="1432" spans="1:4" x14ac:dyDescent="0.2">
      <c r="A1432" s="5">
        <v>1371</v>
      </c>
      <c r="B1432" s="138">
        <f>'Expenditures 15-22'!D267</f>
        <v>108357</v>
      </c>
      <c r="D1432" s="2" t="str">
        <f t="shared" si="21"/>
        <v>Error?</v>
      </c>
    </row>
    <row r="1433" spans="1:4" x14ac:dyDescent="0.2">
      <c r="A1433" s="5">
        <v>1372</v>
      </c>
      <c r="B1433" s="138">
        <f>'Expenditures 15-22'!D268</f>
        <v>60232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302417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397479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659116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9357</v>
      </c>
      <c r="C1471" s="2" t="s">
        <v>573</v>
      </c>
      <c r="D1471" s="2" t="str">
        <f t="shared" ref="D1471:D1534" si="22">IF(ISBLANK(B1471),"OK",IF(A1471-B1471=0,"OK","Error?"))</f>
        <v>Error?</v>
      </c>
    </row>
    <row r="1472" spans="1:4" x14ac:dyDescent="0.2">
      <c r="A1472" s="5">
        <v>1411</v>
      </c>
      <c r="B1472" s="138">
        <f>'Expenditures 15-22'!K223</f>
        <v>11963</v>
      </c>
      <c r="C1472" s="2" t="s">
        <v>573</v>
      </c>
      <c r="D1472" s="2" t="str">
        <f t="shared" si="22"/>
        <v>Error?</v>
      </c>
    </row>
    <row r="1473" spans="1:4" x14ac:dyDescent="0.2">
      <c r="A1473" s="5">
        <v>1412</v>
      </c>
      <c r="B1473" s="138">
        <f>'Expenditures 15-22'!K224</f>
        <v>249</v>
      </c>
      <c r="C1473" s="2" t="s">
        <v>573</v>
      </c>
      <c r="D1473" s="2" t="str">
        <f t="shared" si="22"/>
        <v>Error?</v>
      </c>
    </row>
    <row r="1474" spans="1:4" x14ac:dyDescent="0.2">
      <c r="A1474" s="5">
        <v>1413</v>
      </c>
      <c r="B1474" s="138">
        <f>'Expenditures 15-22'!K229</f>
        <v>261637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5750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2490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8240</v>
      </c>
      <c r="C1481" s="2" t="s">
        <v>573</v>
      </c>
      <c r="D1481" s="2" t="str">
        <f t="shared" si="22"/>
        <v>Error?</v>
      </c>
    </row>
    <row r="1482" spans="1:4" x14ac:dyDescent="0.2">
      <c r="A1482" s="5">
        <v>1421</v>
      </c>
      <c r="B1482" s="138">
        <f>'Expenditures 15-22'!K240</f>
        <v>25596</v>
      </c>
      <c r="C1482" s="2" t="s">
        <v>573</v>
      </c>
      <c r="D1482" s="2" t="str">
        <f t="shared" si="22"/>
        <v>Error?</v>
      </c>
    </row>
    <row r="1483" spans="1:4" x14ac:dyDescent="0.2">
      <c r="A1483" s="5">
        <v>1422</v>
      </c>
      <c r="B1483" s="138">
        <f>'Expenditures 15-22'!K241</f>
        <v>7499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33095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1592</v>
      </c>
      <c r="C1487" s="2" t="s">
        <v>573</v>
      </c>
      <c r="D1487" s="2" t="str">
        <f t="shared" si="22"/>
        <v>Error?</v>
      </c>
    </row>
    <row r="1488" spans="1:4" x14ac:dyDescent="0.2">
      <c r="A1488" s="5">
        <v>1427</v>
      </c>
      <c r="B1488" s="138">
        <f>'Expenditures 15-22'!K257</f>
        <v>1592</v>
      </c>
      <c r="C1488" s="2" t="s">
        <v>573</v>
      </c>
      <c r="D1488" s="2" t="str">
        <f t="shared" si="22"/>
        <v>Error?</v>
      </c>
    </row>
    <row r="1489" spans="1:4" x14ac:dyDescent="0.2">
      <c r="A1489" s="5">
        <v>1428</v>
      </c>
      <c r="B1489" s="138">
        <f>'Expenditures 15-22'!K259</f>
        <v>52135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52135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29657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104171</v>
      </c>
      <c r="C1495" s="2" t="s">
        <v>573</v>
      </c>
      <c r="D1495" s="2" t="str">
        <f t="shared" si="22"/>
        <v>Error?</v>
      </c>
    </row>
    <row r="1496" spans="1:4" x14ac:dyDescent="0.2">
      <c r="A1496" s="5">
        <v>1435</v>
      </c>
      <c r="B1496" s="138">
        <f>'Expenditures 15-22'!K267</f>
        <v>108357</v>
      </c>
      <c r="C1496" s="2" t="s">
        <v>573</v>
      </c>
      <c r="D1496" s="2" t="str">
        <f t="shared" si="22"/>
        <v>Error?</v>
      </c>
    </row>
    <row r="1497" spans="1:4" x14ac:dyDescent="0.2">
      <c r="A1497" s="5">
        <v>1436</v>
      </c>
      <c r="B1497" s="138">
        <f>'Expenditures 15-22'!K268</f>
        <v>60232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302417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397479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659116</v>
      </c>
      <c r="C1517" s="2" t="s">
        <v>573</v>
      </c>
      <c r="D1517" s="2" t="str">
        <f t="shared" si="22"/>
        <v>Error?</v>
      </c>
    </row>
    <row r="1518" spans="1:4" x14ac:dyDescent="0.2">
      <c r="A1518" s="5">
        <v>1457</v>
      </c>
      <c r="B1518" s="138">
        <f>'Expenditures 15-22'!K296</f>
        <v>150207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19554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19554</v>
      </c>
      <c r="C1535" s="2" t="s">
        <v>573</v>
      </c>
      <c r="D1535" s="2" t="str">
        <f t="shared" ref="D1535:D1598" si="23">IF(ISBLANK(B1535),"OK",IF(A1535-B1535=0,"OK","Error?"))</f>
        <v>Error?</v>
      </c>
    </row>
    <row r="1536" spans="1:4" x14ac:dyDescent="0.2">
      <c r="A1536" s="5">
        <v>1475</v>
      </c>
      <c r="B1536" s="138">
        <f>'Expenditures 15-22'!E312</f>
        <v>19554</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456882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456882</v>
      </c>
      <c r="C1547" s="2" t="s">
        <v>573</v>
      </c>
      <c r="D1547" s="2" t="str">
        <f t="shared" si="23"/>
        <v>Error?</v>
      </c>
    </row>
    <row r="1548" spans="1:4" x14ac:dyDescent="0.2">
      <c r="A1548" s="5">
        <v>1487</v>
      </c>
      <c r="B1548" s="138">
        <f>'Expenditures 15-22'!G312</f>
        <v>456882</v>
      </c>
      <c r="C1548" s="2" t="s">
        <v>573</v>
      </c>
      <c r="D1548" s="2" t="str">
        <f t="shared" si="23"/>
        <v>Error?</v>
      </c>
    </row>
    <row r="1549" spans="1:4" x14ac:dyDescent="0.2">
      <c r="A1549" s="5">
        <v>1488</v>
      </c>
      <c r="B1549" s="138">
        <f>'Expenditures 15-22'!H301</f>
        <v>390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390</v>
      </c>
      <c r="C1553" s="2" t="s">
        <v>573</v>
      </c>
      <c r="D1553" s="2" t="str">
        <f t="shared" si="23"/>
        <v>Error?</v>
      </c>
    </row>
    <row r="1554" spans="1:4" x14ac:dyDescent="0.2">
      <c r="A1554" s="5">
        <v>1493</v>
      </c>
      <c r="B1554" s="138">
        <f>'Expenditures 15-22'!H312</f>
        <v>390</v>
      </c>
      <c r="C1554" s="2" t="s">
        <v>573</v>
      </c>
      <c r="D1554" s="2" t="str">
        <f t="shared" si="23"/>
        <v>Error?</v>
      </c>
    </row>
    <row r="1555" spans="1:4" x14ac:dyDescent="0.2">
      <c r="A1555" s="5">
        <v>1494</v>
      </c>
      <c r="B1555" s="138">
        <f>'Expenditures 15-22'!K301</f>
        <v>476826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476826</v>
      </c>
      <c r="C1559" s="2" t="s">
        <v>573</v>
      </c>
      <c r="D1559" s="2" t="str">
        <f t="shared" si="23"/>
        <v>Error?</v>
      </c>
    </row>
    <row r="1560" spans="1:4" x14ac:dyDescent="0.2">
      <c r="A1560" s="5">
        <v>1499</v>
      </c>
      <c r="B1560" s="138">
        <f>'Expenditures 15-22'!K312</f>
        <v>476826</v>
      </c>
      <c r="C1560" s="2" t="s">
        <v>573</v>
      </c>
      <c r="D1560" s="2" t="str">
        <f t="shared" si="23"/>
        <v>Error?</v>
      </c>
    </row>
    <row r="1561" spans="1:4" x14ac:dyDescent="0.2">
      <c r="A1561" s="5">
        <v>1500</v>
      </c>
      <c r="B1561" s="138">
        <f>'Expenditures 15-22'!K313</f>
        <v>218394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330603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1990617</v>
      </c>
      <c r="C1630" s="2" t="s">
        <v>573</v>
      </c>
      <c r="D1630" s="2" t="str">
        <f t="shared" si="24"/>
        <v>Error?</v>
      </c>
    </row>
    <row r="1631" spans="1:4" x14ac:dyDescent="0.2">
      <c r="A1631" s="5">
        <v>1570</v>
      </c>
      <c r="B1631" s="138">
        <f>'Acct Summary 7-8'!D79</f>
        <v>120053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761276</v>
      </c>
      <c r="C1644" s="2" t="s">
        <v>573</v>
      </c>
      <c r="D1644" s="2" t="str">
        <f t="shared" si="24"/>
        <v>Error?</v>
      </c>
    </row>
    <row r="1645" spans="1:4" x14ac:dyDescent="0.2">
      <c r="A1645" s="5">
        <v>1584</v>
      </c>
      <c r="B1645" s="138">
        <f>'Acct Summary 7-8'!E79</f>
        <v>62065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365263</v>
      </c>
      <c r="C1658" s="2" t="s">
        <v>573</v>
      </c>
      <c r="D1658" s="2" t="str">
        <f t="shared" si="24"/>
        <v>Error?</v>
      </c>
    </row>
    <row r="1659" spans="1:4" x14ac:dyDescent="0.2">
      <c r="A1659" s="5">
        <v>1598</v>
      </c>
      <c r="B1659" s="138">
        <f>'Acct Summary 7-8'!F79</f>
        <v>206409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1443863</v>
      </c>
      <c r="C1672" s="2" t="s">
        <v>573</v>
      </c>
      <c r="D1672" s="2" t="str">
        <f t="shared" si="25"/>
        <v>Error?</v>
      </c>
    </row>
    <row r="1673" spans="1:4" x14ac:dyDescent="0.2">
      <c r="A1673" s="5">
        <v>1612</v>
      </c>
      <c r="B1673" s="138">
        <f>'Acct Summary 7-8'!G79</f>
        <v>771417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921624</v>
      </c>
      <c r="C1686" s="2" t="s">
        <v>573</v>
      </c>
      <c r="D1686" s="2" t="str">
        <f t="shared" si="25"/>
        <v>Error?</v>
      </c>
    </row>
    <row r="1687" spans="1:4" x14ac:dyDescent="0.2">
      <c r="A1687" s="5">
        <v>1626</v>
      </c>
      <c r="B1687" s="138">
        <f>'Acct Summary 7-8'!H79</f>
        <v>821808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1040202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7348785</v>
      </c>
      <c r="C1744" s="2" t="s">
        <v>573</v>
      </c>
      <c r="D1744" s="2" t="str">
        <f t="shared" si="26"/>
        <v>Error?</v>
      </c>
    </row>
    <row r="1745" spans="1:5" x14ac:dyDescent="0.2">
      <c r="A1745" s="5">
        <v>1684</v>
      </c>
      <c r="B1745" s="138">
        <f>'Tax Sched 23'!B5</f>
        <v>1113694</v>
      </c>
      <c r="C1745" s="2" t="s">
        <v>573</v>
      </c>
      <c r="D1745" s="2" t="str">
        <f t="shared" si="26"/>
        <v>Error?</v>
      </c>
    </row>
    <row r="1746" spans="1:5" x14ac:dyDescent="0.2">
      <c r="A1746" s="5">
        <v>1685</v>
      </c>
      <c r="B1746" s="138">
        <f>'Tax Sched 23'!B6</f>
        <v>1821674</v>
      </c>
      <c r="C1746" s="2" t="s">
        <v>573</v>
      </c>
      <c r="D1746" s="2" t="str">
        <f t="shared" si="26"/>
        <v>Error?</v>
      </c>
    </row>
    <row r="1747" spans="1:5" x14ac:dyDescent="0.2">
      <c r="A1747" s="5">
        <v>1686</v>
      </c>
      <c r="B1747" s="138">
        <f>'Tax Sched 23'!B7</f>
        <v>445473</v>
      </c>
      <c r="C1747" s="2" t="s">
        <v>573</v>
      </c>
      <c r="D1747" s="2" t="str">
        <f t="shared" si="26"/>
        <v>Error?</v>
      </c>
    </row>
    <row r="1748" spans="1:5" x14ac:dyDescent="0.2">
      <c r="A1748" s="5">
        <v>1687</v>
      </c>
      <c r="B1748" s="138">
        <f>'Tax Sched 23'!B8</f>
        <v>300578</v>
      </c>
      <c r="C1748" s="2" t="s">
        <v>573</v>
      </c>
      <c r="D1748" s="2" t="str">
        <f t="shared" si="26"/>
        <v>Error?</v>
      </c>
    </row>
    <row r="1749" spans="1:5" x14ac:dyDescent="0.2">
      <c r="A1749" s="5">
        <v>1688</v>
      </c>
      <c r="B1749" s="138">
        <f>'Tax Sched 23'!B10</f>
        <v>111369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812809</v>
      </c>
      <c r="C1752" s="2" t="s">
        <v>573</v>
      </c>
      <c r="D1752" s="2" t="str">
        <f t="shared" si="26"/>
        <v>Error?</v>
      </c>
    </row>
    <row r="1753" spans="1:5" x14ac:dyDescent="0.2">
      <c r="A1753" s="5">
        <v>1692</v>
      </c>
      <c r="B1753" s="138">
        <f>'Tax Sched 23'!B12</f>
        <v>111369</v>
      </c>
      <c r="C1753" s="2" t="s">
        <v>573</v>
      </c>
      <c r="D1753" s="2" t="str">
        <f t="shared" si="26"/>
        <v>Error?</v>
      </c>
    </row>
    <row r="1754" spans="1:5" x14ac:dyDescent="0.2">
      <c r="A1754" s="5">
        <v>1693</v>
      </c>
      <c r="B1754" s="138">
        <f>'Tax Sched 23'!B14</f>
        <v>89092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12763938</v>
      </c>
      <c r="C1759" s="2" t="s">
        <v>573</v>
      </c>
      <c r="D1759" s="2" t="str">
        <f t="shared" si="26"/>
        <v>Error?</v>
      </c>
    </row>
    <row r="1760" spans="1:5" x14ac:dyDescent="0.2">
      <c r="A1760" s="5">
        <v>1699</v>
      </c>
      <c r="B1760" s="138">
        <f>'Tax Sched 23'!D4</f>
        <v>6482562</v>
      </c>
      <c r="C1760" s="2" t="s">
        <v>573</v>
      </c>
      <c r="D1760" s="2" t="str">
        <f t="shared" si="26"/>
        <v>Error?</v>
      </c>
    </row>
    <row r="1761" spans="1:5" x14ac:dyDescent="0.2">
      <c r="A1761" s="5">
        <v>1700</v>
      </c>
      <c r="B1761" s="138">
        <f>'Tax Sched 23'!D5</f>
        <v>982202</v>
      </c>
      <c r="C1761" s="2" t="s">
        <v>573</v>
      </c>
      <c r="D1761" s="2" t="str">
        <f t="shared" si="26"/>
        <v>Error?</v>
      </c>
    </row>
    <row r="1762" spans="1:5" s="8" customFormat="1" x14ac:dyDescent="0.2">
      <c r="A1762" s="5">
        <v>1701</v>
      </c>
      <c r="B1762" s="138">
        <f>'Tax Sched 23'!D6</f>
        <v>1534964</v>
      </c>
      <c r="C1762" s="2" t="s">
        <v>573</v>
      </c>
      <c r="D1762" s="2" t="str">
        <f t="shared" si="26"/>
        <v>Error?</v>
      </c>
      <c r="E1762" s="9"/>
    </row>
    <row r="1763" spans="1:5" x14ac:dyDescent="0.2">
      <c r="A1763" s="5">
        <v>1702</v>
      </c>
      <c r="B1763" s="138">
        <f>'Tax Sched 23'!D7</f>
        <v>392876</v>
      </c>
      <c r="C1763" s="2" t="s">
        <v>573</v>
      </c>
      <c r="D1763" s="2" t="str">
        <f t="shared" si="26"/>
        <v>Error?</v>
      </c>
    </row>
    <row r="1764" spans="1:5" x14ac:dyDescent="0.2">
      <c r="A1764" s="5">
        <v>1703</v>
      </c>
      <c r="B1764" s="138">
        <f>'Tax Sched 23'!D8</f>
        <v>276953</v>
      </c>
      <c r="C1764" s="2" t="s">
        <v>573</v>
      </c>
      <c r="D1764" s="2" t="str">
        <f t="shared" si="26"/>
        <v>Error?</v>
      </c>
    </row>
    <row r="1765" spans="1:5" x14ac:dyDescent="0.2">
      <c r="A1765" s="5">
        <v>1704</v>
      </c>
      <c r="B1765" s="138">
        <f>'Tax Sched 23'!D10</f>
        <v>98220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703123</v>
      </c>
      <c r="C1768" s="2" t="s">
        <v>573</v>
      </c>
      <c r="D1768" s="2" t="str">
        <f t="shared" si="26"/>
        <v>Error?</v>
      </c>
    </row>
    <row r="1769" spans="1:5" x14ac:dyDescent="0.2">
      <c r="A1769" s="5">
        <v>1708</v>
      </c>
      <c r="B1769" s="138">
        <f>'Tax Sched 23'!D12</f>
        <v>98220</v>
      </c>
      <c r="C1769" s="2" t="s">
        <v>573</v>
      </c>
      <c r="D1769" s="2" t="str">
        <f t="shared" si="26"/>
        <v>Error?</v>
      </c>
    </row>
    <row r="1770" spans="1:5" x14ac:dyDescent="0.2">
      <c r="A1770" s="5">
        <v>1709</v>
      </c>
      <c r="B1770" s="138">
        <f>'Tax Sched 23'!D14</f>
        <v>78573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11198639</v>
      </c>
      <c r="C1775" s="2" t="s">
        <v>573</v>
      </c>
      <c r="D1775" s="2" t="str">
        <f t="shared" si="26"/>
        <v>Error?</v>
      </c>
    </row>
    <row r="1776" spans="1:5" x14ac:dyDescent="0.2">
      <c r="A1776" s="5">
        <v>1715</v>
      </c>
      <c r="B1776" s="138">
        <f>'Tax Sched 23'!C4</f>
        <v>866223</v>
      </c>
      <c r="D1776" s="2" t="str">
        <f t="shared" si="26"/>
        <v>Error?</v>
      </c>
    </row>
    <row r="1777" spans="1:4" x14ac:dyDescent="0.2">
      <c r="A1777" s="5">
        <v>1716</v>
      </c>
      <c r="B1777" s="138">
        <f>'Tax Sched 23'!C5</f>
        <v>131492</v>
      </c>
      <c r="D1777" s="2" t="str">
        <f t="shared" si="26"/>
        <v>Error?</v>
      </c>
    </row>
    <row r="1778" spans="1:4" x14ac:dyDescent="0.2">
      <c r="A1778" s="5">
        <v>1717</v>
      </c>
      <c r="B1778" s="138">
        <f>'Tax Sched 23'!C6</f>
        <v>286710</v>
      </c>
      <c r="D1778" s="2" t="str">
        <f t="shared" si="26"/>
        <v>Error?</v>
      </c>
    </row>
    <row r="1779" spans="1:4" x14ac:dyDescent="0.2">
      <c r="A1779" s="5">
        <v>1718</v>
      </c>
      <c r="B1779" s="138">
        <f>'Tax Sched 23'!C7</f>
        <v>52597</v>
      </c>
      <c r="D1779" s="2" t="str">
        <f t="shared" si="26"/>
        <v>Error?</v>
      </c>
    </row>
    <row r="1780" spans="1:4" x14ac:dyDescent="0.2">
      <c r="A1780" s="5">
        <v>1719</v>
      </c>
      <c r="B1780" s="138">
        <f>'Tax Sched 23'!C8</f>
        <v>23625</v>
      </c>
      <c r="D1780" s="2" t="str">
        <f t="shared" si="26"/>
        <v>Error?</v>
      </c>
    </row>
    <row r="1781" spans="1:4" x14ac:dyDescent="0.2">
      <c r="A1781" s="5">
        <v>1720</v>
      </c>
      <c r="B1781" s="138">
        <f>'Tax Sched 23'!C10</f>
        <v>13149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109686</v>
      </c>
      <c r="D1784" s="2" t="str">
        <f t="shared" si="26"/>
        <v>Error?</v>
      </c>
    </row>
    <row r="1785" spans="1:4" x14ac:dyDescent="0.2">
      <c r="A1785" s="5">
        <v>1724</v>
      </c>
      <c r="B1785" s="138">
        <f>'Tax Sched 23'!C12</f>
        <v>13149</v>
      </c>
      <c r="D1785" s="2" t="str">
        <f t="shared" si="26"/>
        <v>Error?</v>
      </c>
    </row>
    <row r="1786" spans="1:4" x14ac:dyDescent="0.2">
      <c r="A1786" s="5">
        <v>1725</v>
      </c>
      <c r="B1786" s="138">
        <f>'Tax Sched 23'!C14</f>
        <v>10519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1565299</v>
      </c>
      <c r="C1791" s="2" t="s">
        <v>573</v>
      </c>
      <c r="D1791" s="2" t="str">
        <f t="shared" ref="D1791:D1854" si="27">IF(ISBLANK(B1791),"OK",IF(A1791-B1791=0,"OK","Error?"))</f>
        <v>Error?</v>
      </c>
    </row>
    <row r="1792" spans="1:4" x14ac:dyDescent="0.2">
      <c r="A1792" s="5">
        <v>1731</v>
      </c>
      <c r="B1792" s="138">
        <f>'Tax Sched 23'!F4</f>
        <v>6833784</v>
      </c>
      <c r="C1792" s="2" t="s">
        <v>573</v>
      </c>
      <c r="D1792" s="2" t="str">
        <f t="shared" si="27"/>
        <v>Error?</v>
      </c>
    </row>
    <row r="1793" spans="1:4" x14ac:dyDescent="0.2">
      <c r="A1793" s="5">
        <v>1732</v>
      </c>
      <c r="B1793" s="138">
        <f>'Tax Sched 23'!F5</f>
        <v>1037361</v>
      </c>
      <c r="C1793" s="2" t="s">
        <v>573</v>
      </c>
      <c r="D1793" s="2" t="str">
        <f t="shared" si="27"/>
        <v>Error?</v>
      </c>
    </row>
    <row r="1794" spans="1:4" x14ac:dyDescent="0.2">
      <c r="A1794" s="5">
        <v>1733</v>
      </c>
      <c r="B1794" s="138">
        <f>'Tax Sched 23'!F6</f>
        <v>1758666</v>
      </c>
      <c r="C1794" s="2" t="s">
        <v>573</v>
      </c>
      <c r="D1794" s="2" t="str">
        <f t="shared" si="27"/>
        <v>Error?</v>
      </c>
    </row>
    <row r="1795" spans="1:4" x14ac:dyDescent="0.2">
      <c r="A1795" s="5">
        <v>1734</v>
      </c>
      <c r="B1795" s="138">
        <f>'Tax Sched 23'!F7</f>
        <v>414944</v>
      </c>
      <c r="C1795" s="2" t="s">
        <v>573</v>
      </c>
      <c r="D1795" s="2" t="str">
        <f t="shared" si="27"/>
        <v>Error?</v>
      </c>
    </row>
    <row r="1796" spans="1:4" x14ac:dyDescent="0.2">
      <c r="A1796" s="5">
        <v>1735</v>
      </c>
      <c r="B1796" s="138">
        <f>'Tax Sched 23'!F8</f>
        <v>186395</v>
      </c>
      <c r="C1796" s="2" t="s">
        <v>573</v>
      </c>
      <c r="D1796" s="2" t="str">
        <f t="shared" si="27"/>
        <v>Error?</v>
      </c>
    </row>
    <row r="1797" spans="1:4" x14ac:dyDescent="0.2">
      <c r="A1797" s="5">
        <v>1736</v>
      </c>
      <c r="B1797" s="138">
        <f>'Tax Sched 23'!F10</f>
        <v>103736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865325</v>
      </c>
      <c r="C1800" s="2" t="s">
        <v>573</v>
      </c>
      <c r="D1800" s="2" t="str">
        <f t="shared" si="27"/>
        <v>Error?</v>
      </c>
    </row>
    <row r="1801" spans="1:4" x14ac:dyDescent="0.2">
      <c r="A1801" s="5">
        <v>1740</v>
      </c>
      <c r="B1801" s="138">
        <f>'Tax Sched 23'!F12</f>
        <v>103736</v>
      </c>
      <c r="C1801" s="2" t="s">
        <v>573</v>
      </c>
      <c r="D1801" s="2" t="str">
        <f t="shared" si="27"/>
        <v>Error?</v>
      </c>
    </row>
    <row r="1802" spans="1:4" x14ac:dyDescent="0.2">
      <c r="A1802" s="5">
        <v>1741</v>
      </c>
      <c r="B1802" s="138">
        <f>'Tax Sched 23'!F14</f>
        <v>82989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11845677</v>
      </c>
      <c r="C1807" s="2" t="s">
        <v>573</v>
      </c>
      <c r="D1807" s="2" t="str">
        <f t="shared" si="27"/>
        <v>Error?</v>
      </c>
    </row>
    <row r="1808" spans="1:4" x14ac:dyDescent="0.2">
      <c r="A1808" s="5">
        <v>1747</v>
      </c>
      <c r="B1808" s="138">
        <f>'Tax Sched 23'!E4</f>
        <v>7700007</v>
      </c>
      <c r="D1808" s="2" t="str">
        <f t="shared" si="27"/>
        <v>Error?</v>
      </c>
    </row>
    <row r="1809" spans="1:4" x14ac:dyDescent="0.2">
      <c r="A1809" s="5">
        <v>1748</v>
      </c>
      <c r="B1809" s="138">
        <f>'Tax Sched 23'!E5</f>
        <v>1168853</v>
      </c>
      <c r="D1809" s="2" t="str">
        <f t="shared" si="27"/>
        <v>Error?</v>
      </c>
    </row>
    <row r="1810" spans="1:4" x14ac:dyDescent="0.2">
      <c r="A1810" s="5">
        <v>1749</v>
      </c>
      <c r="B1810" s="138">
        <f>'Tax Sched 23'!E6</f>
        <v>2045376</v>
      </c>
      <c r="D1810" s="2" t="str">
        <f t="shared" si="27"/>
        <v>Error?</v>
      </c>
    </row>
    <row r="1811" spans="1:4" x14ac:dyDescent="0.2">
      <c r="A1811" s="5">
        <v>1750</v>
      </c>
      <c r="B1811" s="138">
        <f>'Tax Sched 23'!E7</f>
        <v>467541</v>
      </c>
      <c r="D1811" s="2" t="str">
        <f t="shared" si="27"/>
        <v>Error?</v>
      </c>
    </row>
    <row r="1812" spans="1:4" x14ac:dyDescent="0.2">
      <c r="A1812" s="5">
        <v>1751</v>
      </c>
      <c r="B1812" s="138">
        <f>'Tax Sched 23'!E8</f>
        <v>210020</v>
      </c>
      <c r="D1812" s="2" t="str">
        <f t="shared" si="27"/>
        <v>Error?</v>
      </c>
    </row>
    <row r="1813" spans="1:4" x14ac:dyDescent="0.2">
      <c r="A1813" s="5">
        <v>1752</v>
      </c>
      <c r="B1813" s="138">
        <f>'Tax Sched 23'!E10</f>
        <v>116885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975011</v>
      </c>
      <c r="D1816" s="2" t="str">
        <f t="shared" si="27"/>
        <v>Error?</v>
      </c>
    </row>
    <row r="1817" spans="1:4" x14ac:dyDescent="0.2">
      <c r="A1817" s="5">
        <v>1756</v>
      </c>
      <c r="B1817" s="138">
        <f>'Tax Sched 23'!E12</f>
        <v>116885</v>
      </c>
      <c r="D1817" s="2" t="str">
        <f t="shared" si="27"/>
        <v>Error?</v>
      </c>
    </row>
    <row r="1818" spans="1:4" x14ac:dyDescent="0.2">
      <c r="A1818" s="5">
        <v>1757</v>
      </c>
      <c r="B1818" s="138">
        <f>'Tax Sched 23'!E14</f>
        <v>93508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13410976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1570000</v>
      </c>
      <c r="C1939" s="2" t="s">
        <v>573</v>
      </c>
      <c r="D1939" s="2" t="str">
        <f t="shared" si="29"/>
        <v>Error?</v>
      </c>
    </row>
    <row r="1940" spans="1:5" x14ac:dyDescent="0.2">
      <c r="A1940" s="5">
        <v>1879</v>
      </c>
      <c r="B1940" s="138">
        <f>'Short-Term Long-Term Debt 24'!F49</f>
        <v>5996000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89092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89092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89092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441852</v>
      </c>
      <c r="D2008" s="2" t="str">
        <f t="shared" si="30"/>
        <v>Error?</v>
      </c>
    </row>
    <row r="2009" spans="1:4" x14ac:dyDescent="0.2">
      <c r="A2009" s="5">
        <v>1948</v>
      </c>
      <c r="B2009" s="138">
        <f>'Cap Outlay Deprec 26'!C8</f>
        <v>26182284</v>
      </c>
      <c r="D2009" s="2" t="str">
        <f t="shared" si="30"/>
        <v>Error?</v>
      </c>
    </row>
    <row r="2010" spans="1:4" x14ac:dyDescent="0.2">
      <c r="A2010" s="5">
        <v>1949</v>
      </c>
      <c r="B2010" s="138">
        <f>'Cap Outlay Deprec 26'!C10</f>
        <v>896412</v>
      </c>
      <c r="D2010" s="2" t="str">
        <f t="shared" si="30"/>
        <v>Error?</v>
      </c>
    </row>
    <row r="2011" spans="1:4" x14ac:dyDescent="0.2">
      <c r="A2011" s="5">
        <v>1950</v>
      </c>
      <c r="B2011" s="138">
        <f>'Cap Outlay Deprec 26'!C12</f>
        <v>4974398</v>
      </c>
      <c r="D2011" s="2" t="str">
        <f t="shared" si="30"/>
        <v>Error?</v>
      </c>
    </row>
    <row r="2012" spans="1:4" x14ac:dyDescent="0.2">
      <c r="A2012" s="5">
        <v>1951</v>
      </c>
      <c r="B2012" s="138">
        <f>'Cap Outlay Deprec 26'!C13</f>
        <v>2620347</v>
      </c>
      <c r="D2012" s="2" t="str">
        <f t="shared" si="30"/>
        <v>Error?</v>
      </c>
    </row>
    <row r="2013" spans="1:4" x14ac:dyDescent="0.2">
      <c r="A2013" s="5">
        <v>1952</v>
      </c>
      <c r="B2013" s="138">
        <f>'Cap Outlay Deprec 26'!C16</f>
        <v>35115293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174768</v>
      </c>
      <c r="D2015" s="2" t="str">
        <f t="shared" si="30"/>
        <v>Error?</v>
      </c>
    </row>
    <row r="2016" spans="1:4" x14ac:dyDescent="0.2">
      <c r="A2016" s="5">
        <v>1955</v>
      </c>
      <c r="B2016" s="138">
        <f>'Cap Outlay Deprec 26'!D10</f>
        <v>44934</v>
      </c>
      <c r="D2016" s="2" t="str">
        <f t="shared" si="30"/>
        <v>Error?</v>
      </c>
    </row>
    <row r="2017" spans="1:4" x14ac:dyDescent="0.2">
      <c r="A2017" s="5">
        <v>1956</v>
      </c>
      <c r="B2017" s="138">
        <f>'Cap Outlay Deprec 26'!D12</f>
        <v>316446</v>
      </c>
      <c r="D2017" s="2" t="str">
        <f t="shared" si="30"/>
        <v>Error?</v>
      </c>
    </row>
    <row r="2018" spans="1:4" x14ac:dyDescent="0.2">
      <c r="A2018" s="5">
        <v>1957</v>
      </c>
      <c r="B2018" s="138">
        <f>'Cap Outlay Deprec 26'!D13</f>
        <v>1515529</v>
      </c>
      <c r="D2018" s="2" t="str">
        <f t="shared" si="30"/>
        <v>Error?</v>
      </c>
    </row>
    <row r="2019" spans="1:4" x14ac:dyDescent="0.2">
      <c r="A2019" s="5">
        <v>1958</v>
      </c>
      <c r="B2019" s="138">
        <f>'Cap Outlay Deprec 26'!D16</f>
        <v>2051677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441852</v>
      </c>
      <c r="C2026" s="2" t="s">
        <v>573</v>
      </c>
      <c r="D2026" s="2" t="str">
        <f t="shared" si="30"/>
        <v>Error?</v>
      </c>
    </row>
    <row r="2027" spans="1:4" x14ac:dyDescent="0.2">
      <c r="A2027" s="5">
        <v>1966</v>
      </c>
      <c r="B2027" s="138">
        <f>'Cap Outlay Deprec 26'!F8</f>
        <v>26357052</v>
      </c>
      <c r="C2027" s="2" t="s">
        <v>573</v>
      </c>
      <c r="D2027" s="2" t="str">
        <f t="shared" si="30"/>
        <v>Error?</v>
      </c>
    </row>
    <row r="2028" spans="1:4" x14ac:dyDescent="0.2">
      <c r="A2028" s="5">
        <v>1967</v>
      </c>
      <c r="B2028" s="138">
        <f>'Cap Outlay Deprec 26'!F10</f>
        <v>941346</v>
      </c>
      <c r="C2028" s="2" t="s">
        <v>573</v>
      </c>
      <c r="D2028" s="2" t="str">
        <f t="shared" si="30"/>
        <v>Error?</v>
      </c>
    </row>
    <row r="2029" spans="1:4" x14ac:dyDescent="0.2">
      <c r="A2029" s="5">
        <v>1968</v>
      </c>
      <c r="B2029" s="138">
        <f>'Cap Outlay Deprec 26'!F12</f>
        <v>5290844</v>
      </c>
      <c r="C2029" s="2" t="s">
        <v>573</v>
      </c>
      <c r="D2029" s="2" t="str">
        <f t="shared" si="30"/>
        <v>Error?</v>
      </c>
    </row>
    <row r="2030" spans="1:4" x14ac:dyDescent="0.2">
      <c r="A2030" s="5">
        <v>1969</v>
      </c>
      <c r="B2030" s="138">
        <f>'Cap Outlay Deprec 26'!F13</f>
        <v>4135876</v>
      </c>
      <c r="C2030" s="2" t="s">
        <v>573</v>
      </c>
      <c r="D2030" s="2" t="str">
        <f t="shared" si="30"/>
        <v>Error?</v>
      </c>
    </row>
    <row r="2031" spans="1:4" x14ac:dyDescent="0.2">
      <c r="A2031" s="5">
        <v>1970</v>
      </c>
      <c r="B2031" s="138">
        <f>'Cap Outlay Deprec 26'!F16</f>
        <v>37166970</v>
      </c>
      <c r="C2031" s="2" t="s">
        <v>573</v>
      </c>
      <c r="D2031" s="2" t="str">
        <f t="shared" si="30"/>
        <v>Error?</v>
      </c>
    </row>
    <row r="2032" spans="1:4" x14ac:dyDescent="0.2">
      <c r="A2032" s="10">
        <v>1971</v>
      </c>
      <c r="D2032" s="2" t="str">
        <f t="shared" si="30"/>
        <v>OK</v>
      </c>
    </row>
    <row r="2033" spans="1:4" x14ac:dyDescent="0.2">
      <c r="A2033" s="5">
        <v>1972</v>
      </c>
      <c r="B2033" s="138">
        <f>'Cap Outlay Deprec 26'!H8</f>
        <v>14593689</v>
      </c>
      <c r="D2033" s="2" t="str">
        <f t="shared" si="30"/>
        <v>Error?</v>
      </c>
    </row>
    <row r="2034" spans="1:4" x14ac:dyDescent="0.2">
      <c r="A2034" s="5">
        <v>1973</v>
      </c>
      <c r="B2034" s="138">
        <f>'Cap Outlay Deprec 26'!H10</f>
        <v>574502</v>
      </c>
      <c r="D2034" s="2" t="str">
        <f t="shared" si="30"/>
        <v>Error?</v>
      </c>
    </row>
    <row r="2035" spans="1:4" x14ac:dyDescent="0.2">
      <c r="A2035" s="5">
        <v>1974</v>
      </c>
      <c r="B2035" s="138">
        <f>'Cap Outlay Deprec 26'!H12</f>
        <v>4200927</v>
      </c>
      <c r="D2035" s="2" t="str">
        <f t="shared" si="30"/>
        <v>Error?</v>
      </c>
    </row>
    <row r="2036" spans="1:4" x14ac:dyDescent="0.2">
      <c r="A2036" s="5">
        <v>1975</v>
      </c>
      <c r="B2036" s="138">
        <f>'Cap Outlay Deprec 26'!H13</f>
        <v>2177021</v>
      </c>
      <c r="D2036" s="2" t="str">
        <f t="shared" si="30"/>
        <v>Error?</v>
      </c>
    </row>
    <row r="2037" spans="1:4" x14ac:dyDescent="0.2">
      <c r="A2037" s="5">
        <v>1976</v>
      </c>
      <c r="B2037" s="138">
        <f>'Cap Outlay Deprec 26'!H16</f>
        <v>21546139</v>
      </c>
      <c r="C2037" s="2" t="s">
        <v>573</v>
      </c>
      <c r="D2037" s="2" t="str">
        <f t="shared" si="30"/>
        <v>Error?</v>
      </c>
    </row>
    <row r="2038" spans="1:4" x14ac:dyDescent="0.2">
      <c r="A2038" s="10">
        <v>1977</v>
      </c>
      <c r="D2038" s="2" t="str">
        <f t="shared" si="30"/>
        <v>OK</v>
      </c>
    </row>
    <row r="2039" spans="1:4" x14ac:dyDescent="0.2">
      <c r="A2039" s="5">
        <v>1978</v>
      </c>
      <c r="B2039" s="138">
        <f>'Cap Outlay Deprec 26'!I8</f>
        <v>495535</v>
      </c>
      <c r="D2039" s="2" t="str">
        <f t="shared" si="30"/>
        <v>Error?</v>
      </c>
    </row>
    <row r="2040" spans="1:4" x14ac:dyDescent="0.2">
      <c r="A2040" s="5">
        <v>1979</v>
      </c>
      <c r="B2040" s="138">
        <f>'Cap Outlay Deprec 26'!I10</f>
        <v>20433</v>
      </c>
      <c r="D2040" s="2" t="str">
        <f t="shared" si="30"/>
        <v>Error?</v>
      </c>
    </row>
    <row r="2041" spans="1:4" x14ac:dyDescent="0.2">
      <c r="A2041" s="5">
        <v>1980</v>
      </c>
      <c r="B2041" s="138">
        <f>'Cap Outlay Deprec 26'!I12</f>
        <v>118183</v>
      </c>
      <c r="D2041" s="2" t="str">
        <f t="shared" si="30"/>
        <v>Error?</v>
      </c>
    </row>
    <row r="2042" spans="1:4" x14ac:dyDescent="0.2">
      <c r="A2042" s="5">
        <v>1981</v>
      </c>
      <c r="B2042" s="138">
        <f>'Cap Outlay Deprec 26'!I13</f>
        <v>281851</v>
      </c>
      <c r="D2042" s="2" t="str">
        <f t="shared" si="30"/>
        <v>Error?</v>
      </c>
    </row>
    <row r="2043" spans="1:4" x14ac:dyDescent="0.2">
      <c r="A2043" s="5">
        <v>1982</v>
      </c>
      <c r="B2043" s="138">
        <f>'Cap Outlay Deprec 26'!I16</f>
        <v>916002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15089224</v>
      </c>
      <c r="C2051" s="2" t="s">
        <v>573</v>
      </c>
      <c r="D2051" s="2" t="str">
        <f t="shared" si="31"/>
        <v>Error?</v>
      </c>
    </row>
    <row r="2052" spans="1:4" x14ac:dyDescent="0.2">
      <c r="A2052" s="5">
        <v>1991</v>
      </c>
      <c r="B2052" s="138">
        <f>'Cap Outlay Deprec 26'!K10</f>
        <v>594935</v>
      </c>
      <c r="C2052" s="2" t="s">
        <v>573</v>
      </c>
      <c r="D2052" s="2" t="str">
        <f t="shared" si="31"/>
        <v>Error?</v>
      </c>
    </row>
    <row r="2053" spans="1:4" x14ac:dyDescent="0.2">
      <c r="A2053" s="5">
        <v>1992</v>
      </c>
      <c r="B2053" s="138">
        <f>'Cap Outlay Deprec 26'!K12</f>
        <v>4319110</v>
      </c>
      <c r="C2053" s="2" t="s">
        <v>573</v>
      </c>
      <c r="D2053" s="2" t="str">
        <f t="shared" si="31"/>
        <v>Error?</v>
      </c>
    </row>
    <row r="2054" spans="1:4" x14ac:dyDescent="0.2">
      <c r="A2054" s="5">
        <v>1993</v>
      </c>
      <c r="B2054" s="138">
        <f>'Cap Outlay Deprec 26'!K13</f>
        <v>2458872</v>
      </c>
      <c r="C2054" s="2" t="s">
        <v>573</v>
      </c>
      <c r="D2054" s="2" t="str">
        <f t="shared" si="31"/>
        <v>Error?</v>
      </c>
    </row>
    <row r="2055" spans="1:4" x14ac:dyDescent="0.2">
      <c r="A2055" s="5">
        <v>1994</v>
      </c>
      <c r="B2055" s="138">
        <f>'Cap Outlay Deprec 26'!K16</f>
        <v>22462141</v>
      </c>
      <c r="C2055" s="2" t="s">
        <v>573</v>
      </c>
      <c r="D2055" s="2" t="str">
        <f t="shared" si="31"/>
        <v>Error?</v>
      </c>
    </row>
    <row r="2056" spans="1:4" x14ac:dyDescent="0.2">
      <c r="A2056" s="5">
        <v>1995</v>
      </c>
      <c r="B2056" s="138">
        <f>'Cap Outlay Deprec 26'!L5</f>
        <v>441852</v>
      </c>
      <c r="C2056" s="2" t="s">
        <v>573</v>
      </c>
      <c r="D2056" s="2" t="str">
        <f t="shared" si="31"/>
        <v>Error?</v>
      </c>
    </row>
    <row r="2057" spans="1:4" x14ac:dyDescent="0.2">
      <c r="A2057" s="5">
        <v>1996</v>
      </c>
      <c r="B2057" s="138">
        <f>'Cap Outlay Deprec 26'!L8</f>
        <v>11267828</v>
      </c>
      <c r="C2057" s="2" t="s">
        <v>573</v>
      </c>
      <c r="D2057" s="2" t="str">
        <f t="shared" si="31"/>
        <v>Error?</v>
      </c>
    </row>
    <row r="2058" spans="1:4" x14ac:dyDescent="0.2">
      <c r="A2058" s="5">
        <v>1997</v>
      </c>
      <c r="B2058" s="138">
        <f>'Cap Outlay Deprec 26'!L10</f>
        <v>346411</v>
      </c>
      <c r="C2058" s="2" t="s">
        <v>573</v>
      </c>
      <c r="D2058" s="2" t="str">
        <f t="shared" si="31"/>
        <v>Error?</v>
      </c>
    </row>
    <row r="2059" spans="1:4" x14ac:dyDescent="0.2">
      <c r="A2059" s="5">
        <v>1998</v>
      </c>
      <c r="B2059" s="138">
        <f>'Cap Outlay Deprec 26'!L12</f>
        <v>971734</v>
      </c>
      <c r="C2059" s="2" t="s">
        <v>573</v>
      </c>
      <c r="D2059" s="2" t="str">
        <f t="shared" si="31"/>
        <v>Error?</v>
      </c>
    </row>
    <row r="2060" spans="1:4" x14ac:dyDescent="0.2">
      <c r="A2060" s="5">
        <v>1999</v>
      </c>
      <c r="B2060" s="138">
        <f>'Cap Outlay Deprec 26'!L13</f>
        <v>1677004</v>
      </c>
      <c r="C2060" s="2" t="s">
        <v>573</v>
      </c>
      <c r="D2060" s="2" t="str">
        <f t="shared" si="31"/>
        <v>Error?</v>
      </c>
    </row>
    <row r="2061" spans="1:4" x14ac:dyDescent="0.2">
      <c r="A2061" s="5">
        <v>2000</v>
      </c>
      <c r="B2061" s="138">
        <f>'Cap Outlay Deprec 26'!L16</f>
        <v>14704829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836974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836974</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4050000</v>
      </c>
      <c r="C2105" s="2" t="s">
        <v>573</v>
      </c>
      <c r="D2105" s="2" t="str">
        <f t="shared" si="31"/>
        <v>Error?</v>
      </c>
    </row>
    <row r="2106" spans="1:4" x14ac:dyDescent="0.2">
      <c r="A2106" s="5">
        <v>2045</v>
      </c>
      <c r="B2106" s="138">
        <f>'Acct Summary 7-8'!I48</f>
        <v>7489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9045702</v>
      </c>
      <c r="C2551" s="2" t="s">
        <v>573</v>
      </c>
      <c r="D2551" s="2" t="str">
        <f t="shared" si="38"/>
        <v>Error?</v>
      </c>
    </row>
    <row r="2552" spans="1:4" x14ac:dyDescent="0.2">
      <c r="A2552" s="10">
        <v>2491</v>
      </c>
      <c r="D2552" s="2" t="str">
        <f t="shared" si="38"/>
        <v>OK</v>
      </c>
    </row>
    <row r="2553" spans="1:4" x14ac:dyDescent="0.2">
      <c r="A2553" s="5">
        <v>2492</v>
      </c>
      <c r="B2553" s="138">
        <f>'Acct Summary 7-8'!C6</f>
        <v>6634491</v>
      </c>
      <c r="C2553" s="2" t="s">
        <v>573</v>
      </c>
      <c r="D2553" s="2" t="str">
        <f t="shared" si="38"/>
        <v>Error?</v>
      </c>
    </row>
    <row r="2554" spans="1:4" x14ac:dyDescent="0.2">
      <c r="A2554" s="5">
        <v>2493</v>
      </c>
      <c r="B2554" s="138">
        <f>'Acct Summary 7-8'!C7</f>
        <v>1108853</v>
      </c>
      <c r="C2554" s="2" t="s">
        <v>573</v>
      </c>
      <c r="D2554" s="2" t="str">
        <f t="shared" si="38"/>
        <v>Error?</v>
      </c>
    </row>
    <row r="2555" spans="1:4" x14ac:dyDescent="0.2">
      <c r="A2555" s="5">
        <v>2494</v>
      </c>
      <c r="B2555" s="138">
        <f>'Acct Summary 7-8'!C8</f>
        <v>16789046</v>
      </c>
      <c r="C2555" s="2" t="s">
        <v>573</v>
      </c>
      <c r="D2555" s="2" t="str">
        <f t="shared" si="38"/>
        <v>Error?</v>
      </c>
    </row>
    <row r="2556" spans="1:4" x14ac:dyDescent="0.2">
      <c r="A2556" s="5">
        <v>2495</v>
      </c>
      <c r="B2556" s="138">
        <f>'Acct Summary 7-8'!C12</f>
        <v>11604347</v>
      </c>
      <c r="C2556" s="2" t="s">
        <v>573</v>
      </c>
      <c r="D2556" s="2" t="str">
        <f t="shared" si="38"/>
        <v>Error?</v>
      </c>
    </row>
    <row r="2557" spans="1:4" x14ac:dyDescent="0.2">
      <c r="A2557" s="5">
        <v>2496</v>
      </c>
      <c r="B2557" s="138">
        <f>'Acct Summary 7-8'!C13</f>
        <v>3387711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836974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15829032</v>
      </c>
      <c r="C2561" s="2" t="s">
        <v>573</v>
      </c>
      <c r="D2561" s="2" t="str">
        <f t="shared" si="39"/>
        <v>Error?</v>
      </c>
    </row>
    <row r="2562" spans="1:4" x14ac:dyDescent="0.2">
      <c r="A2562" s="5">
        <v>2501</v>
      </c>
      <c r="B2562" s="138">
        <f>'Acct Summary 7-8'!C20</f>
        <v>960014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1123315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1123315</v>
      </c>
      <c r="C2568" s="2" t="s">
        <v>573</v>
      </c>
      <c r="D2568" s="2" t="str">
        <f t="shared" si="39"/>
        <v>Error?</v>
      </c>
    </row>
    <row r="2569" spans="1:4" x14ac:dyDescent="0.2">
      <c r="A2569" s="5">
        <v>2508</v>
      </c>
      <c r="B2569" s="138">
        <f>'Acct Summary 7-8'!D13</f>
        <v>1182092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1182092</v>
      </c>
      <c r="C2573" s="2" t="s">
        <v>573</v>
      </c>
      <c r="D2573" s="2" t="str">
        <f t="shared" si="39"/>
        <v>Error?</v>
      </c>
    </row>
    <row r="2574" spans="1:4" x14ac:dyDescent="0.2">
      <c r="A2574" s="5">
        <v>2513</v>
      </c>
      <c r="B2574" s="138">
        <f>'Acct Summary 7-8'!D20</f>
        <v>-58777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533754</v>
      </c>
      <c r="C2591" s="2" t="s">
        <v>573</v>
      </c>
      <c r="D2591" s="2" t="str">
        <f t="shared" si="39"/>
        <v>Error?</v>
      </c>
    </row>
    <row r="2592" spans="1:4" x14ac:dyDescent="0.2">
      <c r="A2592" s="10">
        <v>2531</v>
      </c>
      <c r="D2592" s="2" t="str">
        <f t="shared" si="39"/>
        <v>OK</v>
      </c>
    </row>
    <row r="2593" spans="1:4" x14ac:dyDescent="0.2">
      <c r="A2593" s="5">
        <v>2532</v>
      </c>
      <c r="B2593" s="138">
        <f>'Acct Summary 7-8'!F6</f>
        <v>823801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1357555</v>
      </c>
      <c r="C2595" s="2" t="s">
        <v>573</v>
      </c>
      <c r="D2595" s="2" t="str">
        <f t="shared" si="39"/>
        <v>Error?</v>
      </c>
    </row>
    <row r="2596" spans="1:4" x14ac:dyDescent="0.2">
      <c r="A2596" s="5">
        <v>2535</v>
      </c>
      <c r="B2596" s="138">
        <f>'Acct Summary 7-8'!F13</f>
        <v>2620101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2620101</v>
      </c>
      <c r="C2600" s="2" t="s">
        <v>573</v>
      </c>
      <c r="D2600" s="2" t="str">
        <f t="shared" si="39"/>
        <v>Error?</v>
      </c>
    </row>
    <row r="2601" spans="1:4" x14ac:dyDescent="0.2">
      <c r="A2601" s="5">
        <v>2540</v>
      </c>
      <c r="B2601" s="138">
        <f>'Acct Summary 7-8'!F20</f>
        <v>-1262546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809323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809323</v>
      </c>
      <c r="C2606" s="2" t="s">
        <v>573</v>
      </c>
      <c r="D2606" s="2" t="str">
        <f t="shared" si="39"/>
        <v>Error?</v>
      </c>
    </row>
    <row r="2607" spans="1:4" x14ac:dyDescent="0.2">
      <c r="A2607" s="5">
        <v>2546</v>
      </c>
      <c r="B2607" s="138">
        <f>'Acct Summary 7-8'!G12</f>
        <v>261637</v>
      </c>
      <c r="C2607" s="2" t="s">
        <v>573</v>
      </c>
      <c r="D2607" s="2" t="str">
        <f t="shared" si="39"/>
        <v>Error?</v>
      </c>
    </row>
    <row r="2608" spans="1:4" x14ac:dyDescent="0.2">
      <c r="A2608" s="5">
        <v>2547</v>
      </c>
      <c r="B2608" s="138">
        <f>'Acct Summary 7-8'!G13</f>
        <v>397479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659116</v>
      </c>
      <c r="C2612" s="2" t="s">
        <v>573</v>
      </c>
      <c r="D2612" s="2" t="str">
        <f t="shared" si="39"/>
        <v>Error?</v>
      </c>
    </row>
    <row r="2613" spans="1:4" x14ac:dyDescent="0.2">
      <c r="A2613" s="5">
        <v>2552</v>
      </c>
      <c r="B2613" s="138">
        <f>'Acct Summary 7-8'!G20</f>
        <v>150207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1824846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1824846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1605825</v>
      </c>
      <c r="C2634" s="2" t="s">
        <v>573</v>
      </c>
      <c r="D2634" s="2" t="str">
        <f t="shared" si="40"/>
        <v>Error?</v>
      </c>
    </row>
    <row r="2635" spans="1:4" x14ac:dyDescent="0.2">
      <c r="A2635" s="5">
        <v>2574</v>
      </c>
      <c r="B2635" s="138">
        <f>'Acct Summary 7-8'!E17</f>
        <v>1605825</v>
      </c>
      <c r="C2635" s="2" t="s">
        <v>573</v>
      </c>
      <c r="D2635" s="2" t="str">
        <f t="shared" si="40"/>
        <v>Error?</v>
      </c>
    </row>
    <row r="2636" spans="1:4" x14ac:dyDescent="0.2">
      <c r="A2636" s="5">
        <v>2575</v>
      </c>
      <c r="B2636" s="138">
        <f>'Acct Summary 7-8'!E20</f>
        <v>219021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695220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695220</v>
      </c>
      <c r="C2658" s="2" t="s">
        <v>573</v>
      </c>
      <c r="D2658" s="2" t="str">
        <f t="shared" si="40"/>
        <v>Error?</v>
      </c>
    </row>
    <row r="2659" spans="1:4" x14ac:dyDescent="0.2">
      <c r="A2659" s="5">
        <v>2598</v>
      </c>
      <c r="B2659" s="138">
        <f>'Acct Summary 7-8'!H13</f>
        <v>476826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476826</v>
      </c>
      <c r="C2661" s="2" t="s">
        <v>573</v>
      </c>
      <c r="D2661" s="2" t="str">
        <f t="shared" si="40"/>
        <v>Error?</v>
      </c>
    </row>
    <row r="2662" spans="1:4" x14ac:dyDescent="0.2">
      <c r="A2662" s="5">
        <v>2601</v>
      </c>
      <c r="B2662" s="138">
        <f>'Acct Summary 7-8'!H20</f>
        <v>218394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6718274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6719583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488603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1042926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6719583</v>
      </c>
      <c r="D2912" s="2" t="str">
        <f t="shared" si="44"/>
        <v>Error?</v>
      </c>
    </row>
    <row r="2913" spans="1:4" x14ac:dyDescent="0.2">
      <c r="A2913" s="5">
        <v>2852</v>
      </c>
      <c r="B2913" s="138">
        <f>'Assets-Liab 5-6'!I41</f>
        <v>6719583</v>
      </c>
      <c r="C2913" s="2" t="s">
        <v>573</v>
      </c>
      <c r="D2913" s="2" t="str">
        <f t="shared" si="44"/>
        <v>Error?</v>
      </c>
    </row>
    <row r="2914" spans="1:4" x14ac:dyDescent="0.2">
      <c r="A2914" s="5">
        <v>2853</v>
      </c>
      <c r="B2914" s="138">
        <f>'Assets-Liab 5-6'!L33</f>
        <v>1042926</v>
      </c>
      <c r="D2914" s="2" t="str">
        <f t="shared" si="44"/>
        <v>Error?</v>
      </c>
    </row>
    <row r="2915" spans="1:4" x14ac:dyDescent="0.2">
      <c r="A2915" s="10">
        <v>2854</v>
      </c>
      <c r="D2915" s="2" t="str">
        <f t="shared" si="44"/>
        <v>OK</v>
      </c>
    </row>
    <row r="2916" spans="1:4" x14ac:dyDescent="0.2">
      <c r="A2916" s="5">
        <v>2855</v>
      </c>
      <c r="B2916" s="138">
        <f>'Assets-Liab 5-6'!L34</f>
        <v>1042926</v>
      </c>
      <c r="C2916" s="2" t="s">
        <v>573</v>
      </c>
      <c r="D2916" s="2" t="str">
        <f t="shared" si="44"/>
        <v>Error?</v>
      </c>
    </row>
    <row r="2917" spans="1:4" x14ac:dyDescent="0.2">
      <c r="A2917" s="5">
        <v>2856</v>
      </c>
      <c r="B2917" s="138">
        <f>'Assets-Liab 5-6'!L41</f>
        <v>1042926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821079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15895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821079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15895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81819</v>
      </c>
      <c r="D3055" s="2" t="str">
        <f t="shared" si="46"/>
        <v>Error?</v>
      </c>
    </row>
    <row r="3056" spans="1:4" x14ac:dyDescent="0.2">
      <c r="A3056" s="5">
        <v>2995</v>
      </c>
      <c r="B3056" s="138">
        <f>'Expenditures 15-22'!D10</f>
        <v>10085</v>
      </c>
      <c r="D3056" s="2" t="str">
        <f t="shared" si="46"/>
        <v>Error?</v>
      </c>
    </row>
    <row r="3057" spans="1:4" x14ac:dyDescent="0.2">
      <c r="A3057" s="5">
        <v>2996</v>
      </c>
      <c r="B3057" s="138">
        <f>'Expenditures 15-22'!E10</f>
        <v>161100</v>
      </c>
      <c r="D3057" s="2" t="str">
        <f t="shared" si="46"/>
        <v>Error?</v>
      </c>
    </row>
    <row r="3058" spans="1:4" x14ac:dyDescent="0.2">
      <c r="A3058" s="5">
        <v>2997</v>
      </c>
      <c r="B3058" s="138">
        <f>'Expenditures 15-22'!F10</f>
        <v>57542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310546</v>
      </c>
      <c r="C3062" s="2" t="s">
        <v>573</v>
      </c>
      <c r="D3062" s="2" t="str">
        <f t="shared" si="46"/>
        <v>Error?</v>
      </c>
    </row>
    <row r="3063" spans="1:4" x14ac:dyDescent="0.2">
      <c r="A3063" s="10">
        <v>3002</v>
      </c>
      <c r="D3063" s="2" t="str">
        <f t="shared" si="46"/>
        <v>OK</v>
      </c>
    </row>
    <row r="3064" spans="1:4" x14ac:dyDescent="0.2">
      <c r="A3064" s="5">
        <v>3003</v>
      </c>
      <c r="B3064" s="138">
        <f>'Expenditures 15-22'!D219</f>
        <v>1141</v>
      </c>
      <c r="D3064" s="2" t="str">
        <f t="shared" si="46"/>
        <v>Error?</v>
      </c>
    </row>
    <row r="3065" spans="1:4" x14ac:dyDescent="0.2">
      <c r="A3065" s="5">
        <v>3004</v>
      </c>
      <c r="B3065" s="138">
        <f>'Expenditures 15-22'!K219</f>
        <v>1141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187760</v>
      </c>
      <c r="C3225" s="2" t="s">
        <v>573</v>
      </c>
      <c r="D3225" s="2" t="str">
        <f t="shared" si="49"/>
        <v>Error?</v>
      </c>
    </row>
    <row r="3226" spans="1:4" x14ac:dyDescent="0.2">
      <c r="A3226" s="5">
        <v>3165</v>
      </c>
      <c r="B3226" s="138">
        <f>'Acct Summary 7-8'!I8</f>
        <v>187760</v>
      </c>
      <c r="C3226" s="2" t="s">
        <v>573</v>
      </c>
      <c r="D3226" s="2" t="str">
        <f t="shared" si="49"/>
        <v>Error?</v>
      </c>
    </row>
    <row r="3227" spans="1:4" x14ac:dyDescent="0.2">
      <c r="A3227" s="5">
        <v>3166</v>
      </c>
      <c r="B3227" s="138">
        <f>'Acct Summary 7-8'!I20</f>
        <v>187760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700000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700000</v>
      </c>
      <c r="C3232" s="2" t="s">
        <v>573</v>
      </c>
      <c r="D3232" s="2" t="str">
        <f t="shared" si="49"/>
        <v>Error?</v>
      </c>
    </row>
    <row r="3233" spans="1:4" x14ac:dyDescent="0.2">
      <c r="A3233" s="5">
        <v>3172</v>
      </c>
      <c r="B3233" s="138">
        <f>'Acct Summary 7-8'!C78</f>
        <v>1660014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700000</v>
      </c>
      <c r="C3238" s="2" t="s">
        <v>573</v>
      </c>
      <c r="D3238" s="2" t="str">
        <f t="shared" si="49"/>
        <v>Error?</v>
      </c>
    </row>
    <row r="3239" spans="1:4" x14ac:dyDescent="0.2">
      <c r="A3239" s="5">
        <v>3178</v>
      </c>
      <c r="B3239" s="138">
        <f>'Acct Summary 7-8'!D78</f>
        <v>641223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2500000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2500000</v>
      </c>
      <c r="C3255" s="2" t="s">
        <v>573</v>
      </c>
      <c r="D3255" s="2" t="str">
        <f t="shared" si="49"/>
        <v>Error?</v>
      </c>
    </row>
    <row r="3256" spans="1:4" x14ac:dyDescent="0.2">
      <c r="A3256" s="5">
        <v>3195</v>
      </c>
      <c r="B3256" s="138">
        <f>'Acct Summary 7-8'!F78</f>
        <v>1237454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150207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157489</v>
      </c>
      <c r="C3274" s="2" t="s">
        <v>573</v>
      </c>
      <c r="D3274" s="2" t="str">
        <f t="shared" si="50"/>
        <v>Error?</v>
      </c>
    </row>
    <row r="3275" spans="1:4" x14ac:dyDescent="0.2">
      <c r="A3275" s="5">
        <v>3214</v>
      </c>
      <c r="B3275" s="138">
        <f>'Acct Summary 7-8'!E75</f>
        <v>73312</v>
      </c>
      <c r="D3275" s="2" t="str">
        <f t="shared" si="50"/>
        <v>Error?</v>
      </c>
    </row>
    <row r="3276" spans="1:4" x14ac:dyDescent="0.2">
      <c r="A3276" s="5">
        <v>3215</v>
      </c>
      <c r="B3276" s="138">
        <f>'Acct Summary 7-8'!E76</f>
        <v>73312</v>
      </c>
      <c r="C3276" s="2" t="s">
        <v>573</v>
      </c>
      <c r="D3276" s="2" t="str">
        <f t="shared" si="50"/>
        <v>Error?</v>
      </c>
    </row>
    <row r="3277" spans="1:4" x14ac:dyDescent="0.2">
      <c r="A3277" s="5">
        <v>3216</v>
      </c>
      <c r="B3277" s="138">
        <f>'Acct Summary 7-8'!E77</f>
        <v>84177</v>
      </c>
      <c r="C3277" s="2" t="s">
        <v>573</v>
      </c>
      <c r="D3277" s="2" t="str">
        <f t="shared" si="50"/>
        <v>Error?</v>
      </c>
    </row>
    <row r="3278" spans="1:4" x14ac:dyDescent="0.2">
      <c r="A3278" s="5">
        <v>3217</v>
      </c>
      <c r="B3278" s="138">
        <f>'Acct Summary 7-8'!E78</f>
        <v>303198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218394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5996000</v>
      </c>
      <c r="C3317" s="2" t="s">
        <v>573</v>
      </c>
      <c r="D3317" s="2" t="str">
        <f t="shared" si="50"/>
        <v>Error?</v>
      </c>
    </row>
    <row r="3318" spans="1:4" x14ac:dyDescent="0.2">
      <c r="A3318" s="5">
        <v>3257</v>
      </c>
      <c r="B3318" s="138">
        <f>'Acct Summary 7-8'!I76</f>
        <v>4057489</v>
      </c>
      <c r="C3318" s="2" t="s">
        <v>573</v>
      </c>
      <c r="D3318" s="2" t="str">
        <f t="shared" si="50"/>
        <v>Error?</v>
      </c>
    </row>
    <row r="3319" spans="1:4" x14ac:dyDescent="0.2">
      <c r="A3319" s="5">
        <v>3258</v>
      </c>
      <c r="B3319" s="138">
        <f>'Acct Summary 7-8'!I77</f>
        <v>1938511</v>
      </c>
      <c r="C3319" s="2" t="s">
        <v>573</v>
      </c>
      <c r="D3319" s="2" t="str">
        <f t="shared" si="50"/>
        <v>Error?</v>
      </c>
    </row>
    <row r="3320" spans="1:4" x14ac:dyDescent="0.2">
      <c r="A3320" s="5">
        <v>3259</v>
      </c>
      <c r="B3320" s="138">
        <f>'Acct Summary 7-8'!I78</f>
        <v>2126271</v>
      </c>
      <c r="C3320" s="2" t="s">
        <v>573</v>
      </c>
      <c r="D3320" s="2" t="str">
        <f t="shared" si="50"/>
        <v>Error?</v>
      </c>
    </row>
    <row r="3321" spans="1:4" x14ac:dyDescent="0.2">
      <c r="A3321" s="5">
        <v>3260</v>
      </c>
      <c r="B3321" s="138">
        <f>'Acct Summary 7-8'!I79</f>
        <v>4593312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6719583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2266670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287879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299409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11540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608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2866106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85270</v>
      </c>
      <c r="D3387" s="2" t="str">
        <f t="shared" si="51"/>
        <v>Error?</v>
      </c>
    </row>
    <row r="3388" spans="1:4" x14ac:dyDescent="0.2">
      <c r="A3388" s="5">
        <v>3327</v>
      </c>
      <c r="B3388" s="138">
        <f>'Expenditures 15-22'!D217</f>
        <v>140050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85270</v>
      </c>
      <c r="C3390" s="2" t="s">
        <v>573</v>
      </c>
      <c r="D3390" s="2" t="str">
        <f t="shared" si="51"/>
        <v>Error?</v>
      </c>
    </row>
    <row r="3391" spans="1:4" x14ac:dyDescent="0.2">
      <c r="A3391" s="5">
        <v>3330</v>
      </c>
      <c r="B3391" s="138">
        <f>'Expenditures 15-22'!K217</f>
        <v>140050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149287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27037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14455</v>
      </c>
      <c r="D3417" s="2" t="str">
        <f t="shared" si="52"/>
        <v>Error?</v>
      </c>
    </row>
    <row r="3418" spans="1:4" x14ac:dyDescent="0.2">
      <c r="A3418" s="10">
        <v>3357</v>
      </c>
      <c r="D3418" s="2" t="str">
        <f t="shared" si="52"/>
        <v>OK</v>
      </c>
    </row>
    <row r="3419" spans="1:4" x14ac:dyDescent="0.2">
      <c r="A3419" s="5">
        <v>3358</v>
      </c>
      <c r="B3419" s="138">
        <f>'Assets-Liab 5-6'!F4</f>
        <v>12147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11726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20955</v>
      </c>
      <c r="D3425" s="2" t="str">
        <f t="shared" si="52"/>
        <v>Error?</v>
      </c>
    </row>
    <row r="3426" spans="1:4" x14ac:dyDescent="0.2">
      <c r="A3426" s="10">
        <v>3365</v>
      </c>
      <c r="D3426" s="2" t="str">
        <f t="shared" si="52"/>
        <v>OK</v>
      </c>
    </row>
    <row r="3427" spans="1:4" x14ac:dyDescent="0.2">
      <c r="A3427" s="5">
        <v>3366</v>
      </c>
      <c r="B3427" s="138">
        <f>'Assets-Liab 5-6'!I4</f>
        <v>1309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554323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497726</v>
      </c>
      <c r="C3446" s="2" t="s">
        <v>573</v>
      </c>
      <c r="D3446" s="2" t="str">
        <f t="shared" si="52"/>
        <v>Error?</v>
      </c>
    </row>
    <row r="3447" spans="1:4" x14ac:dyDescent="0.2">
      <c r="A3447" s="5">
        <v>3386</v>
      </c>
      <c r="B3447" s="138">
        <f>'Tax Sched 23'!D16</f>
        <v>452726</v>
      </c>
      <c r="C3447" s="2" t="s">
        <v>573</v>
      </c>
      <c r="D3447" s="2" t="str">
        <f t="shared" si="52"/>
        <v>Error?</v>
      </c>
    </row>
    <row r="3448" spans="1:4" x14ac:dyDescent="0.2">
      <c r="A3448" s="5">
        <v>3387</v>
      </c>
      <c r="B3448" s="138">
        <f>'Tax Sched 23'!C16</f>
        <v>45000</v>
      </c>
      <c r="D3448" s="2" t="str">
        <f t="shared" si="52"/>
        <v>Error?</v>
      </c>
    </row>
    <row r="3449" spans="1:4" x14ac:dyDescent="0.2">
      <c r="A3449" s="5">
        <v>3388</v>
      </c>
      <c r="B3449" s="138">
        <f>'Tax Sched 23'!F16</f>
        <v>355005</v>
      </c>
      <c r="C3449" s="2" t="s">
        <v>573</v>
      </c>
      <c r="D3449" s="2" t="str">
        <f t="shared" si="52"/>
        <v>Error?</v>
      </c>
    </row>
    <row r="3450" spans="1:4" x14ac:dyDescent="0.2">
      <c r="A3450" s="5">
        <v>3389</v>
      </c>
      <c r="B3450" s="138">
        <f>'Tax Sched 23'!E16</f>
        <v>400005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7489</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18335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264487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282822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282822</v>
      </c>
      <c r="D3567" s="2" t="str">
        <f t="shared" si="54"/>
        <v>Error?</v>
      </c>
    </row>
    <row r="3568" spans="1:4" x14ac:dyDescent="0.2">
      <c r="A3568" s="5">
        <v>3507</v>
      </c>
      <c r="B3568" s="138">
        <f>'Assets-Liab 5-6'!K41</f>
        <v>282822</v>
      </c>
      <c r="C3568" s="2" t="s">
        <v>573</v>
      </c>
      <c r="D3568" s="2" t="str">
        <f t="shared" si="54"/>
        <v>Error?</v>
      </c>
    </row>
    <row r="3569" spans="1:4" x14ac:dyDescent="0.2">
      <c r="A3569" s="5">
        <v>3508</v>
      </c>
      <c r="B3569" s="138">
        <f>'Acct Summary 7-8'!K4</f>
        <v>113684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113684</v>
      </c>
      <c r="C3571" s="2" t="s">
        <v>573</v>
      </c>
      <c r="D3571" s="2" t="str">
        <f t="shared" si="54"/>
        <v>Error?</v>
      </c>
    </row>
    <row r="3572" spans="1:4" x14ac:dyDescent="0.2">
      <c r="A3572" s="5">
        <v>3511</v>
      </c>
      <c r="B3572" s="138">
        <f>'Acct Summary 7-8'!K13</f>
        <v>64200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64200</v>
      </c>
      <c r="C3575" s="2" t="s">
        <v>573</v>
      </c>
      <c r="D3575" s="2" t="str">
        <f t="shared" si="54"/>
        <v>Error?</v>
      </c>
    </row>
    <row r="3576" spans="1:4" x14ac:dyDescent="0.2">
      <c r="A3576" s="5">
        <v>3515</v>
      </c>
      <c r="B3576" s="138">
        <f>'Acct Summary 7-8'!K20</f>
        <v>49484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49484</v>
      </c>
      <c r="C3588" s="2" t="s">
        <v>573</v>
      </c>
      <c r="D3588" s="2" t="str">
        <f t="shared" si="55"/>
        <v>Error?</v>
      </c>
    </row>
    <row r="3589" spans="1:4" x14ac:dyDescent="0.2">
      <c r="A3589" s="5">
        <v>3528</v>
      </c>
      <c r="B3589" s="138">
        <f>'Acct Summary 7-8'!K79</f>
        <v>233338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282822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64200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64200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64200</v>
      </c>
      <c r="C3649" s="2" t="s">
        <v>573</v>
      </c>
      <c r="D3649" s="2" t="str">
        <f t="shared" si="56"/>
        <v>Error?</v>
      </c>
    </row>
    <row r="3650" spans="1:4" x14ac:dyDescent="0.2">
      <c r="A3650" s="5">
        <v>3589</v>
      </c>
      <c r="B3650" s="138">
        <f>'Expenditures 15-22'!G367</f>
        <v>64200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64200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64200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64200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64200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49484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111369</v>
      </c>
      <c r="C3725" s="2" t="s">
        <v>573</v>
      </c>
      <c r="D3725" s="2" t="str">
        <f t="shared" si="57"/>
        <v>Error?</v>
      </c>
    </row>
    <row r="3726" spans="1:4" x14ac:dyDescent="0.2">
      <c r="A3726" s="5">
        <v>3665</v>
      </c>
      <c r="B3726" s="138">
        <f>'Tax Sched 23'!D13</f>
        <v>98220</v>
      </c>
      <c r="C3726" s="2" t="s">
        <v>573</v>
      </c>
      <c r="D3726" s="2" t="str">
        <f t="shared" si="57"/>
        <v>Error?</v>
      </c>
    </row>
    <row r="3727" spans="1:4" x14ac:dyDescent="0.2">
      <c r="A3727" s="5">
        <v>3666</v>
      </c>
      <c r="B3727" s="138">
        <f>'Tax Sched 23'!C13</f>
        <v>13149</v>
      </c>
      <c r="D3727" s="2" t="str">
        <f t="shared" si="57"/>
        <v>Error?</v>
      </c>
    </row>
    <row r="3728" spans="1:4" x14ac:dyDescent="0.2">
      <c r="A3728" s="5">
        <v>3667</v>
      </c>
      <c r="B3728" s="138">
        <f>'Tax Sched 23'!F13</f>
        <v>103736</v>
      </c>
      <c r="C3728" s="2" t="s">
        <v>573</v>
      </c>
      <c r="D3728" s="2" t="str">
        <f t="shared" si="57"/>
        <v>Error?</v>
      </c>
    </row>
    <row r="3729" spans="1:4" x14ac:dyDescent="0.2">
      <c r="A3729" s="5">
        <v>3668</v>
      </c>
      <c r="B3729" s="138">
        <f>'Tax Sched 23'!E13</f>
        <v>116885</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7538454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24327500</v>
      </c>
      <c r="C4122" s="2" t="s">
        <v>573</v>
      </c>
      <c r="D4122" s="2" t="str">
        <f t="shared" si="63"/>
        <v>Error?</v>
      </c>
    </row>
    <row r="4123" spans="1:4" x14ac:dyDescent="0.2">
      <c r="A4123" s="5">
        <v>4062</v>
      </c>
      <c r="B4123" s="138">
        <f>'Acct Summary 7-8'!D10</f>
        <v>1123315</v>
      </c>
      <c r="C4123" s="2" t="s">
        <v>573</v>
      </c>
      <c r="D4123" s="2" t="str">
        <f t="shared" si="63"/>
        <v>Error?</v>
      </c>
    </row>
    <row r="4124" spans="1:4" x14ac:dyDescent="0.2">
      <c r="A4124" s="5">
        <v>4063</v>
      </c>
      <c r="B4124" s="138">
        <f>'Acct Summary 7-8'!E10</f>
        <v>1824846</v>
      </c>
      <c r="C4124" s="2" t="s">
        <v>573</v>
      </c>
      <c r="D4124" s="2" t="str">
        <f t="shared" si="63"/>
        <v>Error?</v>
      </c>
    </row>
    <row r="4125" spans="1:4" x14ac:dyDescent="0.2">
      <c r="A4125" s="5">
        <v>4064</v>
      </c>
      <c r="B4125" s="138">
        <f>'Acct Summary 7-8'!F10</f>
        <v>1357555</v>
      </c>
      <c r="C4125" s="2" t="s">
        <v>573</v>
      </c>
      <c r="D4125" s="2" t="str">
        <f t="shared" si="63"/>
        <v>Error?</v>
      </c>
    </row>
    <row r="4126" spans="1:4" x14ac:dyDescent="0.2">
      <c r="A4126" s="5">
        <v>4065</v>
      </c>
      <c r="B4126" s="138">
        <f>'Acct Summary 7-8'!G10</f>
        <v>809323</v>
      </c>
      <c r="C4126" s="2" t="s">
        <v>573</v>
      </c>
      <c r="D4126" s="2" t="str">
        <f t="shared" si="63"/>
        <v>Error?</v>
      </c>
    </row>
    <row r="4127" spans="1:4" x14ac:dyDescent="0.2">
      <c r="A4127" s="5">
        <v>4066</v>
      </c>
      <c r="B4127" s="138">
        <f>'Acct Summary 7-8'!H10</f>
        <v>695220</v>
      </c>
      <c r="C4127" s="2" t="s">
        <v>573</v>
      </c>
      <c r="D4127" s="2" t="str">
        <f t="shared" si="63"/>
        <v>Error?</v>
      </c>
    </row>
    <row r="4128" spans="1:4" x14ac:dyDescent="0.2">
      <c r="A4128" s="5">
        <v>4067</v>
      </c>
      <c r="B4128" s="138">
        <f>'Acct Summary 7-8'!I10</f>
        <v>187760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113684</v>
      </c>
      <c r="C4130" s="2" t="s">
        <v>573</v>
      </c>
      <c r="D4130" s="2" t="str">
        <f t="shared" si="63"/>
        <v>Error?</v>
      </c>
    </row>
    <row r="4131" spans="1:4" x14ac:dyDescent="0.2">
      <c r="A4131" s="5">
        <v>4070</v>
      </c>
      <c r="B4131" s="138">
        <f>'Acct Summary 7-8'!C18</f>
        <v>7538454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23367486</v>
      </c>
      <c r="C4136" s="2" t="s">
        <v>573</v>
      </c>
      <c r="D4136" s="2" t="str">
        <f t="shared" si="63"/>
        <v>Error?</v>
      </c>
    </row>
    <row r="4137" spans="1:4" x14ac:dyDescent="0.2">
      <c r="A4137" s="5">
        <v>4076</v>
      </c>
      <c r="B4137" s="138">
        <f>'Acct Summary 7-8'!D19</f>
        <v>1182092</v>
      </c>
      <c r="C4137" s="2" t="s">
        <v>573</v>
      </c>
      <c r="D4137" s="2" t="str">
        <f t="shared" si="63"/>
        <v>Error?</v>
      </c>
    </row>
    <row r="4138" spans="1:4" x14ac:dyDescent="0.2">
      <c r="A4138" s="5">
        <v>4077</v>
      </c>
      <c r="B4138" s="138">
        <f>'Acct Summary 7-8'!E19</f>
        <v>1605825</v>
      </c>
      <c r="C4138" s="2" t="s">
        <v>573</v>
      </c>
      <c r="D4138" s="2" t="str">
        <f t="shared" si="63"/>
        <v>Error?</v>
      </c>
    </row>
    <row r="4139" spans="1:4" x14ac:dyDescent="0.2">
      <c r="A4139" s="5">
        <v>4078</v>
      </c>
      <c r="B4139" s="138">
        <f>'Acct Summary 7-8'!F19</f>
        <v>2620101</v>
      </c>
      <c r="C4139" s="2" t="s">
        <v>573</v>
      </c>
      <c r="D4139" s="2" t="str">
        <f t="shared" si="63"/>
        <v>Error?</v>
      </c>
    </row>
    <row r="4140" spans="1:4" x14ac:dyDescent="0.2">
      <c r="A4140" s="5">
        <v>4079</v>
      </c>
      <c r="B4140" s="138">
        <f>'Acct Summary 7-8'!G19</f>
        <v>659116</v>
      </c>
      <c r="C4140" s="2" t="s">
        <v>573</v>
      </c>
      <c r="D4140" s="2" t="str">
        <f t="shared" si="63"/>
        <v>Error?</v>
      </c>
    </row>
    <row r="4141" spans="1:4" x14ac:dyDescent="0.2">
      <c r="A4141" s="5">
        <v>4080</v>
      </c>
      <c r="B4141" s="138">
        <f>'Acct Summary 7-8'!H19</f>
        <v>476826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64200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5996000</v>
      </c>
      <c r="C4171" s="2" t="s">
        <v>573</v>
      </c>
      <c r="D4171" s="2" t="str">
        <f t="shared" si="64"/>
        <v>Error?</v>
      </c>
    </row>
    <row r="4172" spans="1:4" x14ac:dyDescent="0.2">
      <c r="A4172" s="5">
        <v>4111</v>
      </c>
      <c r="B4172" s="138">
        <f>'Short-Term Long-Term Debt 24'!J49</f>
        <v>5630737</v>
      </c>
      <c r="C4172" s="2" t="s">
        <v>573</v>
      </c>
      <c r="D4172" s="2" t="str">
        <f t="shared" si="64"/>
        <v>Error?</v>
      </c>
    </row>
    <row r="4173" spans="1:4" x14ac:dyDescent="0.2">
      <c r="A4173" s="5">
        <v>4112</v>
      </c>
      <c r="B4173" s="138">
        <f>'Short-Term Long-Term Debt 24'!H49</f>
        <v>1570000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3300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4000</v>
      </c>
      <c r="C4268" s="2" t="s">
        <v>573</v>
      </c>
      <c r="D4268" s="2" t="str">
        <f t="shared" si="65"/>
        <v>Error?</v>
      </c>
    </row>
    <row r="4269" spans="1:5" x14ac:dyDescent="0.2">
      <c r="A4269" s="12">
        <v>4208</v>
      </c>
      <c r="B4269" s="138">
        <f>'FP Info 3'!J16</f>
        <v>10915339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10275</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53562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9690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1307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233770637</v>
      </c>
      <c r="D4995" s="2" t="str">
        <f t="shared" si="77"/>
        <v>Error?</v>
      </c>
    </row>
    <row r="4996" spans="1:4" x14ac:dyDescent="0.2">
      <c r="A4996" s="12">
        <v>4935</v>
      </c>
      <c r="B4996" s="138">
        <f>'FP Info 3'!H31</f>
        <v>32260347.906000003</v>
      </c>
      <c r="D4996" s="2" t="str">
        <f t="shared" si="77"/>
        <v>Error?</v>
      </c>
    </row>
    <row r="4997" spans="1:4" x14ac:dyDescent="0.2">
      <c r="A4997" s="12">
        <v>4936</v>
      </c>
      <c r="B4997" s="138">
        <f>'FP Info 3'!H37</f>
        <v>5996000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111369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7348785</v>
      </c>
      <c r="D5061" s="2" t="str">
        <f t="shared" si="78"/>
        <v>Error?</v>
      </c>
    </row>
    <row r="5062" spans="1:4" x14ac:dyDescent="0.2">
      <c r="A5062" s="10">
        <v>5001</v>
      </c>
      <c r="D5062" s="2" t="str">
        <f t="shared" si="78"/>
        <v>OK</v>
      </c>
    </row>
    <row r="5063" spans="1:4" x14ac:dyDescent="0.2">
      <c r="A5063" s="5">
        <v>5002</v>
      </c>
      <c r="B5063" s="138">
        <f>'Revenues 9-14'!C7</f>
        <v>89092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7549246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767001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767001</v>
      </c>
      <c r="C5071" s="2" t="s">
        <v>573</v>
      </c>
      <c r="D5071" s="2" t="str">
        <f t="shared" si="78"/>
        <v>Error?</v>
      </c>
    </row>
    <row r="5072" spans="1:4" x14ac:dyDescent="0.2">
      <c r="A5072" s="5">
        <v>5011</v>
      </c>
      <c r="B5072" s="138">
        <f>'Revenues 9-14'!C20</f>
        <v>9158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9158</v>
      </c>
      <c r="C5087" s="2" t="s">
        <v>573</v>
      </c>
      <c r="D5087" s="2" t="str">
        <f t="shared" si="78"/>
        <v>Error?</v>
      </c>
    </row>
    <row r="5088" spans="1:4" x14ac:dyDescent="0.2">
      <c r="A5088" s="5">
        <v>5027</v>
      </c>
      <c r="B5088" s="138">
        <f>'Revenues 9-14'!C65</f>
        <v>25819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25819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8431</v>
      </c>
      <c r="D5094" s="2" t="str">
        <f t="shared" si="78"/>
        <v>Error?</v>
      </c>
    </row>
    <row r="5095" spans="1:4" x14ac:dyDescent="0.2">
      <c r="A5095" s="5">
        <v>5034</v>
      </c>
      <c r="B5095" s="138">
        <f>'Revenues 9-14'!C74</f>
        <v>22357</v>
      </c>
      <c r="D5095" s="2" t="str">
        <f t="shared" si="78"/>
        <v>Error?</v>
      </c>
    </row>
    <row r="5096" spans="1:4" x14ac:dyDescent="0.2">
      <c r="A5096" s="5">
        <v>5035</v>
      </c>
      <c r="B5096" s="138">
        <f>'Revenues 9-14'!C75</f>
        <v>342337</v>
      </c>
      <c r="C5096" s="2" t="s">
        <v>573</v>
      </c>
      <c r="D5096" s="2" t="str">
        <f t="shared" si="78"/>
        <v>Error?</v>
      </c>
    </row>
    <row r="5097" spans="1:4" x14ac:dyDescent="0.2">
      <c r="A5097" s="5">
        <v>5036</v>
      </c>
      <c r="B5097" s="138">
        <f>'Revenues 9-14'!C77</f>
        <v>42772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30424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73196</v>
      </c>
      <c r="C5102" s="2" t="s">
        <v>573</v>
      </c>
      <c r="D5102" s="2" t="str">
        <f t="shared" si="78"/>
        <v>Error?</v>
      </c>
    </row>
    <row r="5103" spans="1:4" x14ac:dyDescent="0.2">
      <c r="A5103" s="5">
        <v>5042</v>
      </c>
      <c r="B5103" s="138">
        <f>'Revenues 9-14'!C84</f>
        <v>103021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202</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103223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150291</v>
      </c>
      <c r="D5119" s="2" t="str">
        <f t="shared" ref="D5119:D5182" si="79">IF(ISBLANK(B5119),"OK",IF(A5119-B5119=0,"OK","Error?"))</f>
        <v>Error?</v>
      </c>
    </row>
    <row r="5120" spans="1:4" x14ac:dyDescent="0.2">
      <c r="A5120" s="5">
        <v>5059</v>
      </c>
      <c r="B5120" s="138">
        <f>'Revenues 9-14'!C108</f>
        <v>175722</v>
      </c>
      <c r="C5120" s="2" t="s">
        <v>573</v>
      </c>
      <c r="D5120" s="2" t="str">
        <f t="shared" si="79"/>
        <v>Error?</v>
      </c>
    </row>
    <row r="5121" spans="1:4" x14ac:dyDescent="0.2">
      <c r="A5121" s="5">
        <v>5060</v>
      </c>
      <c r="B5121" s="138">
        <f>'Revenues 9-14'!C109</f>
        <v>9045702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6072986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6072986</v>
      </c>
      <c r="C5132" s="2" t="s">
        <v>573</v>
      </c>
      <c r="D5132" s="2" t="str">
        <f t="shared" si="79"/>
        <v>Error?</v>
      </c>
    </row>
    <row r="5133" spans="1:4" x14ac:dyDescent="0.2">
      <c r="A5133" s="5">
        <v>5072</v>
      </c>
      <c r="B5133" s="138">
        <f>'Revenues 9-14'!C125</f>
        <v>107236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110659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10364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228259</v>
      </c>
      <c r="C5147" s="2" t="s">
        <v>573</v>
      </c>
      <c r="D5147" s="2" t="str">
        <f t="shared" si="79"/>
        <v>Error?</v>
      </c>
    </row>
    <row r="5148" spans="1:4" x14ac:dyDescent="0.2">
      <c r="A5148" s="5">
        <v>5087</v>
      </c>
      <c r="B5148" s="138">
        <f>'Revenues 9-14'!C134</f>
        <v>3620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40027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7616</v>
      </c>
      <c r="D5167" s="2" t="str">
        <f t="shared" si="79"/>
        <v>Error?</v>
      </c>
    </row>
    <row r="5168" spans="1:4" x14ac:dyDescent="0.2">
      <c r="A5168" s="5">
        <v>5107</v>
      </c>
      <c r="B5168" s="138">
        <f>'Revenues 9-14'!C148</f>
        <v>24446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259850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561505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6634491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322371</v>
      </c>
      <c r="D5239" s="2" t="str">
        <f t="shared" si="80"/>
        <v>Error?</v>
      </c>
    </row>
    <row r="5240" spans="1:4" x14ac:dyDescent="0.2">
      <c r="A5240" s="5">
        <v>5179</v>
      </c>
      <c r="B5240" s="138">
        <f>'Revenues 9-14'!C192</f>
        <v>1457</v>
      </c>
      <c r="D5240" s="2" t="str">
        <f t="shared" si="80"/>
        <v>Error?</v>
      </c>
    </row>
    <row r="5241" spans="1:4" x14ac:dyDescent="0.2">
      <c r="A5241" s="5">
        <v>5180</v>
      </c>
      <c r="B5241" s="138">
        <f>'Revenues 9-14'!C193</f>
        <v>83505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407333</v>
      </c>
      <c r="C5246" s="2" t="s">
        <v>573</v>
      </c>
      <c r="D5246" s="2" t="str">
        <f t="shared" si="80"/>
        <v>Error?</v>
      </c>
    </row>
    <row r="5247" spans="1:4" x14ac:dyDescent="0.2">
      <c r="A5247" s="5">
        <v>5186</v>
      </c>
      <c r="B5247" s="138">
        <f>'Revenues 9-14'!C200</f>
        <v>323615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9690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333890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251453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251453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3338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3338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49587</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1108853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1108853</v>
      </c>
      <c r="C5326" s="2" t="s">
        <v>573</v>
      </c>
      <c r="D5326" s="2" t="str">
        <f t="shared" si="82"/>
        <v>Error?</v>
      </c>
    </row>
    <row r="5327" spans="1:5" x14ac:dyDescent="0.2">
      <c r="A5327" s="5">
        <v>5266</v>
      </c>
      <c r="B5327" s="138">
        <f>'Revenues 9-14'!C268</f>
        <v>16789046</v>
      </c>
      <c r="C5327" s="2" t="s">
        <v>573</v>
      </c>
      <c r="D5327" s="2" t="str">
        <f t="shared" si="82"/>
        <v>Error?</v>
      </c>
    </row>
    <row r="5328" spans="1:5" x14ac:dyDescent="0.2">
      <c r="A5328" s="5">
        <v>5267</v>
      </c>
      <c r="B5328" s="138">
        <f>'Revenues 9-14'!D5</f>
        <v>1113694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1113694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9439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9439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182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182</v>
      </c>
      <c r="C5355" s="2" t="s">
        <v>573</v>
      </c>
      <c r="D5355" s="2" t="str">
        <f t="shared" si="82"/>
        <v>Error?</v>
      </c>
    </row>
    <row r="5356" spans="1:4" x14ac:dyDescent="0.2">
      <c r="A5356" s="5">
        <v>5295</v>
      </c>
      <c r="B5356" s="138">
        <f>'Revenues 9-14'!D109</f>
        <v>1123315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1123315</v>
      </c>
      <c r="C5508" s="2" t="s">
        <v>573</v>
      </c>
      <c r="D5508" s="2" t="str">
        <f t="shared" si="85"/>
        <v>Error?</v>
      </c>
    </row>
    <row r="5509" spans="1:4" x14ac:dyDescent="0.2">
      <c r="A5509" s="5">
        <v>5448</v>
      </c>
      <c r="B5509" s="138">
        <f>'Revenues 9-14'!E5</f>
        <v>1821674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1821674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3172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3172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1824846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1824846</v>
      </c>
      <c r="C5552" s="2" t="s">
        <v>573</v>
      </c>
      <c r="D5552" s="2" t="str">
        <f t="shared" si="85"/>
        <v>Error?</v>
      </c>
    </row>
    <row r="5553" spans="1:4" x14ac:dyDescent="0.2">
      <c r="A5553" s="5">
        <v>5492</v>
      </c>
      <c r="B5553" s="138">
        <f>'Revenues 9-14'!F5</f>
        <v>445473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445473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69759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69759</v>
      </c>
      <c r="C5579" s="2" t="s">
        <v>573</v>
      </c>
      <c r="D5579" s="2" t="str">
        <f t="shared" si="86"/>
        <v>Error?</v>
      </c>
    </row>
    <row r="5580" spans="1:4" x14ac:dyDescent="0.2">
      <c r="A5580" s="5">
        <v>5519</v>
      </c>
      <c r="B5580" s="138">
        <f>'Revenues 9-14'!F65</f>
        <v>6796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6796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11726</v>
      </c>
      <c r="D5586" s="2" t="str">
        <f t="shared" si="86"/>
        <v>Error?</v>
      </c>
    </row>
    <row r="5587" spans="1:4" x14ac:dyDescent="0.2">
      <c r="A5587" s="5">
        <v>5526</v>
      </c>
      <c r="B5587" s="138">
        <f>'Revenues 9-14'!F108</f>
        <v>11726</v>
      </c>
      <c r="C5587" s="2" t="s">
        <v>573</v>
      </c>
      <c r="D5587" s="2" t="str">
        <f t="shared" si="86"/>
        <v>Error?</v>
      </c>
    </row>
    <row r="5588" spans="1:4" x14ac:dyDescent="0.2">
      <c r="A5588" s="5">
        <v>5527</v>
      </c>
      <c r="B5588" s="138">
        <f>'Revenues 9-14'!F109</f>
        <v>533754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421106</v>
      </c>
      <c r="D5615" s="2" t="str">
        <f t="shared" si="86"/>
        <v>Error?</v>
      </c>
    </row>
    <row r="5616" spans="1:4" x14ac:dyDescent="0.2">
      <c r="A5616" s="10">
        <v>5555</v>
      </c>
      <c r="D5616" s="2" t="str">
        <f t="shared" si="86"/>
        <v>OK</v>
      </c>
    </row>
    <row r="5617" spans="1:5" x14ac:dyDescent="0.2">
      <c r="A5617" s="5">
        <v>5556</v>
      </c>
      <c r="B5617" s="138">
        <f>'Revenues 9-14'!F153</f>
        <v>402695</v>
      </c>
      <c r="D5617" s="2" t="str">
        <f t="shared" si="86"/>
        <v>Error?</v>
      </c>
    </row>
    <row r="5618" spans="1:5" x14ac:dyDescent="0.2">
      <c r="A5618" s="5">
        <v>5557</v>
      </c>
      <c r="B5618" s="138">
        <f>'Revenues 9-14'!F155</f>
        <v>823801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823801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823801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1357555</v>
      </c>
      <c r="C5720" s="2" t="s">
        <v>573</v>
      </c>
      <c r="D5720" s="2" t="str">
        <f t="shared" si="88"/>
        <v>Error?</v>
      </c>
    </row>
    <row r="5721" spans="1:4" x14ac:dyDescent="0.2">
      <c r="A5721" s="5">
        <v>5660</v>
      </c>
      <c r="B5721" s="138">
        <f>'Revenues 9-14'!G5</f>
        <v>300578</v>
      </c>
      <c r="D5721" s="2" t="str">
        <f t="shared" si="88"/>
        <v>Error?</v>
      </c>
    </row>
    <row r="5722" spans="1:4" x14ac:dyDescent="0.2">
      <c r="A5722" s="5">
        <v>5661</v>
      </c>
      <c r="B5722" s="138">
        <f>'Revenues 9-14'!G7</f>
        <v>0</v>
      </c>
      <c r="D5722" s="2" t="str">
        <f t="shared" si="88"/>
        <v>Error?</v>
      </c>
    </row>
    <row r="5723" spans="1:4" x14ac:dyDescent="0.2">
      <c r="A5723" s="5">
        <v>5662</v>
      </c>
      <c r="B5723" s="138">
        <f>'Revenues 9-14'!G8</f>
        <v>497726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798304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11019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11019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809323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9796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9796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685424</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695220</v>
      </c>
      <c r="C5915" s="2" t="s">
        <v>573</v>
      </c>
      <c r="D5915" s="2" t="str">
        <f t="shared" si="91"/>
        <v>Error?</v>
      </c>
    </row>
    <row r="5916" spans="1:4" x14ac:dyDescent="0.2">
      <c r="A5916" s="5">
        <v>5855</v>
      </c>
      <c r="B5916" s="138">
        <f>'Revenues 9-14'!I5</f>
        <v>111369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111369</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76391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76391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187760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111369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111369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2315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2315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113684</v>
      </c>
      <c r="C6023" s="2" t="s">
        <v>573</v>
      </c>
      <c r="D6023" s="2" t="str">
        <f t="shared" si="93"/>
        <v>Error?</v>
      </c>
    </row>
    <row r="6024" spans="1:5" x14ac:dyDescent="0.2">
      <c r="A6024" s="5">
        <v>5963</v>
      </c>
      <c r="B6024" s="138">
        <f>'Revenues 9-14'!G109</f>
        <v>809323</v>
      </c>
      <c r="C6024" s="2" t="s">
        <v>573</v>
      </c>
      <c r="D6024" s="2" t="str">
        <f t="shared" si="93"/>
        <v>Error?</v>
      </c>
    </row>
    <row r="6025" spans="1:5" x14ac:dyDescent="0.2">
      <c r="A6025" s="5">
        <v>5964</v>
      </c>
      <c r="B6025" s="138">
        <f>'Revenues 9-14'!H109</f>
        <v>695220</v>
      </c>
      <c r="C6025" s="2" t="s">
        <v>573</v>
      </c>
      <c r="D6025" s="2" t="str">
        <f t="shared" si="93"/>
        <v>Error?</v>
      </c>
    </row>
    <row r="6026" spans="1:5" x14ac:dyDescent="0.2">
      <c r="A6026" s="5">
        <v>5965</v>
      </c>
      <c r="B6026" s="138">
        <f>'Revenues 9-14'!I109</f>
        <v>187760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113684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311549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77398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1626.2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269054</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269054</v>
      </c>
      <c r="D6215" s="2" t="str">
        <f t="shared" si="96"/>
        <v>Error?</v>
      </c>
      <c r="E6215" s="2" t="s">
        <v>190</v>
      </c>
    </row>
    <row r="6216" spans="1:5" x14ac:dyDescent="0.2">
      <c r="A6216">
        <v>6155</v>
      </c>
      <c r="B6216" s="138">
        <f>'Assets-Liab 5-6'!J41</f>
        <v>269054</v>
      </c>
      <c r="D6216" s="2" t="str">
        <f t="shared" si="96"/>
        <v>Error?</v>
      </c>
      <c r="E6216" s="2" t="s">
        <v>190</v>
      </c>
    </row>
    <row r="6217" spans="1:5" x14ac:dyDescent="0.2">
      <c r="A6217">
        <v>6156</v>
      </c>
      <c r="B6217" s="138">
        <f>'Assets-Liab 5-6'!J4</f>
        <v>32249</v>
      </c>
      <c r="D6217" s="2" t="str">
        <f t="shared" si="96"/>
        <v>Error?</v>
      </c>
      <c r="E6217" s="2" t="s">
        <v>190</v>
      </c>
    </row>
    <row r="6218" spans="1:5" x14ac:dyDescent="0.2">
      <c r="A6218">
        <v>6157</v>
      </c>
      <c r="B6218" s="138">
        <f>'Assets-Liab 5-6'!J5</f>
        <v>236805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818187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818187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818187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868123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868123</v>
      </c>
      <c r="D6229" s="2" t="str">
        <f t="shared" si="96"/>
        <v>Error?</v>
      </c>
      <c r="E6229" s="2" t="s">
        <v>190</v>
      </c>
    </row>
    <row r="6230" spans="1:5" x14ac:dyDescent="0.2">
      <c r="A6230">
        <v>6169</v>
      </c>
      <c r="B6230" s="138">
        <f>'Acct Summary 7-8'!J20</f>
        <v>-49936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73112</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73112</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73112</v>
      </c>
      <c r="D6262" s="2" t="str">
        <f t="shared" si="96"/>
        <v>Error?</v>
      </c>
      <c r="E6262" s="2" t="s">
        <v>190</v>
      </c>
    </row>
    <row r="6263" spans="1:5" x14ac:dyDescent="0.2">
      <c r="A6263">
        <v>6202</v>
      </c>
      <c r="B6263" s="138">
        <f>'Acct Summary 7-8'!J78</f>
        <v>23176</v>
      </c>
      <c r="D6263" s="2" t="str">
        <f t="shared" si="96"/>
        <v>Error?</v>
      </c>
      <c r="E6263" s="2" t="s">
        <v>190</v>
      </c>
    </row>
    <row r="6264" spans="1:5" x14ac:dyDescent="0.2">
      <c r="A6264">
        <v>6203</v>
      </c>
      <c r="B6264" s="138">
        <f>'Acct Summary 7-8'!J79</f>
        <v>245878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269054</v>
      </c>
      <c r="D6266" s="2" t="str">
        <f t="shared" si="96"/>
        <v>Error?</v>
      </c>
      <c r="E6266" s="2" t="s">
        <v>190</v>
      </c>
    </row>
    <row r="6267" spans="1:5" x14ac:dyDescent="0.2">
      <c r="A6267">
        <v>6206</v>
      </c>
      <c r="B6267" s="138">
        <f>'Acct Summary 7-8'!C82</f>
        <v>1660014</v>
      </c>
      <c r="D6267" s="2" t="str">
        <f t="shared" si="96"/>
        <v>Error?</v>
      </c>
      <c r="E6267" s="2" t="s">
        <v>190</v>
      </c>
    </row>
    <row r="6268" spans="1:5" x14ac:dyDescent="0.2">
      <c r="A6268">
        <v>6207</v>
      </c>
      <c r="B6268" s="138">
        <f>'Acct Summary 7-8'!D82</f>
        <v>641223</v>
      </c>
      <c r="D6268" s="2" t="str">
        <f t="shared" si="96"/>
        <v>Error?</v>
      </c>
      <c r="E6268" s="2" t="s">
        <v>190</v>
      </c>
    </row>
    <row r="6269" spans="1:5" x14ac:dyDescent="0.2">
      <c r="A6269">
        <v>6208</v>
      </c>
      <c r="B6269" s="138">
        <f>'Acct Summary 7-8'!E82</f>
        <v>303198</v>
      </c>
      <c r="D6269" s="2" t="str">
        <f t="shared" si="96"/>
        <v>Error?</v>
      </c>
      <c r="E6269" s="2" t="s">
        <v>190</v>
      </c>
    </row>
    <row r="6270" spans="1:5" x14ac:dyDescent="0.2">
      <c r="A6270">
        <v>6209</v>
      </c>
      <c r="B6270" s="138">
        <f>'Acct Summary 7-8'!F82</f>
        <v>1237454</v>
      </c>
      <c r="D6270" s="2" t="str">
        <f t="shared" si="96"/>
        <v>Error?</v>
      </c>
      <c r="E6270" s="2" t="s">
        <v>190</v>
      </c>
    </row>
    <row r="6271" spans="1:5" x14ac:dyDescent="0.2">
      <c r="A6271">
        <v>6210</v>
      </c>
      <c r="B6271" s="138">
        <f>'Acct Summary 7-8'!G82</f>
        <v>150207</v>
      </c>
      <c r="D6271" s="2" t="str">
        <f t="shared" ref="D6271:D6334" si="97">IF(ISBLANK(B6271),"OK",IF(A6271-B6271=0,"OK","Error?"))</f>
        <v>Error?</v>
      </c>
      <c r="E6271" s="2" t="s">
        <v>190</v>
      </c>
    </row>
    <row r="6272" spans="1:5" x14ac:dyDescent="0.2">
      <c r="A6272">
        <v>6211</v>
      </c>
      <c r="B6272" s="138">
        <f>'Acct Summary 7-8'!H82</f>
        <v>218394</v>
      </c>
      <c r="D6272" s="2" t="str">
        <f t="shared" si="97"/>
        <v>Error?</v>
      </c>
      <c r="E6272" s="2" t="s">
        <v>190</v>
      </c>
    </row>
    <row r="6273" spans="1:5" x14ac:dyDescent="0.2">
      <c r="A6273">
        <v>6212</v>
      </c>
      <c r="B6273" s="138">
        <f>'Acct Summary 7-8'!I82</f>
        <v>2126271</v>
      </c>
      <c r="D6273" s="2" t="str">
        <f t="shared" si="97"/>
        <v>Error?</v>
      </c>
      <c r="E6273" s="2" t="s">
        <v>190</v>
      </c>
    </row>
    <row r="6274" spans="1:5" x14ac:dyDescent="0.2">
      <c r="A6274">
        <v>6213</v>
      </c>
      <c r="B6274" s="138">
        <f>'Acct Summary 7-8'!J82</f>
        <v>23176</v>
      </c>
      <c r="D6274" s="2" t="str">
        <f t="shared" si="97"/>
        <v>Error?</v>
      </c>
      <c r="E6274" s="2" t="s">
        <v>190</v>
      </c>
    </row>
    <row r="6275" spans="1:5" x14ac:dyDescent="0.2">
      <c r="A6275">
        <v>6214</v>
      </c>
      <c r="B6275" s="138">
        <f>'Acct Summary 7-8'!K82</f>
        <v>49484</v>
      </c>
      <c r="D6275" s="2" t="str">
        <f t="shared" si="97"/>
        <v>Error?</v>
      </c>
      <c r="E6275" s="2" t="s">
        <v>190</v>
      </c>
    </row>
    <row r="6276" spans="1:5" x14ac:dyDescent="0.2">
      <c r="A6276">
        <v>6215</v>
      </c>
      <c r="B6276" s="138">
        <f>'Acct Summary 7-8'!C83</f>
        <v>0.83391933254865203</v>
      </c>
      <c r="D6276" s="2" t="str">
        <f t="shared" si="97"/>
        <v>Error?</v>
      </c>
      <c r="E6276" s="2" t="s">
        <v>190</v>
      </c>
    </row>
    <row r="6277" spans="1:5" x14ac:dyDescent="0.2">
      <c r="A6277">
        <v>6216</v>
      </c>
      <c r="B6277" s="138">
        <f>'Acct Summary 7-8'!D83</f>
        <v>0.84230029581912469</v>
      </c>
      <c r="D6277" s="2" t="str">
        <f t="shared" si="97"/>
        <v>Error?</v>
      </c>
      <c r="E6277" s="2" t="s">
        <v>190</v>
      </c>
    </row>
    <row r="6278" spans="1:5" x14ac:dyDescent="0.2">
      <c r="A6278">
        <v>6217</v>
      </c>
      <c r="B6278" s="138">
        <f>'Acct Summary 7-8'!E83</f>
        <v>0.8300813386518755</v>
      </c>
      <c r="D6278" s="2" t="str">
        <f t="shared" si="97"/>
        <v>Error?</v>
      </c>
      <c r="E6278" s="2" t="s">
        <v>190</v>
      </c>
    </row>
    <row r="6279" spans="1:5" x14ac:dyDescent="0.2">
      <c r="A6279">
        <v>6218</v>
      </c>
      <c r="B6279" s="138">
        <f>'Acct Summary 7-8'!F83</f>
        <v>0.85704391621642773</v>
      </c>
      <c r="D6279" s="2" t="str">
        <f t="shared" si="97"/>
        <v>Error?</v>
      </c>
      <c r="E6279" s="2" t="s">
        <v>190</v>
      </c>
    </row>
    <row r="6280" spans="1:5" x14ac:dyDescent="0.2">
      <c r="A6280">
        <v>6219</v>
      </c>
      <c r="B6280" s="138">
        <f>'Acct Summary 7-8'!G83</f>
        <v>0.16298078175047526</v>
      </c>
      <c r="D6280" s="2" t="str">
        <f t="shared" si="97"/>
        <v>Error?</v>
      </c>
      <c r="E6280" s="2" t="s">
        <v>190</v>
      </c>
    </row>
    <row r="6281" spans="1:5" x14ac:dyDescent="0.2">
      <c r="A6281">
        <v>6220</v>
      </c>
      <c r="B6281" s="138">
        <f>'Acct Summary 7-8'!H83</f>
        <v>0.20995345134887261</v>
      </c>
      <c r="D6281" s="2" t="str">
        <f t="shared" si="97"/>
        <v>Error?</v>
      </c>
      <c r="E6281" s="2" t="s">
        <v>190</v>
      </c>
    </row>
    <row r="6282" spans="1:5" x14ac:dyDescent="0.2">
      <c r="A6282">
        <v>6221</v>
      </c>
      <c r="B6282" s="138">
        <f>'Acct Summary 7-8'!I83</f>
        <v>0.31642901055020822</v>
      </c>
      <c r="D6282" s="2" t="str">
        <f t="shared" si="97"/>
        <v>Error?</v>
      </c>
      <c r="E6282" s="2" t="s">
        <v>190</v>
      </c>
    </row>
    <row r="6283" spans="1:5" x14ac:dyDescent="0.2">
      <c r="A6283">
        <v>6222</v>
      </c>
      <c r="B6283" s="138">
        <f>'Acct Summary 7-8'!J83</f>
        <v>8.61388420168442E-2</v>
      </c>
      <c r="D6283" s="2" t="str">
        <f t="shared" si="97"/>
        <v>Error?</v>
      </c>
      <c r="E6283" s="2" t="s">
        <v>190</v>
      </c>
    </row>
    <row r="6284" spans="1:5" x14ac:dyDescent="0.2">
      <c r="A6284">
        <v>6223</v>
      </c>
      <c r="B6284" s="138">
        <f>'Acct Summary 7-8'!K83</f>
        <v>0.17496517244061635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812809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812809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5378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5378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24931</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818187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36407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189916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222912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868123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818187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58200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58200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58200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13607</v>
      </c>
      <c r="D7073" s="2" t="str">
        <f t="shared" si="109"/>
        <v>Error?</v>
      </c>
    </row>
    <row r="7074" spans="1:4" x14ac:dyDescent="0.2">
      <c r="A7074">
        <v>7013</v>
      </c>
      <c r="B7074" s="138">
        <f>'Expenditures 15-22'!K216</f>
        <v>13607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126995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126995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4690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4690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123227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123227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495816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495816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73566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73566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868123</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868123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868123</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868123</v>
      </c>
      <c r="D7224" s="2" t="str">
        <f t="shared" si="111"/>
        <v>Error?</v>
      </c>
    </row>
    <row r="7225" spans="1:4" x14ac:dyDescent="0.2">
      <c r="A7225">
        <v>7164</v>
      </c>
      <c r="B7225" s="138">
        <f>'Expenditures 15-22'!K343</f>
        <v>-49936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16927</v>
      </c>
      <c r="D7246" s="2" t="str">
        <f t="shared" si="112"/>
        <v>Error?</v>
      </c>
    </row>
    <row r="7247" spans="1:4" x14ac:dyDescent="0.2">
      <c r="A7247">
        <f t="shared" si="113"/>
        <v>7186</v>
      </c>
      <c r="B7247" s="138">
        <f>'Expenditures 15-22'!E7</f>
        <v>1961</v>
      </c>
      <c r="D7247" s="2" t="str">
        <f t="shared" si="112"/>
        <v>Error?</v>
      </c>
    </row>
    <row r="7248" spans="1:4" x14ac:dyDescent="0.2">
      <c r="A7248">
        <f t="shared" si="113"/>
        <v>7187</v>
      </c>
      <c r="B7248" s="138">
        <f>'Expenditures 15-22'!F7</f>
        <v>14108</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58200</v>
      </c>
      <c r="D7624" s="2" t="str">
        <f t="shared" si="124"/>
        <v>Error?</v>
      </c>
      <c r="E7624" s="2" t="s">
        <v>19</v>
      </c>
    </row>
    <row r="7625" spans="1:5" x14ac:dyDescent="0.2">
      <c r="A7625">
        <f t="shared" si="123"/>
        <v>7564</v>
      </c>
      <c r="B7625" s="138">
        <f>'Cap Outlay Deprec 26'!I17</f>
        <v>5820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921822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4371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4371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39458</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39458</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821808</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9796</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24931</v>
      </c>
      <c r="D7712" s="2" t="str">
        <f t="shared" si="126"/>
        <v>Error?</v>
      </c>
      <c r="E7712" s="2" t="s">
        <v>827</v>
      </c>
    </row>
    <row r="7713" spans="1:6" x14ac:dyDescent="0.2">
      <c r="A7713">
        <v>7652</v>
      </c>
      <c r="B7713" s="138">
        <f>'Rest Tax Levies-Tort Im 25'!J8</f>
        <v>685424</v>
      </c>
      <c r="D7713" s="2" t="str">
        <f t="shared" si="126"/>
        <v>Error?</v>
      </c>
      <c r="E7713" s="2" t="s">
        <v>827</v>
      </c>
    </row>
    <row r="7714" spans="1:6" x14ac:dyDescent="0.2">
      <c r="A7714">
        <v>7653</v>
      </c>
      <c r="B7714" s="138">
        <f>'Rest Tax Levies-Tort Im 25'!K9</f>
        <v>24446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695220</v>
      </c>
      <c r="D7718" s="2" t="str">
        <f t="shared" si="126"/>
        <v>Error?</v>
      </c>
      <c r="E7718" s="2" t="s">
        <v>827</v>
      </c>
    </row>
    <row r="7719" spans="1:6" x14ac:dyDescent="0.2">
      <c r="A7719">
        <v>7658</v>
      </c>
      <c r="B7719" s="138">
        <f>'Rest Tax Levies-Tort Im 25'!K12</f>
        <v>49377</v>
      </c>
      <c r="D7719" s="2" t="str">
        <f t="shared" si="126"/>
        <v>Error?</v>
      </c>
      <c r="E7719" s="2" t="s">
        <v>827</v>
      </c>
    </row>
    <row r="7720" spans="1:6" x14ac:dyDescent="0.2">
      <c r="A7720">
        <v>7659</v>
      </c>
      <c r="B7720" s="138">
        <f>'Rest Tax Levies-Tort Im 25'!H14</f>
        <v>89092</v>
      </c>
      <c r="D7720" s="2" t="str">
        <f t="shared" si="126"/>
        <v>Error?</v>
      </c>
      <c r="E7720" s="2" t="s">
        <v>827</v>
      </c>
    </row>
    <row r="7721" spans="1:6" x14ac:dyDescent="0.2">
      <c r="A7721">
        <v>7660</v>
      </c>
      <c r="B7721" s="138">
        <f>'Rest Tax Levies-Tort Im 25'!K14</f>
        <v>49377</v>
      </c>
      <c r="D7721" s="2" t="str">
        <f t="shared" si="126"/>
        <v>Error?</v>
      </c>
      <c r="E7721" s="2" t="s">
        <v>827</v>
      </c>
    </row>
    <row r="7722" spans="1:6" x14ac:dyDescent="0.2">
      <c r="A7722">
        <v>7661</v>
      </c>
      <c r="B7722" s="138">
        <f>'Rest Tax Levies-Tort Im 25'!J15</f>
        <v>476826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476826</v>
      </c>
      <c r="D7730" s="2" t="str">
        <f t="shared" si="126"/>
        <v>Error?</v>
      </c>
      <c r="E7730" s="2" t="s">
        <v>827</v>
      </c>
    </row>
    <row r="7731" spans="1:6" x14ac:dyDescent="0.2">
      <c r="A7731">
        <v>7670</v>
      </c>
      <c r="B7731" s="138">
        <f>'Revenues 9-14'!H103</f>
        <v>685424</v>
      </c>
      <c r="D7731" s="2" t="str">
        <f t="shared" si="126"/>
        <v>Error?</v>
      </c>
      <c r="E7731" s="2" t="s">
        <v>827</v>
      </c>
    </row>
    <row r="7732" spans="1:6" x14ac:dyDescent="0.2">
      <c r="A7732">
        <v>7671</v>
      </c>
      <c r="B7732" s="138">
        <f>'Rest Tax Levies-Tort Im 25'!J24</f>
        <v>1040202</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1040202</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700000</v>
      </c>
      <c r="D7748" s="2" t="str">
        <f t="shared" si="127"/>
        <v>Error?</v>
      </c>
      <c r="E7748" s="4" t="s">
        <v>1333</v>
      </c>
    </row>
    <row r="7749" spans="1:6" x14ac:dyDescent="0.2">
      <c r="A7749">
        <v>7688</v>
      </c>
      <c r="B7749" s="138">
        <f>'Acct Summary 7-8'!D25</f>
        <v>700000</v>
      </c>
      <c r="D7749" s="2" t="str">
        <f t="shared" si="127"/>
        <v>Error?</v>
      </c>
      <c r="E7749" s="4" t="s">
        <v>1333</v>
      </c>
    </row>
    <row r="7750" spans="1:6" x14ac:dyDescent="0.2">
      <c r="A7750">
        <v>7689</v>
      </c>
      <c r="B7750" s="138">
        <f>'Acct Summary 7-8'!E25</f>
        <v>150000</v>
      </c>
      <c r="D7750" s="2" t="str">
        <f t="shared" si="127"/>
        <v>Error?</v>
      </c>
      <c r="E7750" s="4" t="s">
        <v>1333</v>
      </c>
    </row>
    <row r="7751" spans="1:6" x14ac:dyDescent="0.2">
      <c r="A7751">
        <v>7690</v>
      </c>
      <c r="B7751" s="138">
        <f>'Acct Summary 7-8'!F25</f>
        <v>2500000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45000</v>
      </c>
      <c r="D7797" s="2" t="str">
        <f t="shared" si="127"/>
        <v>Error?</v>
      </c>
      <c r="E7797" s="4" t="s">
        <v>1901</v>
      </c>
    </row>
    <row r="7798" spans="1:5" x14ac:dyDescent="0.2">
      <c r="A7798">
        <v>7737</v>
      </c>
      <c r="B7798" s="138">
        <f>'Contracts Paid in CY 29'!F141</f>
        <v>25000</v>
      </c>
      <c r="D7798" s="2" t="str">
        <f t="shared" si="127"/>
        <v>Error?</v>
      </c>
      <c r="E7798" s="4" t="s">
        <v>1901</v>
      </c>
    </row>
    <row r="7799" spans="1:5" x14ac:dyDescent="0.2">
      <c r="A7799">
        <v>7738</v>
      </c>
      <c r="B7799" s="138">
        <f>'Contracts Paid in CY 29'!G141</f>
        <v>20000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5" zoomScale="110" zoomScaleNormal="110" workbookViewId="0">
      <selection activeCell="U31" sqref="U3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2" t="s">
        <v>1191</v>
      </c>
      <c r="B2" s="2382"/>
      <c r="C2" s="2382"/>
      <c r="D2" s="2382"/>
      <c r="E2" s="2382"/>
      <c r="F2" s="2382"/>
      <c r="G2" s="2382"/>
      <c r="H2" s="2382"/>
      <c r="I2" s="2382"/>
      <c r="J2" s="2382"/>
      <c r="K2" s="2382"/>
      <c r="L2" s="2382"/>
    </row>
    <row r="3" spans="1:29" ht="13.5" customHeight="1" x14ac:dyDescent="0.2">
      <c r="A3" s="2413" t="s">
        <v>1190</v>
      </c>
      <c r="B3" s="2413"/>
      <c r="C3" s="2413"/>
      <c r="D3" s="2413"/>
      <c r="E3" s="2413"/>
      <c r="F3" s="2413"/>
      <c r="G3" s="2413"/>
      <c r="H3" s="2413"/>
      <c r="I3" s="2413"/>
      <c r="J3" s="2413"/>
      <c r="K3" s="2413"/>
      <c r="L3" s="2413"/>
    </row>
    <row r="4" spans="1:29" ht="13.5" customHeight="1" x14ac:dyDescent="0.2">
      <c r="A4" s="2382" t="s">
        <v>1985</v>
      </c>
      <c r="B4" s="2403"/>
      <c r="C4" s="2403"/>
      <c r="D4" s="2403"/>
      <c r="E4" s="2403"/>
      <c r="F4" s="2403"/>
      <c r="G4" s="2403"/>
      <c r="H4" s="2403"/>
      <c r="I4" s="2403"/>
      <c r="J4" s="2403"/>
      <c r="K4" s="2403"/>
      <c r="L4" s="240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4" t="str">
        <f>COVER!A17</f>
        <v>Prairie Central CUSD 8</v>
      </c>
      <c r="B7" s="2405"/>
      <c r="C7" s="2405"/>
      <c r="D7" s="2406"/>
      <c r="E7" s="2407">
        <f>COVER!A13</f>
        <v>17053008026</v>
      </c>
      <c r="F7" s="2408"/>
      <c r="G7" s="2414">
        <f>COVER!T23</f>
        <v>66.004384999999999</v>
      </c>
      <c r="H7" s="2415"/>
      <c r="I7" s="2415"/>
      <c r="J7" s="2415"/>
      <c r="K7" s="2415"/>
      <c r="L7" s="241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7"/>
      <c r="B9" s="2418"/>
      <c r="C9" s="2418"/>
      <c r="D9" s="2418"/>
      <c r="E9" s="2418"/>
      <c r="F9" s="2419"/>
      <c r="G9" s="2388" t="str">
        <f>COVER!T13</f>
        <v>FLOYD &amp; ASSOCIATES, CPAs</v>
      </c>
      <c r="H9" s="2420"/>
      <c r="I9" s="2420"/>
      <c r="J9" s="2420"/>
      <c r="K9" s="2420"/>
      <c r="L9" s="2421"/>
    </row>
    <row r="10" spans="1:29" ht="13.5" customHeight="1" x14ac:dyDescent="0.2">
      <c r="A10" s="2394" t="str">
        <f>COVER!A38</f>
        <v>PAULA CRANE</v>
      </c>
      <c r="B10" s="2395"/>
      <c r="C10" s="2395"/>
      <c r="D10" s="2395"/>
      <c r="E10" s="2395"/>
      <c r="F10" s="2396"/>
      <c r="G10" s="2388" t="str">
        <f>COVER!T17</f>
        <v>910 STATE HIGHWAY 54 EAST</v>
      </c>
      <c r="H10" s="2389"/>
      <c r="I10" s="2389"/>
      <c r="J10" s="2389"/>
      <c r="K10" s="2389"/>
      <c r="L10" s="2390"/>
    </row>
    <row r="11" spans="1:29" ht="13.5" customHeight="1" x14ac:dyDescent="0.2">
      <c r="A11" s="1184" t="s">
        <v>1519</v>
      </c>
      <c r="B11" s="1185"/>
      <c r="C11" s="1186"/>
      <c r="D11" s="1191"/>
      <c r="E11" s="1186"/>
      <c r="F11" s="1190"/>
      <c r="G11" s="2388" t="str">
        <f>COVER!T19</f>
        <v>CLINTON</v>
      </c>
      <c r="H11" s="2389"/>
      <c r="I11" s="2389"/>
      <c r="J11" s="2389"/>
      <c r="K11" s="2389"/>
      <c r="L11" s="2390"/>
    </row>
    <row r="12" spans="1:29" ht="13.5" customHeight="1" x14ac:dyDescent="0.2">
      <c r="A12" s="2397" t="s">
        <v>1518</v>
      </c>
      <c r="B12" s="2398"/>
      <c r="C12" s="2398"/>
      <c r="D12" s="2398"/>
      <c r="E12" s="2398"/>
      <c r="F12" s="2399"/>
      <c r="G12" s="2391"/>
      <c r="H12" s="2392"/>
      <c r="I12" s="2392"/>
      <c r="J12" s="2392"/>
      <c r="K12" s="2392"/>
      <c r="L12" s="2393"/>
    </row>
    <row r="13" spans="1:29" ht="13.5" customHeight="1" x14ac:dyDescent="0.2">
      <c r="A13" s="2388"/>
      <c r="B13" s="2389"/>
      <c r="C13" s="2389"/>
      <c r="D13" s="2389"/>
      <c r="E13" s="2389"/>
      <c r="F13" s="2390"/>
      <c r="G13" s="2383" t="s">
        <v>1520</v>
      </c>
      <c r="H13" s="2384"/>
      <c r="I13" s="2400" t="str">
        <f>COVER!T25</f>
        <v>julie.floyd@frontier.com</v>
      </c>
      <c r="J13" s="2401"/>
      <c r="K13" s="2401"/>
      <c r="L13" s="2402"/>
    </row>
    <row r="14" spans="1:29" ht="13.5" customHeight="1" x14ac:dyDescent="0.2">
      <c r="A14" s="2388" t="str">
        <f>COVER!A19</f>
        <v>605 NORTH SEVENTH STREET</v>
      </c>
      <c r="B14" s="2389"/>
      <c r="C14" s="2389"/>
      <c r="D14" s="2389"/>
      <c r="E14" s="2389"/>
      <c r="F14" s="2390"/>
      <c r="G14" s="1195" t="s">
        <v>1185</v>
      </c>
      <c r="H14" s="1193"/>
      <c r="I14" s="1193"/>
      <c r="J14" s="1193"/>
      <c r="K14" s="1193"/>
      <c r="L14" s="1194"/>
    </row>
    <row r="15" spans="1:29" ht="13.5" customHeight="1" x14ac:dyDescent="0.2">
      <c r="A15" s="2388" t="str">
        <f>COVER!A21</f>
        <v>FAIRBURY</v>
      </c>
      <c r="B15" s="2389"/>
      <c r="C15" s="2389"/>
      <c r="D15" s="2389"/>
      <c r="E15" s="2389"/>
      <c r="F15" s="2390"/>
      <c r="G15" s="2385" t="str">
        <f>COVER!T15</f>
        <v>JULIE M. FLOYD, CPA</v>
      </c>
      <c r="H15" s="2386"/>
      <c r="I15" s="2386"/>
      <c r="J15" s="2386"/>
      <c r="K15" s="2386"/>
      <c r="L15" s="2387"/>
    </row>
    <row r="16" spans="1:29" ht="12.2" customHeight="1" x14ac:dyDescent="0.2">
      <c r="A16" s="2410">
        <f>COVER!A25</f>
        <v>61739</v>
      </c>
      <c r="B16" s="2411"/>
      <c r="C16" s="2411"/>
      <c r="D16" s="2411"/>
      <c r="E16" s="2411"/>
      <c r="F16" s="2412"/>
      <c r="G16" s="2422"/>
      <c r="H16" s="2423"/>
      <c r="I16" s="2423"/>
      <c r="J16" s="2423"/>
      <c r="K16" s="2423"/>
      <c r="L16" s="2424"/>
    </row>
    <row r="17" spans="1:13" ht="12.2" customHeight="1" x14ac:dyDescent="0.2">
      <c r="A17" s="2425"/>
      <c r="B17" s="2411"/>
      <c r="C17" s="2411"/>
      <c r="D17" s="2411"/>
      <c r="E17" s="2411"/>
      <c r="F17" s="2412"/>
      <c r="G17" s="1195" t="s">
        <v>1184</v>
      </c>
      <c r="H17" s="1193"/>
      <c r="I17" s="1193"/>
      <c r="J17" s="1193"/>
      <c r="K17" s="1197" t="s">
        <v>1183</v>
      </c>
      <c r="L17" s="1190"/>
      <c r="M17" s="1183"/>
    </row>
    <row r="18" spans="1:13" ht="12.2" customHeight="1" x14ac:dyDescent="0.2">
      <c r="A18" s="2394"/>
      <c r="B18" s="2395"/>
      <c r="C18" s="2395"/>
      <c r="D18" s="2395"/>
      <c r="E18" s="2395"/>
      <c r="F18" s="2396"/>
      <c r="G18" s="2404" t="str">
        <f>COVER!T21</f>
        <v>217-935-8871</v>
      </c>
      <c r="H18" s="2405"/>
      <c r="I18" s="2405"/>
      <c r="J18" s="2405"/>
      <c r="K18" s="2404" t="str">
        <f>COVER!X21</f>
        <v>217-935-5711</v>
      </c>
      <c r="L18" s="240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U31" sqref="U3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6" t="str">
        <f>'Single Audit Cover'!A7</f>
        <v>Prairie Central CUSD 8</v>
      </c>
      <c r="B1" s="2403"/>
      <c r="C1" s="2403"/>
      <c r="D1" s="2403"/>
    </row>
    <row r="2" spans="1:11" s="1212" customFormat="1" ht="12.75" x14ac:dyDescent="0.2">
      <c r="A2" s="2427">
        <f>'Single Audit Cover'!E7</f>
        <v>17053008026</v>
      </c>
      <c r="B2" s="2428"/>
      <c r="C2" s="2428"/>
      <c r="D2" s="2428"/>
    </row>
    <row r="3" spans="1:11" s="1212" customFormat="1" ht="12.75" x14ac:dyDescent="0.2">
      <c r="A3" s="2426" t="s">
        <v>1513</v>
      </c>
      <c r="B3" s="2403"/>
      <c r="C3" s="2403"/>
      <c r="D3" s="240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U31" sqref="U3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0" t="str">
        <f>'Single Audit Cover'!A7</f>
        <v>Prairie Central CUSD 8</v>
      </c>
      <c r="B1" s="2430"/>
      <c r="C1" s="2430"/>
      <c r="D1" s="2430"/>
      <c r="E1" s="2430"/>
    </row>
    <row r="2" spans="1:5" x14ac:dyDescent="0.2">
      <c r="A2" s="2431">
        <f>'Single Audit Cover'!E7</f>
        <v>17053008026</v>
      </c>
      <c r="B2" s="2431"/>
      <c r="C2" s="2431"/>
      <c r="D2" s="2431"/>
      <c r="E2" s="2431"/>
    </row>
    <row r="3" spans="1:5" ht="4.5" customHeight="1" x14ac:dyDescent="0.2"/>
    <row r="4" spans="1:5" x14ac:dyDescent="0.2">
      <c r="A4" s="2430" t="s">
        <v>1245</v>
      </c>
      <c r="B4" s="2430"/>
      <c r="C4" s="2430"/>
      <c r="D4" s="2430"/>
      <c r="E4" s="2430"/>
    </row>
    <row r="5" spans="1:5" x14ac:dyDescent="0.2">
      <c r="A5" s="2433" t="str">
        <f>'Single Audit Cover'!A4</f>
        <v>Year Ending June 30, 2019</v>
      </c>
      <c r="B5" s="2433"/>
      <c r="C5" s="2433"/>
      <c r="D5" s="2433"/>
      <c r="E5" s="2433"/>
    </row>
    <row r="6" spans="1:5" x14ac:dyDescent="0.2">
      <c r="A6" s="2430" t="s">
        <v>1244</v>
      </c>
      <c r="B6" s="2430"/>
      <c r="C6" s="2430"/>
      <c r="D6" s="2430"/>
      <c r="E6" s="2430"/>
    </row>
    <row r="8" spans="1:5" x14ac:dyDescent="0.2">
      <c r="A8" s="1257" t="s">
        <v>1243</v>
      </c>
    </row>
    <row r="10" spans="1:5" x14ac:dyDescent="0.2">
      <c r="A10" s="1258" t="s">
        <v>1242</v>
      </c>
      <c r="B10" s="1259" t="s">
        <v>1241</v>
      </c>
      <c r="C10" s="1259"/>
      <c r="D10" s="1260">
        <f>SUM('Acct Summary 7-8'!C7:K7)</f>
        <v>1108853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77398</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-53562</v>
      </c>
    </row>
    <row r="19" spans="1:4" ht="13.5" thickBot="1" x14ac:dyDescent="0.25">
      <c r="A19" s="1262" t="s">
        <v>1235</v>
      </c>
      <c r="D19" s="1263">
        <f>SUM(D10:D17)</f>
        <v>1132689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2"/>
      <c r="B24" s="2432"/>
      <c r="D24" s="1265"/>
    </row>
    <row r="25" spans="1:4" x14ac:dyDescent="0.2">
      <c r="A25" s="2429"/>
      <c r="B25" s="2429"/>
      <c r="D25" s="1265"/>
    </row>
    <row r="26" spans="1:4" x14ac:dyDescent="0.2">
      <c r="A26" s="2429"/>
      <c r="B26" s="2429"/>
      <c r="D26" s="1265"/>
    </row>
    <row r="27" spans="1:4" x14ac:dyDescent="0.2">
      <c r="A27" s="2429"/>
      <c r="B27" s="2429"/>
      <c r="D27" s="1265"/>
    </row>
    <row r="28" spans="1:4" x14ac:dyDescent="0.2">
      <c r="A28" s="2429"/>
      <c r="B28" s="2429"/>
      <c r="D28" s="1265"/>
    </row>
    <row r="29" spans="1:4" x14ac:dyDescent="0.2">
      <c r="A29" s="2429"/>
      <c r="B29" s="2429"/>
      <c r="D29" s="1265"/>
    </row>
    <row r="30" spans="1:4" x14ac:dyDescent="0.2">
      <c r="A30" s="2429"/>
      <c r="B30" s="2429"/>
      <c r="D30" s="1265"/>
    </row>
    <row r="32" spans="1:4" x14ac:dyDescent="0.2">
      <c r="A32" s="1257" t="s">
        <v>1233</v>
      </c>
      <c r="D32" s="1260">
        <f>SUM(D19:D30)</f>
        <v>1132689</v>
      </c>
    </row>
    <row r="33" spans="1:4" x14ac:dyDescent="0.2">
      <c r="D33" s="1266"/>
    </row>
    <row r="34" spans="1:4" x14ac:dyDescent="0.2">
      <c r="A34" s="317" t="s">
        <v>1232</v>
      </c>
    </row>
    <row r="35" spans="1:4" x14ac:dyDescent="0.2">
      <c r="A35" s="317" t="s">
        <v>1231</v>
      </c>
      <c r="B35" s="1255" t="s">
        <v>1230</v>
      </c>
      <c r="D35" s="1267">
        <v>1132689</v>
      </c>
    </row>
    <row r="37" spans="1:4" x14ac:dyDescent="0.2">
      <c r="A37" s="1257" t="s">
        <v>1229</v>
      </c>
    </row>
    <row r="39" spans="1:4" ht="13.35" customHeight="1" x14ac:dyDescent="0.2">
      <c r="A39" s="1264" t="s">
        <v>1228</v>
      </c>
    </row>
    <row r="40" spans="1:4" x14ac:dyDescent="0.2">
      <c r="A40" s="2429"/>
      <c r="B40" s="2429"/>
      <c r="D40" s="1265"/>
    </row>
    <row r="41" spans="1:4" x14ac:dyDescent="0.2">
      <c r="A41" s="2429"/>
      <c r="B41" s="2429"/>
      <c r="D41" s="1268"/>
    </row>
    <row r="42" spans="1:4" x14ac:dyDescent="0.2">
      <c r="A42" s="2429"/>
      <c r="B42" s="2429"/>
      <c r="D42" s="1268"/>
    </row>
    <row r="43" spans="1:4" x14ac:dyDescent="0.2">
      <c r="A43" s="2429"/>
      <c r="B43" s="2429"/>
      <c r="D43" s="1268"/>
    </row>
    <row r="44" spans="1:4" x14ac:dyDescent="0.2">
      <c r="A44" s="2429"/>
      <c r="B44" s="2429"/>
      <c r="D44" s="1268"/>
    </row>
    <row r="45" spans="1:4" x14ac:dyDescent="0.2">
      <c r="A45" s="2429"/>
      <c r="B45" s="2429"/>
      <c r="D45" s="1268"/>
    </row>
    <row r="47" spans="1:4" x14ac:dyDescent="0.2">
      <c r="B47" s="1269" t="s">
        <v>1227</v>
      </c>
      <c r="C47" s="1269"/>
      <c r="D47" s="1270">
        <f>SUM(D35:D45)</f>
        <v>1132689</v>
      </c>
    </row>
    <row r="49" spans="2:4" x14ac:dyDescent="0.2">
      <c r="B49" s="1269" t="s">
        <v>1226</v>
      </c>
      <c r="C49" s="1269"/>
      <c r="D49" s="127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U31" sqref="U3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Prairie Central CUSD 8</v>
      </c>
      <c r="C1" s="2434"/>
      <c r="D1" s="2434"/>
      <c r="E1" s="2434"/>
      <c r="F1" s="2434"/>
      <c r="G1" s="2434"/>
      <c r="H1" s="2434"/>
      <c r="I1" s="2434"/>
      <c r="J1" s="2434"/>
      <c r="K1" s="2434"/>
      <c r="L1" s="2434"/>
      <c r="M1" s="2434"/>
    </row>
    <row r="2" spans="2:14" ht="15" x14ac:dyDescent="0.2">
      <c r="B2" s="2435">
        <f>'Single Audit Cover'!E7</f>
        <v>17053008026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2106</v>
      </c>
      <c r="C11" s="1335"/>
      <c r="D11" s="1336"/>
      <c r="E11" s="1337"/>
      <c r="F11" s="1337"/>
      <c r="G11" s="1337"/>
      <c r="H11" s="1337"/>
      <c r="I11" s="1337"/>
      <c r="J11" s="1337"/>
      <c r="K11" s="1337"/>
      <c r="L11" s="1337">
        <f>+G11+I11+K11</f>
        <v>0</v>
      </c>
      <c r="M11" s="1337"/>
    </row>
    <row r="12" spans="2:14" ht="20.100000000000001" customHeight="1" x14ac:dyDescent="0.2">
      <c r="B12" s="1334" t="s">
        <v>2107</v>
      </c>
      <c r="C12" s="1338"/>
      <c r="D12" s="1339"/>
      <c r="E12" s="1340"/>
      <c r="F12" s="1340"/>
      <c r="G12" s="1340"/>
      <c r="H12" s="1340"/>
      <c r="I12" s="1340"/>
      <c r="J12" s="1340"/>
      <c r="K12" s="1340"/>
      <c r="L12" s="1337">
        <f t="shared" ref="L12:L27" si="0">+G12+I12+K12</f>
        <v>0</v>
      </c>
      <c r="M12" s="1340"/>
    </row>
    <row r="13" spans="2:14" ht="20.100000000000001" customHeight="1" x14ac:dyDescent="0.2">
      <c r="B13" s="1334" t="s">
        <v>2108</v>
      </c>
      <c r="C13" s="1338">
        <v>10.555</v>
      </c>
      <c r="D13" s="1339" t="s">
        <v>2109</v>
      </c>
      <c r="E13" s="1340">
        <v>287993</v>
      </c>
      <c r="F13" s="1340">
        <v>58694</v>
      </c>
      <c r="G13" s="1340">
        <v>287993</v>
      </c>
      <c r="H13" s="1340"/>
      <c r="I13" s="1340">
        <v>58694</v>
      </c>
      <c r="J13" s="1340"/>
      <c r="K13" s="1340"/>
      <c r="L13" s="1337">
        <f t="shared" si="0"/>
        <v>346687</v>
      </c>
      <c r="M13" s="1340" t="s">
        <v>2111</v>
      </c>
    </row>
    <row r="14" spans="2:14" ht="20.100000000000001" customHeight="1" x14ac:dyDescent="0.2">
      <c r="B14" s="1334" t="s">
        <v>2108</v>
      </c>
      <c r="C14" s="1338">
        <v>10.555</v>
      </c>
      <c r="D14" s="1339" t="s">
        <v>2110</v>
      </c>
      <c r="E14" s="1340"/>
      <c r="F14" s="1340">
        <v>263677</v>
      </c>
      <c r="G14" s="1340"/>
      <c r="H14" s="1340"/>
      <c r="I14" s="1340">
        <v>263677</v>
      </c>
      <c r="J14" s="1340"/>
      <c r="K14" s="1340"/>
      <c r="L14" s="1337">
        <f t="shared" si="0"/>
        <v>263677</v>
      </c>
      <c r="M14" s="1340" t="s">
        <v>2111</v>
      </c>
    </row>
    <row r="15" spans="2:14" ht="20.100000000000001" customHeight="1" x14ac:dyDescent="0.2">
      <c r="B15" s="1334" t="s">
        <v>1047</v>
      </c>
      <c r="C15" s="1338">
        <v>10.555999999999999</v>
      </c>
      <c r="D15" s="1339" t="s">
        <v>2113</v>
      </c>
      <c r="E15" s="1340">
        <v>1398</v>
      </c>
      <c r="F15" s="1340">
        <v>200</v>
      </c>
      <c r="G15" s="1340">
        <v>1398</v>
      </c>
      <c r="H15" s="1340"/>
      <c r="I15" s="1340">
        <v>200</v>
      </c>
      <c r="J15" s="1340"/>
      <c r="K15" s="1340"/>
      <c r="L15" s="1337">
        <f t="shared" si="0"/>
        <v>1598</v>
      </c>
      <c r="M15" s="1340" t="s">
        <v>2111</v>
      </c>
    </row>
    <row r="16" spans="2:14" ht="20.100000000000001" customHeight="1" x14ac:dyDescent="0.2">
      <c r="B16" s="1334" t="s">
        <v>1047</v>
      </c>
      <c r="C16" s="1338">
        <v>10.555999999999999</v>
      </c>
      <c r="D16" s="1339" t="s">
        <v>2114</v>
      </c>
      <c r="E16" s="1340"/>
      <c r="F16" s="1340">
        <v>1257</v>
      </c>
      <c r="G16" s="1340"/>
      <c r="H16" s="1340"/>
      <c r="I16" s="1340">
        <v>1257</v>
      </c>
      <c r="J16" s="1340"/>
      <c r="K16" s="1340"/>
      <c r="L16" s="1337">
        <f t="shared" si="0"/>
        <v>1257</v>
      </c>
      <c r="M16" s="1340" t="s">
        <v>2111</v>
      </c>
    </row>
    <row r="17" spans="2:14" ht="20.100000000000001" customHeight="1" x14ac:dyDescent="0.2">
      <c r="B17" s="1334" t="s">
        <v>1059</v>
      </c>
      <c r="C17" s="1338">
        <v>10.553000000000001</v>
      </c>
      <c r="D17" s="1339" t="s">
        <v>2112</v>
      </c>
      <c r="E17" s="1340">
        <v>69374</v>
      </c>
      <c r="F17" s="1340">
        <v>14125</v>
      </c>
      <c r="G17" s="1340">
        <v>69374</v>
      </c>
      <c r="H17" s="1340"/>
      <c r="I17" s="1340">
        <v>14125</v>
      </c>
      <c r="J17" s="1340"/>
      <c r="K17" s="1340"/>
      <c r="L17" s="1337">
        <f t="shared" si="0"/>
        <v>83499</v>
      </c>
      <c r="M17" s="1340" t="s">
        <v>2111</v>
      </c>
    </row>
    <row r="18" spans="2:14" ht="20.100000000000001" customHeight="1" x14ac:dyDescent="0.2">
      <c r="B18" s="1334" t="s">
        <v>1059</v>
      </c>
      <c r="C18" s="1338">
        <v>10.553000000000001</v>
      </c>
      <c r="D18" s="1339" t="s">
        <v>2115</v>
      </c>
      <c r="E18" s="1340"/>
      <c r="F18" s="1340">
        <v>69380</v>
      </c>
      <c r="G18" s="1340"/>
      <c r="H18" s="1340"/>
      <c r="I18" s="1340">
        <v>69380</v>
      </c>
      <c r="J18" s="1340"/>
      <c r="K18" s="1340"/>
      <c r="L18" s="1337">
        <f t="shared" si="0"/>
        <v>69380</v>
      </c>
      <c r="M18" s="1340" t="s">
        <v>2111</v>
      </c>
    </row>
    <row r="19" spans="2:14" ht="20.100000000000001" customHeight="1" x14ac:dyDescent="0.2">
      <c r="B19" s="1334" t="s">
        <v>2116</v>
      </c>
      <c r="C19" s="1338">
        <v>10.555</v>
      </c>
      <c r="D19" s="1339" t="s">
        <v>2111</v>
      </c>
      <c r="E19" s="1340"/>
      <c r="F19" s="1340">
        <v>34444</v>
      </c>
      <c r="G19" s="1340"/>
      <c r="H19" s="1340"/>
      <c r="I19" s="1340">
        <v>34444</v>
      </c>
      <c r="J19" s="1340"/>
      <c r="K19" s="1340"/>
      <c r="L19" s="1337">
        <f t="shared" si="0"/>
        <v>34444</v>
      </c>
      <c r="M19" s="1340" t="s">
        <v>2111</v>
      </c>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2117</v>
      </c>
      <c r="C21" s="1338"/>
      <c r="D21" s="1339"/>
      <c r="E21" s="1340">
        <v>358765</v>
      </c>
      <c r="F21" s="1340">
        <v>441777</v>
      </c>
      <c r="G21" s="1340">
        <v>358765</v>
      </c>
      <c r="H21" s="1340"/>
      <c r="I21" s="1340">
        <v>441777</v>
      </c>
      <c r="J21" s="1340"/>
      <c r="K21" s="1340"/>
      <c r="L21" s="1337">
        <f t="shared" si="0"/>
        <v>800542</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2118</v>
      </c>
      <c r="C23" s="1338"/>
      <c r="D23" s="1339"/>
      <c r="E23" s="1340"/>
      <c r="F23" s="1340"/>
      <c r="G23" s="1340"/>
      <c r="H23" s="1340"/>
      <c r="I23" s="1340"/>
      <c r="J23" s="1340"/>
      <c r="K23" s="1340"/>
      <c r="L23" s="1337">
        <f t="shared" si="0"/>
        <v>0</v>
      </c>
      <c r="M23" s="1340"/>
    </row>
    <row r="24" spans="2:14" ht="20.100000000000001" customHeight="1" x14ac:dyDescent="0.2">
      <c r="B24" s="1334" t="s">
        <v>2119</v>
      </c>
      <c r="C24" s="1338">
        <v>10.555</v>
      </c>
      <c r="D24" s="1339" t="s">
        <v>2111</v>
      </c>
      <c r="E24" s="1340"/>
      <c r="F24" s="1340">
        <v>42954</v>
      </c>
      <c r="G24" s="1340"/>
      <c r="H24" s="1340"/>
      <c r="I24" s="1340">
        <v>42954</v>
      </c>
      <c r="J24" s="1340"/>
      <c r="K24" s="1340"/>
      <c r="L24" s="1337">
        <f t="shared" si="0"/>
        <v>42954</v>
      </c>
      <c r="M24" s="1340" t="s">
        <v>2111</v>
      </c>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9B937-F24E-46B2-B4C4-19B7409CA34C}">
  <dimension ref="B1:N152"/>
  <sheetViews>
    <sheetView showGridLines="0" zoomScaleNormal="100" workbookViewId="0">
      <selection activeCell="U31" sqref="U3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3" t="str">
        <f>'Single Audit Cover'!A7</f>
        <v>Prairie Central CUSD 8</v>
      </c>
      <c r="C1" s="2434"/>
      <c r="D1" s="2434"/>
      <c r="E1" s="2434"/>
      <c r="F1" s="2434"/>
      <c r="G1" s="2434"/>
      <c r="H1" s="2434"/>
      <c r="I1" s="2434"/>
      <c r="J1" s="2434"/>
      <c r="K1" s="2434"/>
      <c r="L1" s="2434"/>
      <c r="M1" s="2434"/>
    </row>
    <row r="2" spans="2:14" ht="15" x14ac:dyDescent="0.2">
      <c r="B2" s="2435">
        <f>'Single Audit Cover'!E7</f>
        <v>17053008026</v>
      </c>
      <c r="C2" s="2435"/>
      <c r="D2" s="2435"/>
      <c r="E2" s="2435"/>
      <c r="F2" s="2435"/>
      <c r="G2" s="2435"/>
      <c r="H2" s="2435"/>
      <c r="I2" s="2435"/>
      <c r="J2" s="2435"/>
      <c r="K2" s="2435"/>
      <c r="L2" s="2435"/>
      <c r="M2" s="2435"/>
      <c r="N2" s="1299"/>
    </row>
    <row r="3" spans="2:14" ht="15" x14ac:dyDescent="0.2">
      <c r="B3" s="2436" t="s">
        <v>1219</v>
      </c>
      <c r="C3" s="2436"/>
      <c r="D3" s="2436"/>
      <c r="E3" s="2436"/>
      <c r="F3" s="2436"/>
      <c r="G3" s="2436"/>
      <c r="H3" s="2436"/>
      <c r="I3" s="2436"/>
      <c r="J3" s="2436"/>
      <c r="K3" s="2436"/>
      <c r="L3" s="2436"/>
      <c r="M3" s="2436"/>
      <c r="N3" s="1299"/>
    </row>
    <row r="4" spans="2:14" ht="15" x14ac:dyDescent="0.2">
      <c r="B4" s="2437" t="str">
        <f>'Single Audit Cover'!A4</f>
        <v>Year Ending June 30, 2019</v>
      </c>
      <c r="C4" s="2437"/>
      <c r="D4" s="2437"/>
      <c r="E4" s="2437"/>
      <c r="F4" s="2437"/>
      <c r="G4" s="2437"/>
      <c r="H4" s="2437"/>
      <c r="I4" s="2437"/>
      <c r="J4" s="2437"/>
      <c r="K4" s="2437"/>
      <c r="L4" s="2437"/>
      <c r="M4" s="2437"/>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2120</v>
      </c>
      <c r="C11" s="1335"/>
      <c r="D11" s="1336"/>
      <c r="E11" s="1337"/>
      <c r="F11" s="1337"/>
      <c r="G11" s="1337"/>
      <c r="H11" s="1337"/>
      <c r="I11" s="1337"/>
      <c r="J11" s="1337"/>
      <c r="K11" s="1337"/>
      <c r="L11" s="1337">
        <f>+G11+I11+K11</f>
        <v>0</v>
      </c>
      <c r="M11" s="1337"/>
    </row>
    <row r="12" spans="2:14" ht="20.100000000000001" customHeight="1" x14ac:dyDescent="0.2">
      <c r="B12" s="1334" t="s">
        <v>2107</v>
      </c>
      <c r="C12" s="1338"/>
      <c r="D12" s="1339"/>
      <c r="E12" s="1340"/>
      <c r="F12" s="1340"/>
      <c r="G12" s="1340"/>
      <c r="H12" s="1340"/>
      <c r="I12" s="1340"/>
      <c r="J12" s="1340"/>
      <c r="K12" s="1340"/>
      <c r="L12" s="1337">
        <f t="shared" ref="L12:L27" si="0">+G12+I12+K12</f>
        <v>0</v>
      </c>
      <c r="M12" s="1340"/>
    </row>
    <row r="13" spans="2:14" ht="20.100000000000001" customHeight="1" x14ac:dyDescent="0.2">
      <c r="B13" s="1334" t="s">
        <v>2135</v>
      </c>
      <c r="C13" s="1338" t="s">
        <v>2121</v>
      </c>
      <c r="D13" s="1339" t="s">
        <v>2122</v>
      </c>
      <c r="E13" s="1340">
        <v>288478</v>
      </c>
      <c r="F13" s="1340">
        <v>65130</v>
      </c>
      <c r="G13" s="1340">
        <v>353608</v>
      </c>
      <c r="H13" s="1340"/>
      <c r="I13" s="1340"/>
      <c r="J13" s="1340"/>
      <c r="K13" s="1340"/>
      <c r="L13" s="1337">
        <f t="shared" si="0"/>
        <v>353608</v>
      </c>
      <c r="M13" s="1340">
        <v>353608</v>
      </c>
    </row>
    <row r="14" spans="2:14" ht="20.100000000000001" customHeight="1" x14ac:dyDescent="0.2">
      <c r="B14" s="1334" t="s">
        <v>2135</v>
      </c>
      <c r="C14" s="1338" t="s">
        <v>2121</v>
      </c>
      <c r="D14" s="1339" t="s">
        <v>2123</v>
      </c>
      <c r="E14" s="1340"/>
      <c r="F14" s="1340">
        <v>258485</v>
      </c>
      <c r="G14" s="1340"/>
      <c r="H14" s="1340"/>
      <c r="I14" s="1340">
        <v>299862</v>
      </c>
      <c r="J14" s="1340"/>
      <c r="K14" s="1340"/>
      <c r="L14" s="1337">
        <f t="shared" si="0"/>
        <v>299862</v>
      </c>
      <c r="M14" s="1340">
        <v>317983</v>
      </c>
    </row>
    <row r="15" spans="2:14" ht="20.100000000000001" customHeight="1" x14ac:dyDescent="0.2">
      <c r="B15" s="1334" t="s">
        <v>2143</v>
      </c>
      <c r="C15" s="1338" t="s">
        <v>2121</v>
      </c>
      <c r="D15" s="1339" t="s">
        <v>2124</v>
      </c>
      <c r="E15" s="1340"/>
      <c r="F15" s="1340">
        <v>10275</v>
      </c>
      <c r="G15" s="1340"/>
      <c r="H15" s="1340"/>
      <c r="I15" s="1340">
        <v>26905</v>
      </c>
      <c r="J15" s="1340"/>
      <c r="K15" s="1340"/>
      <c r="L15" s="1337">
        <f t="shared" si="0"/>
        <v>26905</v>
      </c>
      <c r="M15" s="1340">
        <v>43571</v>
      </c>
    </row>
    <row r="16" spans="2:14" ht="20.100000000000001" customHeight="1" x14ac:dyDescent="0.2">
      <c r="B16" s="1334" t="s">
        <v>2125</v>
      </c>
      <c r="C16" s="1338" t="s">
        <v>2126</v>
      </c>
      <c r="D16" s="1339" t="s">
        <v>2127</v>
      </c>
      <c r="E16" s="1340"/>
      <c r="F16" s="1340">
        <v>9690</v>
      </c>
      <c r="G16" s="1340"/>
      <c r="H16" s="1340"/>
      <c r="I16" s="1340">
        <v>9690</v>
      </c>
      <c r="J16" s="1340"/>
      <c r="K16" s="1340"/>
      <c r="L16" s="1337">
        <f t="shared" si="0"/>
        <v>9690</v>
      </c>
      <c r="M16" s="1340">
        <v>15833</v>
      </c>
    </row>
    <row r="17" spans="2:14" ht="20.100000000000001" customHeight="1" x14ac:dyDescent="0.2">
      <c r="B17" s="1334" t="s">
        <v>2136</v>
      </c>
      <c r="C17" s="1338">
        <v>84.027000000000001</v>
      </c>
      <c r="D17" s="1339" t="s">
        <v>2137</v>
      </c>
      <c r="E17" s="1340"/>
      <c r="F17" s="1340">
        <v>250000</v>
      </c>
      <c r="G17" s="1340"/>
      <c r="H17" s="1340"/>
      <c r="I17" s="1340">
        <v>250000</v>
      </c>
      <c r="J17" s="1340"/>
      <c r="K17" s="1340"/>
      <c r="L17" s="1337">
        <f t="shared" si="0"/>
        <v>250000</v>
      </c>
      <c r="M17" s="1340">
        <v>250000</v>
      </c>
    </row>
    <row r="18" spans="2:14" ht="20.100000000000001" customHeight="1" x14ac:dyDescent="0.2">
      <c r="B18" s="1334" t="s">
        <v>2145</v>
      </c>
      <c r="C18" s="1338" t="s">
        <v>2128</v>
      </c>
      <c r="D18" s="1339" t="s">
        <v>2129</v>
      </c>
      <c r="E18" s="1340"/>
      <c r="F18" s="1340">
        <v>1453</v>
      </c>
      <c r="G18" s="1340"/>
      <c r="H18" s="1340"/>
      <c r="I18" s="1340">
        <v>1453</v>
      </c>
      <c r="J18" s="1340"/>
      <c r="K18" s="1340"/>
      <c r="L18" s="1337">
        <f t="shared" ref="L18:L19" si="1">+G18+I18+K18</f>
        <v>1453</v>
      </c>
      <c r="M18" s="1340" t="s">
        <v>2111</v>
      </c>
    </row>
    <row r="19" spans="2:14" ht="20.100000000000001" customHeight="1" x14ac:dyDescent="0.2">
      <c r="B19" s="1334" t="s">
        <v>2138</v>
      </c>
      <c r="C19" s="1338">
        <v>84.048000000000002</v>
      </c>
      <c r="D19" s="1339" t="s">
        <v>2139</v>
      </c>
      <c r="E19" s="1340"/>
      <c r="F19" s="1340">
        <v>3338</v>
      </c>
      <c r="G19" s="1340"/>
      <c r="H19" s="1340"/>
      <c r="I19" s="1340">
        <v>3338</v>
      </c>
      <c r="J19" s="1340"/>
      <c r="K19" s="1340"/>
      <c r="L19" s="1337">
        <f t="shared" si="1"/>
        <v>3338</v>
      </c>
      <c r="M19" s="1340" t="s">
        <v>2111</v>
      </c>
    </row>
    <row r="20" spans="2:14" ht="20.100000000000001" customHeight="1" x14ac:dyDescent="0.2">
      <c r="B20" s="1334" t="s">
        <v>758</v>
      </c>
      <c r="C20" s="1338" t="s">
        <v>2130</v>
      </c>
      <c r="D20" s="1339" t="s">
        <v>2131</v>
      </c>
      <c r="E20" s="1340">
        <v>43665</v>
      </c>
      <c r="F20" s="1340">
        <v>18785</v>
      </c>
      <c r="G20" s="1340">
        <v>62450</v>
      </c>
      <c r="H20" s="1340"/>
      <c r="I20" s="1340"/>
      <c r="J20" s="1340"/>
      <c r="K20" s="1340"/>
      <c r="L20" s="1337">
        <f t="shared" si="0"/>
        <v>62450</v>
      </c>
      <c r="M20" s="1340">
        <v>83679</v>
      </c>
    </row>
    <row r="21" spans="2:14" ht="20.100000000000001" customHeight="1" x14ac:dyDescent="0.2">
      <c r="B21" s="1334" t="s">
        <v>758</v>
      </c>
      <c r="C21" s="1338" t="s">
        <v>2130</v>
      </c>
      <c r="D21" s="1339" t="s">
        <v>2132</v>
      </c>
      <c r="E21" s="1340"/>
      <c r="F21" s="1340">
        <v>30802</v>
      </c>
      <c r="G21" s="1340"/>
      <c r="H21" s="1340"/>
      <c r="I21" s="1340">
        <v>47544</v>
      </c>
      <c r="J21" s="1340"/>
      <c r="K21" s="1340"/>
      <c r="L21" s="1337">
        <f t="shared" si="0"/>
        <v>47544</v>
      </c>
      <c r="M21" s="1340">
        <v>74713</v>
      </c>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2133</v>
      </c>
      <c r="C23" s="1338"/>
      <c r="D23" s="1339"/>
      <c r="E23" s="1340">
        <v>332143</v>
      </c>
      <c r="F23" s="1340">
        <v>647958</v>
      </c>
      <c r="G23" s="1340">
        <v>416058</v>
      </c>
      <c r="H23" s="1340"/>
      <c r="I23" s="1340">
        <v>638792</v>
      </c>
      <c r="J23" s="1340"/>
      <c r="K23" s="1340"/>
      <c r="L23" s="1337">
        <f t="shared" si="0"/>
        <v>1054850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t="s">
        <v>2134</v>
      </c>
      <c r="C25" s="1338"/>
      <c r="D25" s="1339"/>
      <c r="E25" s="1340">
        <v>690908</v>
      </c>
      <c r="F25" s="1340">
        <v>1132689</v>
      </c>
      <c r="G25" s="1340">
        <v>774823</v>
      </c>
      <c r="H25" s="1340"/>
      <c r="I25" s="1340">
        <v>1123523</v>
      </c>
      <c r="J25" s="1340"/>
      <c r="K25" s="1340"/>
      <c r="L25" s="1337">
        <f t="shared" si="0"/>
        <v>1898346</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U31" sqref="U3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Prairie Central CUSD 8</v>
      </c>
      <c r="B1" s="2447"/>
      <c r="C1" s="2447"/>
      <c r="D1" s="2447"/>
      <c r="E1" s="2447"/>
      <c r="F1" s="2447"/>
    </row>
    <row r="2" spans="1:7" ht="13.5" customHeight="1" x14ac:dyDescent="0.2">
      <c r="A2" s="2435">
        <f>'Single Audit Cover'!E7</f>
        <v>17053008026</v>
      </c>
      <c r="B2" s="2435"/>
      <c r="C2" s="2435"/>
      <c r="D2" s="2435"/>
      <c r="E2" s="2435"/>
      <c r="F2" s="2435"/>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1728</v>
      </c>
      <c r="C6" s="317"/>
      <c r="D6" s="317"/>
    </row>
    <row r="7" spans="1:7" ht="60.95" customHeight="1" x14ac:dyDescent="0.2">
      <c r="A7" s="2446" t="s">
        <v>2140</v>
      </c>
      <c r="B7" s="2446"/>
      <c r="C7" s="2446"/>
      <c r="D7" s="2446"/>
      <c r="E7" s="2446"/>
      <c r="F7" s="244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2062</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6" t="s">
        <v>2146</v>
      </c>
      <c r="B13" s="2446"/>
      <c r="C13" s="2446"/>
      <c r="D13" s="2446"/>
      <c r="E13" s="2446"/>
      <c r="F13" s="2446"/>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t="s">
        <v>2141</v>
      </c>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0" t="s">
        <v>1730</v>
      </c>
      <c r="B32" s="2440"/>
      <c r="C32" s="2440"/>
      <c r="D32" s="2440"/>
      <c r="E32" s="2440"/>
      <c r="F32" s="2440"/>
    </row>
    <row r="33" spans="1:6" ht="13.5" customHeight="1" x14ac:dyDescent="0.2">
      <c r="A33" s="328" t="s">
        <v>1434</v>
      </c>
      <c r="B33" s="328"/>
      <c r="C33" s="1285">
        <v>77398</v>
      </c>
      <c r="D33" s="1903"/>
      <c r="E33" s="1283"/>
    </row>
    <row r="34" spans="1:6" ht="13.5" customHeight="1" x14ac:dyDescent="0.2">
      <c r="A34" s="328" t="s">
        <v>1836</v>
      </c>
      <c r="B34" s="328"/>
      <c r="C34" s="1286">
        <v>0</v>
      </c>
      <c r="D34" s="1903" t="s">
        <v>1589</v>
      </c>
      <c r="E34" s="2441">
        <f>+C33+C34</f>
        <v>77398</v>
      </c>
      <c r="F34" s="2442"/>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3" t="s">
        <v>1590</v>
      </c>
      <c r="C49" s="2443"/>
      <c r="D49" s="2443"/>
      <c r="E49" s="1396"/>
    </row>
    <row r="50" spans="1:5" s="1297" customFormat="1" ht="3.75" customHeight="1" x14ac:dyDescent="0.2">
      <c r="A50" s="1296"/>
      <c r="B50" s="1845"/>
      <c r="C50" s="1845"/>
      <c r="D50" s="1845"/>
      <c r="E50" s="1396"/>
    </row>
    <row r="51" spans="1:5" s="1297" customFormat="1" ht="20.25" customHeight="1" x14ac:dyDescent="0.2">
      <c r="A51" s="1298">
        <v>6</v>
      </c>
      <c r="B51" s="2438" t="s">
        <v>1551</v>
      </c>
      <c r="C51" s="2438"/>
      <c r="D51" s="2438"/>
    </row>
    <row r="52" spans="1:5" ht="14.25" customHeight="1" x14ac:dyDescent="0.2">
      <c r="A52" s="1298"/>
      <c r="B52" s="2438"/>
      <c r="C52" s="2438"/>
      <c r="D52" s="243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0" zoomScale="110" zoomScaleNormal="110" workbookViewId="0">
      <selection activeCell="U31" sqref="U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1" t="str">
        <f>'Single Audit Cover'!A7</f>
        <v>Prairie Central CUSD 8</v>
      </c>
      <c r="C1" s="2462"/>
      <c r="D1" s="2462"/>
      <c r="E1" s="2462"/>
      <c r="F1" s="2462"/>
      <c r="G1" s="2462"/>
      <c r="H1" s="2462"/>
      <c r="I1" s="2462"/>
      <c r="J1" s="1406"/>
    </row>
    <row r="2" spans="2:10" s="317" customFormat="1" ht="12.75" customHeight="1" x14ac:dyDescent="0.2">
      <c r="B2" s="2463">
        <f>'Single Audit Cover'!E7</f>
        <v>17053008026</v>
      </c>
      <c r="C2" s="2464"/>
      <c r="D2" s="2464"/>
      <c r="E2" s="2464"/>
      <c r="F2" s="2464"/>
      <c r="G2" s="2464"/>
      <c r="H2" s="2464"/>
      <c r="I2" s="2464"/>
      <c r="J2" s="1406"/>
    </row>
    <row r="3" spans="2:10" s="317" customFormat="1" ht="12.75" customHeight="1" x14ac:dyDescent="0.2">
      <c r="B3" s="2465" t="s">
        <v>1285</v>
      </c>
      <c r="C3" s="2466"/>
      <c r="D3" s="2466"/>
      <c r="E3" s="2466"/>
      <c r="F3" s="2466"/>
      <c r="G3" s="2466"/>
      <c r="H3" s="2466"/>
      <c r="I3" s="2466"/>
      <c r="J3" s="1407"/>
    </row>
    <row r="4" spans="2:10" s="317" customFormat="1" ht="12.75" customHeight="1" x14ac:dyDescent="0.2">
      <c r="B4" s="2465" t="str">
        <f>'Single Audit Cover'!A4</f>
        <v>Year Ending June 30, 2019</v>
      </c>
      <c r="C4" s="2466"/>
      <c r="D4" s="2466"/>
      <c r="E4" s="2466"/>
      <c r="F4" s="2466"/>
      <c r="G4" s="2466"/>
      <c r="H4" s="2466"/>
      <c r="I4" s="246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5" t="s">
        <v>1284</v>
      </c>
      <c r="C7" s="2466"/>
      <c r="D7" s="2466"/>
      <c r="E7" s="2466"/>
      <c r="F7" s="2466"/>
      <c r="G7" s="2466"/>
      <c r="H7" s="2466"/>
      <c r="I7" s="246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7" t="s">
        <v>1164</v>
      </c>
      <c r="D11" s="246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2062</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2062</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2062</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2062</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2062</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8" t="s">
        <v>2142</v>
      </c>
      <c r="E29" s="2468"/>
      <c r="F29" s="2468"/>
      <c r="G29" s="2468"/>
      <c r="H29" s="2468"/>
      <c r="I29" s="2468"/>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2062</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9" t="s">
        <v>1749</v>
      </c>
      <c r="D37" s="2470"/>
      <c r="E37" s="2470"/>
      <c r="F37" s="2471"/>
      <c r="G37" s="2469" t="s">
        <v>1592</v>
      </c>
      <c r="H37" s="2470"/>
      <c r="I37" s="2471"/>
    </row>
    <row r="38" spans="2:9" ht="16.5" customHeight="1" x14ac:dyDescent="0.2">
      <c r="B38" s="1428" t="s">
        <v>2121</v>
      </c>
      <c r="C38" s="2457" t="s">
        <v>918</v>
      </c>
      <c r="D38" s="2458"/>
      <c r="E38" s="2458"/>
      <c r="F38" s="2459"/>
      <c r="G38" s="2472">
        <v>299862</v>
      </c>
      <c r="H38" s="2473"/>
      <c r="I38" s="2474"/>
    </row>
    <row r="39" spans="2:9" ht="16.5" customHeight="1" x14ac:dyDescent="0.2">
      <c r="B39" s="1428">
        <v>84.027000000000001</v>
      </c>
      <c r="C39" s="2457" t="s">
        <v>2144</v>
      </c>
      <c r="D39" s="2458"/>
      <c r="E39" s="2458"/>
      <c r="F39" s="2459"/>
      <c r="G39" s="2460">
        <v>251453</v>
      </c>
      <c r="H39" s="2460"/>
      <c r="I39" s="2460"/>
    </row>
    <row r="40" spans="2:9" ht="16.5" customHeight="1" x14ac:dyDescent="0.2">
      <c r="B40" s="1428"/>
      <c r="C40" s="2457"/>
      <c r="D40" s="2458"/>
      <c r="E40" s="2458"/>
      <c r="F40" s="2459"/>
      <c r="G40" s="2460"/>
      <c r="H40" s="2460"/>
      <c r="I40" s="2460"/>
    </row>
    <row r="41" spans="2:9" ht="16.5" customHeight="1" x14ac:dyDescent="0.2">
      <c r="B41" s="1428"/>
      <c r="C41" s="2457"/>
      <c r="D41" s="2458"/>
      <c r="E41" s="2458"/>
      <c r="F41" s="2459"/>
      <c r="G41" s="2460"/>
      <c r="H41" s="2460"/>
      <c r="I41" s="2460"/>
    </row>
    <row r="42" spans="2:9" ht="16.5" customHeight="1" x14ac:dyDescent="0.2">
      <c r="B42" s="1428"/>
      <c r="C42" s="2457"/>
      <c r="D42" s="2458"/>
      <c r="E42" s="2458"/>
      <c r="F42" s="2459"/>
      <c r="G42" s="2460"/>
      <c r="H42" s="2460"/>
      <c r="I42" s="2460"/>
    </row>
    <row r="43" spans="2:9" ht="16.5" customHeight="1" x14ac:dyDescent="0.2">
      <c r="B43" s="1428"/>
      <c r="C43" s="2450" t="s">
        <v>1593</v>
      </c>
      <c r="D43" s="2451"/>
      <c r="E43" s="2451"/>
      <c r="F43" s="2452"/>
      <c r="G43" s="2453">
        <f>SUM(G38:I42)</f>
        <v>551315</v>
      </c>
      <c r="H43" s="2453"/>
      <c r="I43" s="2453"/>
    </row>
    <row r="44" spans="2:9" ht="12.75" customHeight="1" x14ac:dyDescent="0.2"/>
    <row r="45" spans="2:9" ht="12.75" customHeight="1" x14ac:dyDescent="0.2">
      <c r="B45" s="1419" t="s">
        <v>2060</v>
      </c>
      <c r="D45" s="2454">
        <v>1123523</v>
      </c>
      <c r="E45" s="2455"/>
    </row>
    <row r="46" spans="2:9" ht="5.25" customHeight="1" x14ac:dyDescent="0.2">
      <c r="B46" s="1429"/>
      <c r="D46" s="1430"/>
      <c r="E46" s="1431"/>
    </row>
    <row r="47" spans="2:9" ht="12.75" customHeight="1" x14ac:dyDescent="0.2">
      <c r="B47" s="1297" t="s">
        <v>1594</v>
      </c>
      <c r="C47" s="1297"/>
      <c r="D47" s="1432">
        <f>+G43/D45</f>
        <v>0.490702015001028</v>
      </c>
      <c r="E47" s="1433"/>
      <c r="F47" s="1434"/>
      <c r="I47" s="1435"/>
    </row>
    <row r="48" spans="2:9" ht="9.9499999999999993" customHeight="1" x14ac:dyDescent="0.2"/>
    <row r="49" spans="1:9" x14ac:dyDescent="0.2">
      <c r="B49" s="1365" t="s">
        <v>1273</v>
      </c>
      <c r="C49" s="1279"/>
      <c r="D49" s="1279"/>
      <c r="E49" s="2456">
        <v>750000</v>
      </c>
      <c r="F49" s="2456"/>
      <c r="G49" s="2456"/>
      <c r="H49" s="322"/>
    </row>
    <row r="51" spans="1:9" ht="13.5" customHeight="1" x14ac:dyDescent="0.2">
      <c r="B51" s="1365" t="s">
        <v>1272</v>
      </c>
      <c r="C51" s="1279"/>
      <c r="E51" s="1422" t="s">
        <v>2062</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U31" sqref="U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1" t="str">
        <f>'Single Audit Cover'!A7</f>
        <v>Prairie Central CUSD 8</v>
      </c>
      <c r="C1" s="2461"/>
      <c r="D1" s="2461"/>
      <c r="E1" s="2461"/>
      <c r="F1" s="2461"/>
      <c r="G1" s="2461"/>
      <c r="H1" s="2461"/>
      <c r="I1" s="2461"/>
      <c r="J1" s="2461"/>
      <c r="K1" s="2461"/>
      <c r="L1" s="1371"/>
      <c r="M1" s="1371"/>
    </row>
    <row r="2" spans="1:13" ht="12" customHeight="1" x14ac:dyDescent="0.2">
      <c r="B2" s="2463">
        <f>'Single Audit Cover'!E7</f>
        <v>17053008026</v>
      </c>
      <c r="C2" s="2463"/>
      <c r="D2" s="2463"/>
      <c r="E2" s="2463"/>
      <c r="F2" s="2463"/>
      <c r="G2" s="2463"/>
      <c r="H2" s="2463"/>
      <c r="I2" s="2463"/>
      <c r="J2" s="2463"/>
      <c r="K2" s="2463"/>
      <c r="L2" s="1372"/>
      <c r="M2" s="1373"/>
    </row>
    <row r="3" spans="1:13" ht="10.35" customHeight="1" x14ac:dyDescent="0.2">
      <c r="B3" s="2477" t="s">
        <v>1285</v>
      </c>
      <c r="C3" s="2477"/>
      <c r="D3" s="2477"/>
      <c r="E3" s="2477"/>
      <c r="F3" s="2477"/>
      <c r="G3" s="2477"/>
      <c r="H3" s="2477"/>
      <c r="I3" s="2477"/>
      <c r="J3" s="2477"/>
      <c r="K3" s="2477"/>
      <c r="L3" s="1374"/>
      <c r="M3" s="1374"/>
    </row>
    <row r="4" spans="1:13" ht="14.25" customHeight="1" x14ac:dyDescent="0.2">
      <c r="B4" s="2478" t="str">
        <f>'Single Audit Cover'!A4</f>
        <v>Year Ending June 30, 2019</v>
      </c>
      <c r="C4" s="2478"/>
      <c r="D4" s="2478"/>
      <c r="E4" s="2478"/>
      <c r="F4" s="2478"/>
      <c r="G4" s="2478"/>
      <c r="H4" s="2478"/>
      <c r="I4" s="2478"/>
      <c r="J4" s="2478"/>
      <c r="K4" s="2478"/>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8" t="s">
        <v>1296</v>
      </c>
      <c r="C7" s="2478"/>
      <c r="D7" s="2479"/>
      <c r="E7" s="2479"/>
      <c r="F7" s="2479"/>
      <c r="G7" s="2479"/>
      <c r="H7" s="2479"/>
      <c r="I7" s="2479"/>
      <c r="J7" s="2479"/>
      <c r="K7" s="2479"/>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6"/>
      <c r="C14" s="2476"/>
      <c r="D14" s="2476"/>
      <c r="E14" s="2476"/>
      <c r="F14" s="2476"/>
      <c r="G14" s="2476"/>
      <c r="H14" s="2476"/>
      <c r="I14" s="2476"/>
      <c r="J14" s="2476"/>
      <c r="K14" s="2476"/>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6"/>
      <c r="C17" s="2476"/>
      <c r="D17" s="2476"/>
      <c r="E17" s="2476"/>
      <c r="F17" s="2476"/>
      <c r="G17" s="2476"/>
      <c r="H17" s="2476"/>
      <c r="I17" s="2476"/>
      <c r="J17" s="2476"/>
      <c r="K17" s="2476"/>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0"/>
      <c r="C20" s="2480"/>
      <c r="D20" s="2476"/>
      <c r="E20" s="2476"/>
      <c r="F20" s="2476"/>
      <c r="G20" s="2476"/>
      <c r="H20" s="2476"/>
      <c r="I20" s="2476"/>
      <c r="J20" s="2476"/>
      <c r="K20" s="2476"/>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6"/>
      <c r="C23" s="2476"/>
      <c r="D23" s="2476"/>
      <c r="E23" s="2476"/>
      <c r="F23" s="2476"/>
      <c r="G23" s="2476"/>
      <c r="H23" s="2476"/>
      <c r="I23" s="2476"/>
      <c r="J23" s="2476"/>
      <c r="K23" s="2476"/>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6"/>
      <c r="C26" s="2476"/>
      <c r="D26" s="2476"/>
      <c r="E26" s="2476"/>
      <c r="F26" s="2476"/>
      <c r="G26" s="2476"/>
      <c r="H26" s="2476"/>
      <c r="I26" s="2476"/>
      <c r="J26" s="2476"/>
      <c r="K26" s="2476"/>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5"/>
      <c r="C29" s="2475"/>
      <c r="D29" s="2476"/>
      <c r="E29" s="2476"/>
      <c r="F29" s="2476"/>
      <c r="G29" s="2476"/>
      <c r="H29" s="2476"/>
      <c r="I29" s="2476"/>
      <c r="J29" s="2476"/>
      <c r="K29" s="2476"/>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5"/>
      <c r="C32" s="2475"/>
      <c r="D32" s="2476"/>
      <c r="E32" s="2476"/>
      <c r="F32" s="2476"/>
      <c r="G32" s="2476"/>
      <c r="H32" s="2476"/>
      <c r="I32" s="2476"/>
      <c r="J32" s="2476"/>
      <c r="K32" s="2476"/>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U31" sqref="U3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Prairie Central CUSD 8</v>
      </c>
      <c r="C1" s="2484"/>
      <c r="D1" s="2484"/>
      <c r="E1" s="2484"/>
      <c r="F1" s="2484"/>
      <c r="G1" s="2484"/>
      <c r="H1" s="2484"/>
      <c r="I1" s="2484"/>
      <c r="J1" s="2484"/>
      <c r="K1" s="2484"/>
      <c r="L1" s="1449"/>
    </row>
    <row r="2" spans="1:12" ht="12.75" customHeight="1" x14ac:dyDescent="0.2">
      <c r="B2" s="2485">
        <f>'Single Audit Cover'!E7</f>
        <v>17053008026</v>
      </c>
      <c r="C2" s="2485"/>
      <c r="D2" s="2485"/>
      <c r="E2" s="2485"/>
      <c r="F2" s="2485"/>
      <c r="G2" s="2485"/>
      <c r="H2" s="2485"/>
      <c r="I2" s="2485"/>
      <c r="J2" s="2485"/>
      <c r="K2" s="2485"/>
      <c r="L2" s="1450"/>
    </row>
    <row r="3" spans="1:12" ht="12.75" customHeight="1" x14ac:dyDescent="0.2">
      <c r="B3" s="2477" t="s">
        <v>1285</v>
      </c>
      <c r="C3" s="2477"/>
      <c r="D3" s="2477"/>
      <c r="E3" s="2477"/>
      <c r="F3" s="2477"/>
      <c r="G3" s="2477"/>
      <c r="H3" s="2477"/>
      <c r="I3" s="2477"/>
      <c r="J3" s="2477"/>
      <c r="K3" s="2477"/>
      <c r="L3" s="1374"/>
    </row>
    <row r="4" spans="1:12" ht="12.75" customHeight="1" x14ac:dyDescent="0.2">
      <c r="B4" s="2477" t="str">
        <f>'Single Audit Cover'!A4</f>
        <v>Year Ending June 30, 2019</v>
      </c>
      <c r="C4" s="2477"/>
      <c r="D4" s="2477"/>
      <c r="E4" s="2477"/>
      <c r="F4" s="2477"/>
      <c r="G4" s="2477"/>
      <c r="H4" s="2477"/>
      <c r="I4" s="2477"/>
      <c r="J4" s="2477"/>
      <c r="K4" s="2477"/>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8"/>
      <c r="G12" s="2468"/>
      <c r="H12" s="2468"/>
      <c r="I12" s="2468"/>
      <c r="J12" s="2468"/>
      <c r="K12" s="246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6"/>
      <c r="C20" s="2476"/>
      <c r="D20" s="2476"/>
      <c r="E20" s="2476"/>
      <c r="F20" s="2476"/>
      <c r="G20" s="2476"/>
      <c r="H20" s="2476"/>
      <c r="I20" s="2476"/>
      <c r="J20" s="2476"/>
      <c r="K20" s="2476"/>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6"/>
      <c r="C23" s="2476"/>
      <c r="D23" s="2476"/>
      <c r="E23" s="2476"/>
      <c r="F23" s="2476"/>
      <c r="G23" s="2476"/>
      <c r="H23" s="2476"/>
      <c r="I23" s="2476"/>
      <c r="J23" s="2476"/>
      <c r="K23" s="2476"/>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6"/>
      <c r="C26" s="2476"/>
      <c r="D26" s="2476"/>
      <c r="E26" s="2476"/>
      <c r="F26" s="2476"/>
      <c r="G26" s="2476"/>
      <c r="H26" s="2476"/>
      <c r="I26" s="2476"/>
      <c r="J26" s="2476"/>
      <c r="K26" s="2476"/>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6"/>
      <c r="C29" s="2476"/>
      <c r="D29" s="2476"/>
      <c r="E29" s="2476"/>
      <c r="F29" s="2476"/>
      <c r="G29" s="2476"/>
      <c r="H29" s="2476"/>
      <c r="I29" s="2476"/>
      <c r="J29" s="2476"/>
      <c r="K29" s="2476"/>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6"/>
      <c r="C32" s="2476"/>
      <c r="D32" s="2476"/>
      <c r="E32" s="2476"/>
      <c r="F32" s="2476"/>
      <c r="G32" s="2476"/>
      <c r="H32" s="2476"/>
      <c r="I32" s="2476"/>
      <c r="J32" s="2476"/>
      <c r="K32" s="2476"/>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6"/>
      <c r="C35" s="2476"/>
      <c r="D35" s="2476"/>
      <c r="E35" s="2476"/>
      <c r="F35" s="2476"/>
      <c r="G35" s="2476"/>
      <c r="H35" s="2476"/>
      <c r="I35" s="2476"/>
      <c r="J35" s="2476"/>
      <c r="K35" s="2476"/>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6"/>
      <c r="C38" s="2476"/>
      <c r="D38" s="2476"/>
      <c r="E38" s="2476"/>
      <c r="F38" s="2476"/>
      <c r="G38" s="2476"/>
      <c r="H38" s="2476"/>
      <c r="I38" s="2476"/>
      <c r="J38" s="2476"/>
      <c r="K38" s="2476"/>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6"/>
      <c r="C41" s="2476"/>
      <c r="D41" s="2476"/>
      <c r="E41" s="2476"/>
      <c r="F41" s="2476"/>
      <c r="G41" s="2476"/>
      <c r="H41" s="2476"/>
      <c r="I41" s="2476"/>
      <c r="J41" s="2476"/>
      <c r="K41" s="2476"/>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U31" sqref="U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1" t="str">
        <f>'Single Audit Cover'!A7</f>
        <v>Prairie Central CUSD 8</v>
      </c>
      <c r="C1" s="2461"/>
      <c r="D1" s="2461"/>
      <c r="E1" s="1469"/>
    </row>
    <row r="2" spans="2:5" s="1279" customFormat="1" ht="12.75" customHeight="1" x14ac:dyDescent="0.2">
      <c r="B2" s="2463">
        <f>'Single Audit Cover'!E7</f>
        <v>17053008026</v>
      </c>
      <c r="C2" s="2463"/>
      <c r="D2" s="2463"/>
      <c r="E2" s="1470"/>
    </row>
    <row r="3" spans="2:5" ht="12.75" customHeight="1" x14ac:dyDescent="0.2">
      <c r="B3" s="2477" t="s">
        <v>1764</v>
      </c>
      <c r="C3" s="2477"/>
      <c r="D3" s="2477"/>
      <c r="E3" s="1271"/>
    </row>
    <row r="4" spans="2:5" s="1279" customFormat="1" ht="12.75" customHeight="1" x14ac:dyDescent="0.2">
      <c r="B4" s="2487" t="str">
        <f>'Single Audit Cover'!A4</f>
        <v>Year Ending June 30, 2019</v>
      </c>
      <c r="C4" s="2487"/>
      <c r="D4" s="2487"/>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2141</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www.w3.org/XML/1998/namespace"/>
    <ds:schemaRef ds:uri="http://purl.org/dc/terms/"/>
    <ds:schemaRef ds:uri="4d435f69-8686-490b-bd6d-b153bf22ab50"/>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d21dc803-237d-4c68-8692-8d731fd29118"/>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2019-10-10T18:02:38Z</cp:lastPrinted>
  <dcterms:created xsi:type="dcterms:W3CDTF">2003-10-29T19:06:34Z</dcterms:created>
  <dcterms:modified xsi:type="dcterms:W3CDTF">2019-11-15T16:54:27Z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