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2 (2)" sheetId="186" r:id="rId35"/>
    <sheet name="SF&amp;QC Sec-2 (3)" sheetId="187" r:id="rId36"/>
    <sheet name="SF&amp;QC Sec-3" sheetId="176" r:id="rId37"/>
    <sheet name="SSPAF" sheetId="177" r:id="rId38"/>
  </sheets>
  <definedNames>
    <definedName name="_xlnm.Print_Area" localSheetId="27">' SEFA'!$B$1:$M$45</definedName>
    <definedName name="_xlnm.Print_Area" localSheetId="28">' SEFA (2)'!$B$1:$M$45</definedName>
    <definedName name="_xlnm.Print_Area" localSheetId="29">' SEFA (3)'!$B$1:$M$44</definedName>
    <definedName name="_xlnm.Print_Area" localSheetId="30">' SEFA (4)'!$B$1:$M$45</definedName>
    <definedName name="_xlnm.Print_Area" localSheetId="31">'SEFA NOTES'!$A$1:$F$44</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c r="F22" i="179" l="1"/>
  <c r="G22" i="179"/>
  <c r="H22" i="179"/>
  <c r="I22" i="179"/>
  <c r="J22" i="179"/>
  <c r="K22" i="179"/>
  <c r="E22" i="179"/>
  <c r="F16" i="179"/>
  <c r="G16" i="179"/>
  <c r="H16" i="179"/>
  <c r="I16" i="179"/>
  <c r="J16" i="179"/>
  <c r="K16" i="179"/>
  <c r="E16" i="179"/>
  <c r="F16" i="185"/>
  <c r="G16" i="185"/>
  <c r="H16" i="185"/>
  <c r="I16" i="185"/>
  <c r="J16" i="185"/>
  <c r="K16" i="185"/>
  <c r="E16" i="185"/>
  <c r="F18" i="184"/>
  <c r="F24" i="184"/>
  <c r="F26" i="184" s="1"/>
  <c r="G24" i="184"/>
  <c r="H24" i="184"/>
  <c r="I24" i="184"/>
  <c r="J24" i="184"/>
  <c r="K24" i="184"/>
  <c r="K26" i="184" s="1"/>
  <c r="E24" i="184"/>
  <c r="E26" i="184" s="1"/>
  <c r="G18" i="184"/>
  <c r="H18" i="184"/>
  <c r="I18" i="184"/>
  <c r="I26" i="184" s="1"/>
  <c r="J18" i="184"/>
  <c r="J26" i="184" s="1"/>
  <c r="K18" i="184"/>
  <c r="E18" i="184"/>
  <c r="H26" i="184" l="1"/>
  <c r="G26" i="184"/>
  <c r="L26" i="184"/>
  <c r="F22" i="183"/>
  <c r="F24" i="183" s="1"/>
  <c r="F26" i="183" s="1"/>
  <c r="F18" i="185" s="1"/>
  <c r="G22" i="183"/>
  <c r="H22" i="183"/>
  <c r="I22" i="183"/>
  <c r="J22" i="183"/>
  <c r="J24" i="183" s="1"/>
  <c r="J26" i="183" s="1"/>
  <c r="J18" i="185" s="1"/>
  <c r="K22" i="183"/>
  <c r="E22" i="183"/>
  <c r="E24" i="183" s="1"/>
  <c r="E26" i="183" s="1"/>
  <c r="E18" i="185" s="1"/>
  <c r="F16" i="183"/>
  <c r="G16" i="183"/>
  <c r="H16" i="183"/>
  <c r="I16" i="183"/>
  <c r="J16" i="183"/>
  <c r="K16" i="183"/>
  <c r="E16" i="183"/>
  <c r="L16" i="185"/>
  <c r="L14" i="185"/>
  <c r="L13" i="185"/>
  <c r="B4" i="185"/>
  <c r="L24" i="184"/>
  <c r="L22" i="184"/>
  <c r="L21" i="184"/>
  <c r="L18" i="184"/>
  <c r="L17" i="184"/>
  <c r="L16" i="184"/>
  <c r="L15" i="184"/>
  <c r="L14" i="184"/>
  <c r="B4" i="184"/>
  <c r="L20" i="183"/>
  <c r="L19" i="183"/>
  <c r="L14" i="183"/>
  <c r="L13" i="183"/>
  <c r="B4" i="183"/>
  <c r="H24" i="183" l="1"/>
  <c r="H26" i="183" s="1"/>
  <c r="H18" i="185" s="1"/>
  <c r="K24" i="183"/>
  <c r="K26" i="183" s="1"/>
  <c r="K18" i="185" s="1"/>
  <c r="G24" i="183"/>
  <c r="L22" i="183"/>
  <c r="I24" i="183"/>
  <c r="I26" i="183" s="1"/>
  <c r="I18" i="185" s="1"/>
  <c r="L16" i="183"/>
  <c r="L24" i="183" l="1"/>
  <c r="G26" i="183"/>
  <c r="G18" i="185" l="1"/>
  <c r="L18" i="185" s="1"/>
  <c r="L26" i="183"/>
  <c r="F38" i="181" l="1"/>
  <c r="F37" i="181"/>
  <c r="F36" i="18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5" i="179" l="1"/>
  <c r="L22" i="179"/>
  <c r="L20" i="179"/>
  <c r="L19" i="179"/>
  <c r="L16"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26"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3"/>
  <c r="B1" i="184"/>
  <c r="B1" i="185"/>
  <c r="B2" i="179"/>
  <c r="B2" i="187"/>
  <c r="B2" i="186"/>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24" i="37"/>
  <c r="B4270" i="106" s="1"/>
  <c r="D4270" i="106" s="1"/>
  <c r="B1274" i="106" l="1"/>
  <c r="D1274" i="106" s="1"/>
  <c r="J129" i="29"/>
  <c r="B7038" i="106" s="1"/>
  <c r="D7038" i="106" s="1"/>
  <c r="H44" i="4"/>
  <c r="F50" i="34"/>
  <c r="B4211" i="106"/>
  <c r="D4211" i="106" s="1"/>
  <c r="F27" i="108"/>
  <c r="B1126" i="106"/>
  <c r="D1126" i="106" s="1"/>
  <c r="B2724" i="106"/>
  <c r="D2724" i="106" s="1"/>
  <c r="H28" i="118"/>
  <c r="G14" i="4"/>
  <c r="B2609" i="106" s="1"/>
  <c r="D2609" i="106" s="1"/>
  <c r="L342" i="29"/>
  <c r="L22" i="37"/>
  <c r="L13" i="11"/>
  <c r="B2060" i="106" s="1"/>
  <c r="D2060" i="106" s="1"/>
  <c r="F56" i="34"/>
  <c r="F34" i="34"/>
  <c r="D14" i="4"/>
  <c r="B2570" i="106" s="1"/>
  <c r="D2570" i="106" s="1"/>
  <c r="F36" i="108"/>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0" i="106"/>
  <c r="D7256" i="106"/>
  <c r="D7251" i="106"/>
  <c r="J16" i="4"/>
  <c r="B6226" i="106" s="1"/>
  <c r="D6226" i="106" s="1"/>
  <c r="B5527" i="106"/>
  <c r="D5527" i="106" s="1"/>
  <c r="H151" i="29"/>
  <c r="B1273" i="106" s="1"/>
  <c r="D1273"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<sst xmlns="http://schemas.openxmlformats.org/spreadsheetml/2006/main" count="5487" uniqueCount="2228">
  <si>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</si>
  <si>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</si>
  <si>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</si>
  <si>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</si>
  <si>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</si>
  <si>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</si>
  <si>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</si>
  <si>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</si>
  <si>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</si>
  <si>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</si>
  <si>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</si>
  <si>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</si>
  <si>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</si>
  <si>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</si>
  <si>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</si>
  <si>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</si>
  <si>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</si>
  <si>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</si>
  <si>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</si>
  <si>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</si>
  <si>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</si>
  <si>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</si>
  <si>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</si>
  <si>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</si>
  <si>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</si>
  <si>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</si>
  <si>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</si>
  <si>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</si>
  <si>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</si>
  <si>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</si>
  <si>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</si>
  <si>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</si>
  <si>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</si>
  <si>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</si>
  <si>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</si>
  <si>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</si>
  <si>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</si>
  <si>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</si>
  <si>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</si>
  <si>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</si>
  <si>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</si>
  <si>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</si>
  <si>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</si>
  <si>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</si>
  <si>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</si>
  <si>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</si>
  <si>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</si>
  <si>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</si>
  <si>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</si>
  <si>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</si>
  <si>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</si>
  <si>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</si>
  <si>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</si>
  <si>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</si>
  <si>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</si>
  <si>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</si>
  <si>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</si>
  <si>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</si>
  <si>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</si>
  <si>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</si>
  <si>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</si>
  <si>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</si>
  <si>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</si>
  <si>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</si>
  <si>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</si>
  <si>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</si>
  <si>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</si>
  <si>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</si>
  <si>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</si>
  <si>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</si>
  <si>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</si>
  <si>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</si>
  <si>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</si>
  <si>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</si>
  <si>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</si>
  <si>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</si>
  <si>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</si>
  <si>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</si>
  <si>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</si>
  <si>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</si>
  <si>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</si>
  <si>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</si>
  <si>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</si>
  <si>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</si>
  <si>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</si>
  <si>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</si>
  <si>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</si>
  <si>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</si>
  <si>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</si>
  <si>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</si>
  <si>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</si>
  <si>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</si>
  <si>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</si>
  <si>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</si>
  <si>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</si>
  <si>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</si>
  <si>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</si>
  <si>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</si>
  <si>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</si>
  <si>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</si>
  <si>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</si>
  <si>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</si>
  <si>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</si>
  <si>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</si>
  <si>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</si>
  <si>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</si>
  <si>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</si>
  <si>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</si>
  <si>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</si>
  <si>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</si>
  <si>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</si>
  <si>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</si>
  <si>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</si>
  <si>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</si>
  <si>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</si>
  <si>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</si>
  <si>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</si>
  <si>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</si>
  <si>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</si>
  <si>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</si>
  <si>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</si>
  <si>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</si>
  <si>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</si>
  <si>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</si>
  <si>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</si>
  <si>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</si>
  <si>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</si>
  <si>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</si>
  <si>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</si>
  <si>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</si>
  <si>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</si>
  <si>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</si>
  <si>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</si>
  <si>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</si>
  <si>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</si>
  <si>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</si>
  <si>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</si>
  <si>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</si>
  <si>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</si>
  <si>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</si>
  <si>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</si>
  <si>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</si>
  <si>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</si>
  <si>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</si>
  <si>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</si>
  <si>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</si>
  <si>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</si>
  <si>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</si>
  <si>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</si>
  <si>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</si>
  <si>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</si>
  <si>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</si>
  <si>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</si>
  <si>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</si>
  <si>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</si>
  <si>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</si>
  <si>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</si>
  <si>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</si>
  <si>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</si>
  <si>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</si>
  <si>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</si>
  <si>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</si>
  <si>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</si>
  <si>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</si>
  <si>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</si>
  <si>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</si>
  <si>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</si>
  <si>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</si>
  <si>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</si>
  <si>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</si>
  <si>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</si>
  <si>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</si>
  <si>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</si>
  <si>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</si>
  <si>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</si>
  <si>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</si>
  <si>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</si>
  <si>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</si>
  <si>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</si>
  <si>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</si>
  <si>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</si>
  <si>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</si>
  <si>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</si>
  <si>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</si>
  <si>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</si>
  <si>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</si>
  <si>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</si>
  <si>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</si>
  <si>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</si>
  <si>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</si>
  <si>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</si>
  <si>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</si>
  <si>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</si>
  <si>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</si>
  <si>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</si>
  <si>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</si>
  <si>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</si>
  <si>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</si>
  <si>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</si>
  <si>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</si>
  <si>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</si>
  <si>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</si>
  <si>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</si>
  <si>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</si>
  <si>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</si>
  <si>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</si>
  <si>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</si>
  <si>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</si>
  <si>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</si>
  <si>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</si>
  <si>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</si>
  <si>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</si>
  <si>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</si>
  <si>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</si>
  <si>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</si>
  <si>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</si>
  <si>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</si>
  <si>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</si>
  <si>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</si>
  <si>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</si>
  <si>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</si>
  <si>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</si>
  <si>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</si>
  <si>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</si>
  <si>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</si>
  <si>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</si>
  <si>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</si>
  <si>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</si>
  <si>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</si>
  <si>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</si>
  <si>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</si>
  <si>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</si>
  <si>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</si>
  <si>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</si>
  <si>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</si>
  <si>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</si>
  <si>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</si>
  <si>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</si>
  <si>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</si>
  <si>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</si>
  <si>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</si>
  <si>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</si>
  <si>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</si>
  <si>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</si>
  <si>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</si>
  <si>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</si>
  <si>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</si>
  <si>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</si>
  <si>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</si>
  <si>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</si>
  <si>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</si>
  <si>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</si>
  <si>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</si>
  <si>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</si>
  <si>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</si>
  <si>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</si>
  <si>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</si>
  <si>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</si>
  <si>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</si>
  <si>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</si>
  <si>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</si>
  <si>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</si>
  <si>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</si>
  <si>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</si>
  <si>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</si>
  <si>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</si>
  <si>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</si>
  <si>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</si>
  <si>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</si>
  <si>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</si>
  <si>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</si>
  <si>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</si>
  <si>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</si>
  <si>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</si>
  <si>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</si>
  <si>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</si>
  <si>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</si>
  <si>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</si>
  <si>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</si>
  <si>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</si>
  <si>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</si>
  <si>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</si>
  <si>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</si>
  <si>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</si>
  <si>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</si>
  <si>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</si>
  <si>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</si>
  <si>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</si>
  <si>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</si>
  <si>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</si>
  <si>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</si>
  <si>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</si>
  <si>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</si>
  <si>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</si>
  <si>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</si>
  <si>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</si>
  <si>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</si>
  <si>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</si>
  <si>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</si>
  <si>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</si>
  <si>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</si>
  <si>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</si>
  <si>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</si>
  <si>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</si>
  <si>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</si>
  <si>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</si>
  <si>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</si>
  <si>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</si>
  <si>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</si>
  <si>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</si>
  <si>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</si>
  <si>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</si>
  <si>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</si>
  <si>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</si>
  <si>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</si>
  <si>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</si>
  <si>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</si>
  <si>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</si>
  <si>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</si>
  <si>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</si>
  <si>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</si>
  <si>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</si>
  <si>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</si>
  <si>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</si>
  <si>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</si>
  <si>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</si>
  <si>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</si>
  <si>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</si>
  <si>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</si>
  <si>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</si>
  <si>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</si>
  <si>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</si>
  <si>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</si>
  <si>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</si>
  <si>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</si>
  <si>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</si>
  <si>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</si>
  <si>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</si>
  <si>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</si>
  <si>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</si>
  <si>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</si>
  <si>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</si>
  <si>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</si>
  <si>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</si>
  <si>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</si>
  <si>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</si>
  <si>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</si>
  <si>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</si>
  <si>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</si>
  <si>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</si>
  <si>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</si>
  <si>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</si>
  <si>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</si>
  <si>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</si>
  <si>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</si>
  <si>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</si>
  <si>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</si>
  <si>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</si>
  <si>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</si>
  <si>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</si>
  <si>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</si>
  <si>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</si>
  <si>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</si>
  <si>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</si>
  <si>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</si>
  <si>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</si>
  <si>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</si>
  <si>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</si>
  <si>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</si>
  <si>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</si>
  <si>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</si>
  <si>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</si>
  <si>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</si>
  <si>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</si>
  <si>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</si>
  <si>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</si>
  <si>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</si>
  <si>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</si>
  <si>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</si>
  <si>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</si>
  <si>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</si>
  <si>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</si>
  <si>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</si>
  <si>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</si>
  <si>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</si>
  <si>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</si>
  <si>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</si>
  <si>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</si>
  <si>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</si>
  <si>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</si>
  <si>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</si>
  <si>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</si>
  <si>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</si>
  <si>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</si>
  <si>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</si>
  <si>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</si>
  <si>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</si>
  <si>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</si>
  <si>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</si>
  <si>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</si>
  <si>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</si>
  <si>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</si>
  <si>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</si>
  <si>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</si>
  <si>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</si>
  <si>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</si>
  <si>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</si>
  <si>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</si>
  <si>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</si>
  <si>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</si>
  <si>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</si>
  <si>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</si>
  <si>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</si>
  <si>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</si>
  <si>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</si>
  <si>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</si>
  <si>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</si>
  <si>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</si>
  <si>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</si>
  <si>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</si>
  <si>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</si>
  <si>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</si>
  <si>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</si>
  <si>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</si>
  <si>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</si>
  <si>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</si>
  <si>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</si>
  <si>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</si>
  <si>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</si>
  <si>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</si>
  <si>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</si>
  <si>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</si>
  <si>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</si>
  <si>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</si>
  <si>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</si>
  <si>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</si>
  <si>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</si>
  <si>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</si>
  <si>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</si>
  <si>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</si>
  <si>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</si>
  <si>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</si>
  <si>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</si>
  <si>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</si>
  <si>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</si>
  <si>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</si>
  <si>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</si>
  <si>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</si>
  <si>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</si>
  <si>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</si>
  <si>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</si>
  <si>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</si>
  <si>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</si>
  <si>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</si>
  <si>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</si>
  <si>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</si>
  <si>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</si>
  <si>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</si>
  <si>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</si>
  <si>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</si>
  <si>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</si>
  <si>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</si>
  <si>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</si>
  <si>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</si>
  <si>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</si>
  <si>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</si>
  <si>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</si>
  <si>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</si>
  <si>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</si>
  <si>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</si>
  <si>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</si>
  <si>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</si>
  <si>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</si>
  <si>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</si>
  <si>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</si>
  <si>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</si>
  <si>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</si>
  <si>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</si>
  <si>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</si>
  <si>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</si>
  <si>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</si>
  <si>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</si>
  <si>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</si>
  <si>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</si>
  <si>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</si>
  <si>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</si>
  <si>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</si>
  <si>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</si>
  <si>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</si>
  <si>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</si>
  <si>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</si>
  <si>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</si>
  <si>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</si>
  <si>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</si>
  <si>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</si>
  <si>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</si>
  <si>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</si>
  <si>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</si>
  <si>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</si>
  <si>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</si>
  <si>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</si>
  <si>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</si>
  <si>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</si>
  <si>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</si>
  <si>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</si>
  <si>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</si>
  <si>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</si>
  <si>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</si>
  <si>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</si>
  <si>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</si>
  <si>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</si>
  <si>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</si>
  <si>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</si>
  <si>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</si>
  <si>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</si>
  <si>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</si>
  <si>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</si>
  <si>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</si>
  <si>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</si>
  <si>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</si>
  <si>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</si>
  <si>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</si>
  <si>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</si>
  <si>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</si>
  <si>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</si>
  <si>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</si>
  <si>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</si>
  <si>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</si>
  <si>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</si>
  <si>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</si>
  <si>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</si>
  <si>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</si>
  <si>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</si>
  <si>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</si>
  <si>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</si>
  <si>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</si>
  <si>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</si>
  <si>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</si>
  <si>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</si>
  <si>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</si>
  <si>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</si>
  <si>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</si>
  <si>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</si>
  <si>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</si>
  <si>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</si>
  <si>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</si>
  <si>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</si>
  <si>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</si>
  <si>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</si>
  <si>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</si>
  <si>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</si>
  <si>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</si>
  <si>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</si>
  <si>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</si>
  <si>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</si>
  <si>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</si>
  <si>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</si>
  <si>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</si>
  <si>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</si>
  <si>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</si>
  <si>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</si>
  <si>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</si>
  <si>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</si>
  <si>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</si>
  <si>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</si>
  <si>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</si>
  <si>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</si>
  <si>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</si>
  <si>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</si>
  <si>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</si>
  <si>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</si>
  <si>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</si>
  <si>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</si>
  <si>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</si>
  <si>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</si>
  <si>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</si>
  <si>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</si>
  <si>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</si>
  <si>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</si>
  <si>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</si>
  <si>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</si>
  <si>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</si>
  <si>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</si>
  <si>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</si>
  <si>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</si>
  <si>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</si>
  <si>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</si>
  <si>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</si>
  <si>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</si>
  <si>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</si>
  <si>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</si>
  <si>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</si>
  <si>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</si>
  <si>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</si>
  <si>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</si>
  <si>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</si>
  <si>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</si>
  <si>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</si>
  <si>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</si>
  <si>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</si>
  <si>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</si>
  <si>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</si>
  <si>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</si>
  <si>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</si>
  <si>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</si>
  <si>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</si>
  <si>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</si>
  <si>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</si>
  <si>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</si>
  <si>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</si>
  <si>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</si>
  <si>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</si>
  <si>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</si>
  <si>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</si>
  <si>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</si>
  <si>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</si>
  <si>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</si>
  <si>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</si>
  <si>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</si>
  <si>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</si>
  <si>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</si>
  <si>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</si>
  <si>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</si>
  <si>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</si>
  <si>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</si>
  <si>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</si>
  <si>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</si>
  <si>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</si>
  <si>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</si>
  <si>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</si>
  <si>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</si>
  <si>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</si>
  <si>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</si>
  <si>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</si>
  <si>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</si>
  <si>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</si>
  <si>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</si>
  <si>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</si>
  <si>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</si>
  <si>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</si>
  <si>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</si>
  <si>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</si>
  <si>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</si>
  <si>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</si>
  <si>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</si>
  <si>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</si>
  <si>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</si>
  <si>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</si>
  <si>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</si>
  <si>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</si>
  <si>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</si>
  <si>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</si>
  <si>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</si>
  <si>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</si>
  <si>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</si>
  <si>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</si>
  <si>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</si>
  <si>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</si>
  <si>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</si>
  <si>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</si>
  <si>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</si>
  <si>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</si>
  <si>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</si>
  <si>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</si>
  <si>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</si>
  <si>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</si>
  <si>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</si>
  <si>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</si>
  <si>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</si>
  <si>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</si>
  <si>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</si>
  <si>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</si>
  <si>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</si>
  <si>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</si>
  <si>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</si>
  <si>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</si>
  <si>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</si>
  <si>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</si>
  <si>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</si>
  <si>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</si>
  <si>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</si>
  <si>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</si>
  <si>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</si>
  <si>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</si>
  <si>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</si>
  <si>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</si>
  <si>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</si>
  <si>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</si>
  <si>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</si>
  <si>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</si>
  <si>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</si>
  <si>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</si>
  <si>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</si>
  <si>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</si>
  <si>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</si>
  <si>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</si>
  <si>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</si>
  <si>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</si>
  <si>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</si>
  <si>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</si>
  <si>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</si>
  <si>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</si>
  <si>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</si>
  <si>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</si>
  <si>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</si>
  <si>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</si>
  <si>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</si>
  <si>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</si>
  <si>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</si>
  <si>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</si>
  <si>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</si>
  <si>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</si>
  <si>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</si>
  <si>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</si>
  <si>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</si>
  <si>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</si>
  <si>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</si>
  <si>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</si>
  <si>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</si>
  <si>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</si>
  <si>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</si>
  <si>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</si>
  <si>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</si>
  <si>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</si>
  <si>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</si>
  <si>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</si>
  <si>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</si>
  <si>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</si>
  <si>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</si>
  <si>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</si>
  <si>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</si>
  <si>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</si>
  <si>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</si>
  <si>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</si>
  <si>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</si>
  <si>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</si>
  <si>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</si>
  <si>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</si>
  <si>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</si>
  <si>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</si>
  <si>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</si>
  <si>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</si>
  <si>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</si>
  <si>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</si>
  <si>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</si>
  <si>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</si>
  <si>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</si>
  <si>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</si>
  <si>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</si>
  <si>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</si>
  <si>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</si>
  <si>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</si>
  <si>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</si>
  <si>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</si>
  <si>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</si>
  <si>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</si>
  <si>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</si>
  <si>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</si>
  <si>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</si>
  <si>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</si>
  <si>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</si>
  <si>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</si>
  <si>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</si>
  <si>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</si>
  <si>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</si>
  <si>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</si>
  <si>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</si>
  <si>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</si>
  <si>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</si>
  <si>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</si>
  <si>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</si>
  <si>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</si>
  <si>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</si>
  <si>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</si>
  <si>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</si>
  <si>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</si>
  <si>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</si>
  <si>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</si>
  <si>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</si>
  <si>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</si>
  <si>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</si>
  <si>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</si>
  <si>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</si>
  <si>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</si>
  <si>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</si>
  <si>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</si>
  <si>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</si>
  <si>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</si>
  <si>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</si>
  <si>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</si>
  <si>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</si>
  <si>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</si>
  <si>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</si>
  <si>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</si>
  <si>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</si>
  <si>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</si>
  <si>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</si>
  <si>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</si>
  <si>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</si>
  <si>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</si>
  <si>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</si>
  <si>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</si>
  <si>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</si>
  <si>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</si>
  <si>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</si>
  <si>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</si>
  <si>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</si>
  <si>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</si>
  <si>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</si>
  <si>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</si>
  <si>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</si>
  <si>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</si>
  <si>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</si>
  <si>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</si>
  <si>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</si>
  <si>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</si>
  <si>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</si>
  <si>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</si>
  <si>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</si>
  <si>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</si>
  <si>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</si>
  <si>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</si>
  <si>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</si>
  <si>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</si>
  <si>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</si>
  <si>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</si>
  <si>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</si>
  <si>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</si>
  <si>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</si>
  <si>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</si>
  <si>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</si>
  <si>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</si>
  <si>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</si>
  <si>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</si>
  <si>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</si>
  <si>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</si>
  <si>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</si>
  <si>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</si>
  <si>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</si>
  <si>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</si>
  <si>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</si>
  <si>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</si>
  <si>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</si>
  <si>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</si>
  <si>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</si>
  <si>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</si>
  <si>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</si>
  <si>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</si>
  <si>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</si>
  <si>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</si>
  <si>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</si>
  <si>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</si>
  <si>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</si>
  <si>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</si>
  <si>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</si>
  <si>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</si>
  <si>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</si>
  <si>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</si>
  <si>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</si>
  <si>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</si>
  <si>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</si>
  <si>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</si>
  <si>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</si>
  <si>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</si>
  <si>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</si>
  <si>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</si>
  <si>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</si>
  <si>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</si>
  <si>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</si>
  <si>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</si>
  <si>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</si>
  <si>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</si>
  <si>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</si>
  <si>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</si>
  <si>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</si>
  <si>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</si>
  <si>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</si>
  <si>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</si>
  <si>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</si>
  <si>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</si>
  <si>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</si>
  <si>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</si>
  <si>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</si>
  <si>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</si>
  <si>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</si>
  <si>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</si>
  <si>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</si>
  <si>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</si>
  <si>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</si>
  <si>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</si>
  <si>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</si>
  <si>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</si>
  <si>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</si>
  <si>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</si>
  <si>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</si>
  <si>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</si>
  <si>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</si>
  <si>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</si>
  <si>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</si>
  <si>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</si>
  <si>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</si>
  <si>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</si>
  <si>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</si>
  <si>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</si>
  <si>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</si>
  <si>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</si>
  <si>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</si>
  <si>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</si>
  <si>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</si>
  <si>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</si>
  <si>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</si>
  <si>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</si>
  <si>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</si>
  <si>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</si>
  <si>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</si>
  <si>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</si>
  <si>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</si>
  <si>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</si>
  <si>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</si>
  <si>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</si>
  <si>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</si>
  <si>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</si>
  <si>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</si>
  <si>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</si>
  <si>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</si>
  <si>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</si>
  <si>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</si>
  <si>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</si>
  <si>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</si>
  <si>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</si>
  <si>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</si>
  <si>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</si>
  <si>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</si>
  <si>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</si>
  <si>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</si>
  <si>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</si>
  <si>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</si>
  <si>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</si>
  <si>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</si>
  <si>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</si>
  <si>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</si>
  <si>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</si>
  <si>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</si>
  <si>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</si>
  <si>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</si>
  <si>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</si>
  <si>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</si>
  <si>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</si>
  <si>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</si>
  <si>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</si>
  <si>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</si>
  <si>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</si>
  <si>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</si>
  <si>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</si>
  <si>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</si>
  <si>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</si>
  <si>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</si>
  <si>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</si>
  <si>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</si>
  <si>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</si>
  <si>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</si>
  <si>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</si>
  <si>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</si>
  <si>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</si>
  <si>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</si>
  <si>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</si>
  <si>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</si>
  <si>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</si>
  <si>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</si>
  <si>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</si>
  <si>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</si>
  <si>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</si>
  <si>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</si>
  <si>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</si>
  <si>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</si>
  <si>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</si>
  <si>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</si>
  <si>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</si>
  <si>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</si>
  <si>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</si>
  <si>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</si>
  <si>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</si>
  <si>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</si>
  <si>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</si>
  <si>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</si>
  <si>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</si>
  <si>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</si>
  <si>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</si>
  <si>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</si>
  <si>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</si>
  <si>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</si>
  <si>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</si>
  <si>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</si>
  <si>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</si>
  <si>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</si>
  <si>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</si>
  <si>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</si>
  <si>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</si>
  <si>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</si>
  <si>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</si>
  <si>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</si>
  <si>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</si>
  <si>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</si>
  <si>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</si>
  <si>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</si>
  <si>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</si>
  <si>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</si>
  <si>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</si>
  <si>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</si>
  <si>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</si>
  <si>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</si>
  <si>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</si>
  <si>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</si>
  <si>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</si>
  <si>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</si>
  <si>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</si>
  <si>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</si>
  <si>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</si>
  <si>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</si>
  <si>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</si>
  <si>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</si>
  <si>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</si>
  <si>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</si>
  <si>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</si>
  <si>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</si>
  <si>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</si>
  <si>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</si>
  <si>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</si>
  <si>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</si>
  <si>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</si>
  <si>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</si>
  <si>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</si>
  <si>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</si>
  <si>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</si>
  <si>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</si>
  <si>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</si>
  <si>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</si>
  <si>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</si>
  <si>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</si>
  <si>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</si>
  <si>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</si>
  <si>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</si>
  <si>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</si>
  <si>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</si>
  <si>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</si>
  <si>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</si>
  <si>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</si>
  <si>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</si>
  <si>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</si>
  <si>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</si>
  <si>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</si>
  <si>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</si>
  <si>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</si>
  <si>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</si>
  <si>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</si>
  <si>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</si>
  <si>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</si>
  <si>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</si>
  <si>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</si>
  <si>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</si>
  <si>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</si>
  <si>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</si>
  <si>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</si>
  <si>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</si>
  <si>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</si>
  <si>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</si>
  <si>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</si>
  <si>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</si>
  <si>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</si>
  <si>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</si>
  <si>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</si>
  <si>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</si>
  <si>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</si>
  <si>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</si>
  <si>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</si>
  <si>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</si>
  <si>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</si>
  <si>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</si>
  <si>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</si>
  <si>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</si>
  <si>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</si>
  <si>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</si>
  <si>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</si>
  <si>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</si>
  <si>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</si>
  <si>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</si>
  <si>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</si>
  <si>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</si>
  <si>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</si>
  <si>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</si>
  <si>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</si>
  <si>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</si>
  <si>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</si>
  <si>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</si>
  <si>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</si>
  <si>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</si>
  <si>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</si>
  <si>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</si>
  <si>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</si>
  <si>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</si>
  <si>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</si>
  <si>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</si>
  <si>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</si>
  <si>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</si>
  <si>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</si>
  <si>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</si>
  <si>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</si>
  <si>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</si>
  <si>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</si>
  <si>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</si>
  <si>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</si>
  <si>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</si>
  <si>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</si>
  <si>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</si>
  <si>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</si>
  <si>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</si>
  <si>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</si>
  <si>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</si>
  <si>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</si>
  <si>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</si>
  <si>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</si>
  <si>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</si>
  <si>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</si>
  <si>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</si>
  <si>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</si>
  <si>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</si>
  <si>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</si>
  <si>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</si>
  <si>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</si>
  <si>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</si>
  <si>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</si>
  <si>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</si>
  <si>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</si>
  <si>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</si>
  <si>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</si>
  <si>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</si>
  <si>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</si>
  <si>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</si>
  <si>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</si>
  <si>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</si>
  <si>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</si>
  <si>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</si>
  <si>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</si>
  <si>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</si>
  <si>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</si>
  <si>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</si>
  <si>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</si>
  <si>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</si>
  <si>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</si>
  <si>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</si>
  <si>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</si>
  <si>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</si>
  <si>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</si>
  <si>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</si>
  <si>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</si>
  <si>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</si>
  <si>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</si>
  <si>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</si>
  <si>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</si>
  <si>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</si>
  <si>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</si>
  <si>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</si>
  <si>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</si>
  <si>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</si>
  <si>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</si>
  <si>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</si>
  <si>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</si>
  <si>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</si>
  <si>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</si>
  <si>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</si>
  <si>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</si>
  <si>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</si>
  <si>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</si>
  <si>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</si>
  <si>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</si>
  <si>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</si>
  <si>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</si>
  <si>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</si>
  <si>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</si>
  <si>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</si>
  <si>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</si>
  <si>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</si>
  <si>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</si>
  <si>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</si>
  <si>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</si>
  <si>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</si>
  <si>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</si>
  <si>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</si>
  <si>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</si>
  <si>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</si>
  <si>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</si>
  <si>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</si>
  <si>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</si>
  <si>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</si>
  <si>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</si>
  <si>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</si>
  <si>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</si>
  <si>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</si>
  <si>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</si>
  <si>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</si>
  <si>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</si>
  <si>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</si>
  <si>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</si>
  <si>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</si>
  <si>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</si>
  <si>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</si>
  <si>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</si>
  <si>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</si>
  <si>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</si>
  <si>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</si>
  <si>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</si>
  <si>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</si>
  <si>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</si>
  <si>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</si>
  <si>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</si>
  <si>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</si>
  <si>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</si>
  <si>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</si>
  <si>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</si>
  <si>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</si>
  <si>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</si>
  <si>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</si>
  <si>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</si>
  <si>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</si>
  <si>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</si>
  <si>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</si>
  <si>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</si>
  <si>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</si>
  <si>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</si>
  <si>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</si>
  <si>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</si>
  <si>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</si>
  <si>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</si>
  <si>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</si>
  <si>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</si>
  <si>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</si>
  <si>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</si>
  <si>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</si>
  <si>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</si>
  <si>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</si>
  <si>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</si>
  <si>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</si>
  <si>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</si>
  <si>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</si>
  <si>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</si>
  <si>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</si>
  <si>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</si>
  <si>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</si>
  <si>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</si>
  <si>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</si>
  <si>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</si>
  <si>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</si>
  <si>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</si>
  <si>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</si>
  <si>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</si>
  <si>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</si>
  <si>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</si>
  <si>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</si>
  <si>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</si>
  <si>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</si>
  <si>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</si>
  <si>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</si>
  <si>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</si>
  <si>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</si>
  <si>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</si>
  <si>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</si>
  <si>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</si>
  <si>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</si>
  <si>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</si>
  <si>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</si>
  <si>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</si>
  <si>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</si>
  <si>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</si>
  <si>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</si>
  <si>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</si>
  <si>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</si>
  <si>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</si>
  <si>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</si>
  <si>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</si>
  <si>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</si>
  <si>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</si>
  <si>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</si>
  <si>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</si>
  <si>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</si>
  <si>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</si>
  <si>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</si>
  <si>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</si>
  <si>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</si>
  <si>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</si>
  <si>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</si>
  <si>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</si>
  <si>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</si>
  <si>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</si>
  <si>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</si>
  <si>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</si>
  <si>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</si>
  <si>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</si>
  <si>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</si>
  <si>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</si>
  <si>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</si>
  <si>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</si>
  <si>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</si>
  <si>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</si>
  <si>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</si>
  <si>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</si>
  <si>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</si>
  <si>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</si>
  <si>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</si>
  <si>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</si>
  <si>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</si>
  <si>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</si>
  <si>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</si>
  <si>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</si>
  <si>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</si>
  <si>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</si>
  <si>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</si>
  <si>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</si>
  <si>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</si>
  <si>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</si>
  <si>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</si>
  <si>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</si>
  <si>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</si>
  <si>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</si>
  <si>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</si>
  <si>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</si>
  <si>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</si>
  <si>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</si>
  <si>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</si>
  <si>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</si>
  <si>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</si>
  <si>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</si>
  <si>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</si>
  <si>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</si>
  <si>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</si>
  <si>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</si>
  <si>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</si>
  <si>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</si>
  <si>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</si>
  <si>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</si>
  <si>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</si>
  <si>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</si>
  <si>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</si>
  <si>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</si>
  <si>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</si>
  <si>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</si>
  <si>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</si>
  <si>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</si>
  <si>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</si>
  <si>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</si>
  <si>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</si>
  <si>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</si>
  <si>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</si>
  <si>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</si>
  <si>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</si>
  <si>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</si>
  <si>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</si>
  <si>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</si>
  <si>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</si>
  <si>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</si>
  <si>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</si>
  <si>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</si>
  <si>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</si>
  <si>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</si>
  <si>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</si>
  <si>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</si>
  <si>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</si>
  <si>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</si>
  <si>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</si>
  <si>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</si>
  <si>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</si>
  <si>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</si>
  <si>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</si>
  <si>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</si>
  <si>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</si>
  <si>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</si>
  <si>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</si>
  <si>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</si>
  <si>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</si>
  <si>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</si>
  <si>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</si>
  <si>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</si>
  <si>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</si>
  <si>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</si>
  <si>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</si>
  <si>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</si>
  <si>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</si>
  <si>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</si>
  <si>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</si>
  <si>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</si>
  <si>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</si>
  <si>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</si>
  <si>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</si>
  <si>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</si>
  <si>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</si>
  <si>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</si>
  <si>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</si>
  <si>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</si>
  <si>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</si>
  <si>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</si>
  <si>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</si>
  <si>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</si>
  <si>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</si>
  <si>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</si>
  <si>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</si>
  <si>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</si>
  <si>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</si>
  <si>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</si>
  <si>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</si>
  <si>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</si>
  <si>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</si>
  <si>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</si>
  <si>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</si>
  <si>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</si>
  <si>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</si>
  <si>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</si>
  <si>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</si>
  <si>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</si>
  <si>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</si>
  <si>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</si>
  <si>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</si>
  <si>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</si>
  <si>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</si>
  <si>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</si>
  <si>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</si>
  <si>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</si>
  <si>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</si>
  <si>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</si>
  <si>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</si>
  <si>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</si>
  <si>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</si>
  <si>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</si>
  <si>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</si>
  <si>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</si>
  <si>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</si>
  <si>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</si>
  <si>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</si>
  <si>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</si>
  <si>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</si>
  <si>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</si>
  <si>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</si>
  <si>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</si>
  <si>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</si>
  <si>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</si>
  <si>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</si>
  <si>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</si>
  <si>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</si>
  <si>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</si>
  <si>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</si>
  <si>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</si>
  <si>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</si>
  <si>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</si>
  <si>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</si>
  <si>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</si>
  <si>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</si>
  <si>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</si>
  <si>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</si>
  <si>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</si>
  <si>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</si>
  <si>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</si>
  <si>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</si>
  <si>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</si>
  <si>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</si>
  <si>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</si>
  <si>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</si>
  <si>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</si>
  <si>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</si>
  <si>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</si>
  <si>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</si>
  <si>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</si>
  <si>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</si>
  <si>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</si>
  <si>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</si>
  <si>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</si>
  <si>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</si>
  <si>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</si>
  <si>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</si>
  <si>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</si>
  <si>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</si>
  <si>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</si>
  <si>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</si>
  <si>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</si>
  <si>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</si>
  <si>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</si>
  <si>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</si>
  <si>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</si>
  <si>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</si>
  <si>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</si>
  <si>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</si>
  <si>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</si>
  <si>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</si>
  <si>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</si>
  <si>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</si>
  <si>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</si>
  <si>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</si>
  <si>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</si>
  <si>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</si>
  <si>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</si>
  <si>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</si>
  <si>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</si>
  <si>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</si>
  <si>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</si>
  <si>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</si>
  <si>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</si>
  <si>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</si>
  <si>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</si>
  <si>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</si>
  <si>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</si>
  <si>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</si>
  <si>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</si>
  <si>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</si>
  <si>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</si>
  <si>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</si>
  <si>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</si>
  <si>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</si>
  <si>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</si>
  <si>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</si>
  <si>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</si>
  <si>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</si>
  <si>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</si>
  <si>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</si>
  <si>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</si>
  <si>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</si>
  <si>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</si>
  <si>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</si>
  <si>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</si>
  <si>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</si>
  <si>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</si>
  <si>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</si>
  <si>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</si>
  <si>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</si>
  <si>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</si>
  <si>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</si>
  <si>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</si>
  <si>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</si>
  <si>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</si>
  <si>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</si>
  <si>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</si>
  <si>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</si>
  <si>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</si>
  <si>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</si>
  <si>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</si>
  <si>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</si>
  <si>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</si>
  <si>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</si>
  <si>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</si>
  <si>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</si>
  <si>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</si>
  <si>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</si>
  <si>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</si>
  <si>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</si>
  <si>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</si>
  <si>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</si>
  <si>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</si>
  <si>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</si>
  <si>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</si>
  <si>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</si>
  <si>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</si>
  <si>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</si>
  <si>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</si>
  <si>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</si>
  <si>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</si>
  <si>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</si>
  <si>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</si>
  <si>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</si>
  <si>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</si>
  <si>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</si>
  <si>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</si>
  <si>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</si>
  <si>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</si>
  <si>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</si>
  <si>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</si>
  <si>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</si>
  <si>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</si>
  <si>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</si>
  <si>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</si>
  <si>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</si>
  <si>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</si>
  <si>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</si>
  <si>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</si>
  <si>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</si>
  <si>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</si>
  <si>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</si>
  <si>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</si>
  <si>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</si>
  <si>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</si>
  <si>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</si>
  <si>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</si>
  <si>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</si>
  <si>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</si>
  <si>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</si>
  <si>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</si>
  <si>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</si>
  <si>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</si>
  <si>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</si>
  <si>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</si>
  <si>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</si>
  <si>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</si>
  <si>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</si>
  <si>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</si>
  <si>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</si>
  <si>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</si>
  <si>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</si>
  <si>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</si>
  <si>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</si>
  <si>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</si>
  <si>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</si>
  <si>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</si>
  <si>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</si>
  <si>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</si>
  <si>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</si>
  <si>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</si>
  <si>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</si>
  <si>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</si>
  <si>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</si>
  <si>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</si>
  <si>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</si>
  <si>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</si>
  <si>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</si>
  <si>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</si>
  <si>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</si>
  <si>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</si>
  <si>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</si>
  <si>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</si>
  <si>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</si>
  <si>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</si>
  <si>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</si>
  <si>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</si>
  <si>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</si>
  <si>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</si>
  <si>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</si>
  <si>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</si>
  <si>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</si>
  <si>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</si>
  <si>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</si>
  <si>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</si>
  <si>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</si>
  <si>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</si>
  <si>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</si>
  <si>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</si>
  <si>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</si>
  <si>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</si>
  <si>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</si>
  <si>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</si>
  <si>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</si>
  <si>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</si>
  <si>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</si>
  <si>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</si>
  <si>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</si>
  <si>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</si>
  <si>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</si>
  <si>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</si>
  <si>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</si>
  <si>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</si>
  <si>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</si>
  <si>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</si>
  <si>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</si>
  <si>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</si>
  <si>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</si>
  <si>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</si>
  <si>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</si>
  <si>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</si>
  <si>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</si>
  <si>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</si>
  <si>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</si>
  <si>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</si>
  <si>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</si>
  <si>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</si>
  <si>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</si>
  <si>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</si>
  <si>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</si>
  <si>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</si>
  <si>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</si>
  <si>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</si>
  <si>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</si>
  <si>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</si>
  <si>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</si>
  <si>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</si>
  <si>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</si>
  <si>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</si>
  <si>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</si>
  <si>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</si>
  <si>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</si>
  <si>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</si>
  <si>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</si>
  <si>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</si>
  <si>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</si>
  <si>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</si>
  <si>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</si>
  <si>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</si>
  <si>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</si>
  <si>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</si>
  <si>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</si>
  <si>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</si>
  <si>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</si>
  <si>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</si>
  <si>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</si>
  <si>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</si>
  <si>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</si>
  <si>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</si>
  <si>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</si>
  <si>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</si>
  <si>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</si>
  <si>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</si>
  <si>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</si>
  <si>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</si>
  <si>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</si>
  <si>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</si>
  <si>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</si>
  <si>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</si>
  <si>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</si>
  <si>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</si>
  <si>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</si>
  <si>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</si>
  <si>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</si>
  <si>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</si>
  <si>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</si>
  <si>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</si>
  <si>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</si>
  <si>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</si>
  <si>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</si>
  <si>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</si>
  <si>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</si>
  <si>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</si>
  <si>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</si>
  <si>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</si>
  <si>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</si>
  <si>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</si>
  <si>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</si>
  <si>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</si>
  <si>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</si>
  <si>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</si>
  <si>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</si>
  <si>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</si>
  <si>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</si>
  <si>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</si>
  <si>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</si>
  <si>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</si>
  <si>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</si>
  <si>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</si>
  <si>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</si>
  <si>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</si>
  <si>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</si>
  <si>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</si>
  <si>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</si>
  <si>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</si>
  <si>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</si>
  <si>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</si>
  <si>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</si>
  <si>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</si>
  <si>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</si>
  <si>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</si>
  <si>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</si>
  <si>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</si>
  <si>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</si>
  <si>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</si>
  <si>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</si>
  <si>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</si>
  <si>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</si>
  <si>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</si>
  <si>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</si>
  <si>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</si>
  <si>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</si>
  <si>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</si>
  <si>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</si>
  <si>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</si>
  <si>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</si>
  <si>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</si>
  <si>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</si>
  <si>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</si>
  <si>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</si>
  <si>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</si>
  <si>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</si>
  <si>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</si>
  <si>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</si>
  <si>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</si>
  <si>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</si>
  <si>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</si>
  <si>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</si>
  <si>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</si>
  <si>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</si>
  <si>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</si>
  <si>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</si>
  <si>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</si>
  <si>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</si>
  <si>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</si>
  <si>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</si>
  <si>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</si>
  <si>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</si>
  <si>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</si>
  <si>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</si>
  <si>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</si>
  <si>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</si>
  <si>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</si>
  <si>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</si>
  <si>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</si>
  <si>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</si>
  <si>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</si>
  <si>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</si>
  <si>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</si>
  <si>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</si>
  <si>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</si>
  <si>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</si>
  <si>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</si>
  <si>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</si>
  <si>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</si>
  <si>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</si>
  <si>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</si>
  <si>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</si>
  <si>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</si>
  <si>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</si>
  <si>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</si>
  <si>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</si>
  <si>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</si>
  <si>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</si>
  <si>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</si>
  <si>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</si>
  <si>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</si>
  <si>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</si>
  <si>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</si>
  <si>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</si>
  <si>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</si>
  <si>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</si>
  <si>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</si>
  <si>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</si>
  <si>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</si>
  <si>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</si>
  <si>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</si>
  <si>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</si>
  <si>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</si>
  <si>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</si>
  <si>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</si>
  <si>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</si>
  <si>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</si>
  <si>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</si>
  <si>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</si>
  <si>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</si>
  <si>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</si>
  <si>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</si>
  <si>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</si>
  <si>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</si>
  <si>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</si>
  <si>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</si>
  <si>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</si>
  <si>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</si>
  <si>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</si>
  <si>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</si>
  <si>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</si>
  <si>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</si>
  <si>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</si>
  <si>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</si>
  <si>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</si>
  <si>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</si>
  <si>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</si>
  <si>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</si>
  <si>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</si>
  <si>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</si>
  <si>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</si>
  <si>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</si>
  <si>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</si>
  <si>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</si>
  <si>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</si>
  <si>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</si>
  <si>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</si>
  <si>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</si>
  <si>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</si>
  <si>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</si>
  <si>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</si>
  <si>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</si>
  <si>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</si>
  <si>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</si>
  <si>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</si>
  <si>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</si>
  <si>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</si>
  <si>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</si>
  <si>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</si>
  <si>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</si>
  <si>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</si>
  <si>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</si>
  <si>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</si>
  <si>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</si>
  <si>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</si>
  <si>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</si>
  <si>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</si>
  <si>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</si>
  <si>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</si>
  <si>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</si>
  <si>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</si>
  <si>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</si>
  <si>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</si>
  <si>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</si>
  <si>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</si>
  <si>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</si>
  <si>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</si>
  <si>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</si>
  <si>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</si>
  <si>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</si>
  <si>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</si>
  <si>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</si>
  <si>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</si>
  <si>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</si>
  <si>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</si>
  <si>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</si>
  <si>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</si>
  <si>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</si>
  <si>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</si>
  <si>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</si>
  <si>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</si>
  <si>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</si>
  <si>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</si>
  <si>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</si>
  <si>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</si>
  <si>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</si>
  <si>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</si>
  <si>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</si>
  <si>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</si>
  <si>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</si>
  <si>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</si>
  <si>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</si>
  <si>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</si>
  <si>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</si>
  <si>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</si>
  <si>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</si>
  <si>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</si>
  <si>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</si>
  <si>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</si>
  <si>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</si>
  <si>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</si>
  <si>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</si>
  <si>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</si>
  <si>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</si>
  <si>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</si>
  <si>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</si>
  <si>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</si>
  <si>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</si>
  <si>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</si>
  <si>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</si>
  <si>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</si>
  <si>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</si>
  <si>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</si>
  <si>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</si>
  <si>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</si>
  <si>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</si>
  <si>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</si>
  <si>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</si>
  <si>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</si>
  <si>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</si>
  <si>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</si>
  <si>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</si>
  <si>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</si>
  <si>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</si>
  <si>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</si>
  <si>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</si>
  <si>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</si>
  <si>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</si>
  <si>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</si>
  <si>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</si>
  <si>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</si>
  <si>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</si>
  <si>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</si>
  <si>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</si>
  <si>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</si>
  <si>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</si>
  <si>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</si>
  <si>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</si>
  <si>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</si>
  <si>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</si>
  <si>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</si>
  <si>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</si>
  <si>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</si>
  <si>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</si>
  <si>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</si>
  <si>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</si>
  <si>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</si>
  <si>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</si>
  <si>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</si>
  <si>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</si>
  <si>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</si>
  <si>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</si>
  <si>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</si>
  <si>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</si>
  <si>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</si>
  <si>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</si>
  <si>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</si>
  <si>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</si>
  <si>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</si>
  <si>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</si>
  <si>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</si>
  <si>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</si>
  <si>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</si>
  <si>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</si>
  <si>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</si>
  <si>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</si>
  <si>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</si>
  <si>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</si>
  <si>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</si>
  <si>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</si>
  <si>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</si>
  <si>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</si>
  <si>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</si>
  <si>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</si>
  <si>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</si>
  <si>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</si>
  <si>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</si>
  <si>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</si>
  <si>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</si>
  <si>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</si>
  <si>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</si>
  <si>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</si>
  <si>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</si>
  <si>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</si>
  <si>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</si>
  <si>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</si>
  <si>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</si>
  <si>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</si>
  <si>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</si>
  <si>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</si>
  <si>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</si>
  <si>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</si>
  <si>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</si>
  <si>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</si>
  <si>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</si>
  <si>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</si>
  <si>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</si>
  <si>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</si>
  <si>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</si>
  <si>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</si>
  <si>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</si>
  <si>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</si>
  <si>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</si>
  <si>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</si>
  <si>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</si>
  <si>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</si>
  <si>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</si>
  <si>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</si>
  <si>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</si>
  <si>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</si>
  <si>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</si>
  <si>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</si>
  <si>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</si>
  <si>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</si>
  <si>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</si>
  <si>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</si>
  <si>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</si>
  <si>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</si>
  <si>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</si>
  <si>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</si>
  <si>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</si>
  <si>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</si>
  <si>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</si>
  <si>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</si>
  <si>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</si>
  <si>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</si>
  <si>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</si>
  <si>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</si>
  <si>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</si>
  <si>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</si>
  <si>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</si>
  <si>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</si>
  <si>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</si>
  <si>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</si>
  <si>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</si>
  <si>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</si>
  <si>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</si>
  <si>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</si>
  <si>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</si>
  <si>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</si>
  <si>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</si>
  <si>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</si>
  <si>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</si>
  <si>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KENT D. KULL</t>
  </si>
  <si>
    <t>DEWITT</t>
  </si>
  <si>
    <t>1210 STATE ROUTE 54 WEST</t>
  </si>
  <si>
    <t>CLINTON</t>
  </si>
  <si>
    <t>cnettles@cusd15.org</t>
  </si>
  <si>
    <t>CURT NETTLES</t>
  </si>
  <si>
    <t>217-935-8321</t>
  </si>
  <si>
    <t>217-935-2300</t>
  </si>
  <si>
    <t>MARK JONTRY</t>
  </si>
  <si>
    <t>jontrym@roe17.org</t>
  </si>
  <si>
    <t>309-888-5120</t>
  </si>
  <si>
    <t>309-862-0420</t>
  </si>
  <si>
    <t>GO School Building Bonds, 2012A</t>
  </si>
  <si>
    <t>GO School Building Bonds, 2013A</t>
  </si>
  <si>
    <t>GO School Bonds, 2016</t>
  </si>
  <si>
    <t>Computer Equipment Lease Purchase Agreement</t>
  </si>
  <si>
    <t>Copier Lease Purchase Agreement</t>
  </si>
  <si>
    <t>Bus Lease Purchase Agreement</t>
  </si>
  <si>
    <t>Lease Purchase Agreement</t>
  </si>
  <si>
    <t>Tri-County Special Ed Cooperative</t>
  </si>
  <si>
    <t>Regional Office of Education #17</t>
  </si>
  <si>
    <t>Bloomington Area Career Center</t>
  </si>
  <si>
    <t>Clinton Police Department - Resource Officer</t>
  </si>
  <si>
    <t>NONE</t>
  </si>
  <si>
    <t>Page 5, Line 12 "Other Current Assets"</t>
  </si>
  <si>
    <t xml:space="preserve">   Educational Fund</t>
  </si>
  <si>
    <t>Page 10, Line 72 "Sales to Pupils - Other"</t>
  </si>
  <si>
    <t xml:space="preserve">   Educational Fund </t>
  </si>
  <si>
    <t xml:space="preserve">   Transportation Fund</t>
  </si>
  <si>
    <t xml:space="preserve">     Reimbursements    $500</t>
  </si>
  <si>
    <t>Page 15, Line 41 "Other Support Services - Pupils"</t>
  </si>
  <si>
    <t>Page 16, Line 73 "Other Support Services"</t>
  </si>
  <si>
    <t>Page 18, Line 171 "Debt Services - Other"</t>
  </si>
  <si>
    <t xml:space="preserve">   Debt Services Fund</t>
  </si>
  <si>
    <t xml:space="preserve">     Purchased Services - Agent Fees    $1,400</t>
  </si>
  <si>
    <t>Page 20, Line 260 "Other Support Services - School Administration"</t>
  </si>
  <si>
    <t xml:space="preserve">   Municipal Retirement/Social Security Fund</t>
  </si>
  <si>
    <t>Page 23, Line 18 "Other"</t>
  </si>
  <si>
    <t>Audit Check #8</t>
  </si>
  <si>
    <t>Audit Check #13</t>
  </si>
  <si>
    <t xml:space="preserve">  There were no contracts within the current year.</t>
  </si>
  <si>
    <t xml:space="preserve">   Trasportation Fund</t>
  </si>
  <si>
    <t xml:space="preserve">     Prepaid Payroll Liabilities   $1</t>
  </si>
  <si>
    <t xml:space="preserve">   Munipal Retirement/Social Security Fund</t>
  </si>
  <si>
    <t xml:space="preserve">     Prepaid Payroll Liabilities   $4,897</t>
  </si>
  <si>
    <t xml:space="preserve">     Milk   $6,533</t>
  </si>
  <si>
    <t xml:space="preserve">     Crossing Guards     $13,260</t>
  </si>
  <si>
    <t xml:space="preserve">     Reimbursements    $548</t>
  </si>
  <si>
    <t>Page 12, Line 168 "Other Restricted Revenue from State Sources"</t>
  </si>
  <si>
    <t xml:space="preserve">     Library Grant  $1,316</t>
  </si>
  <si>
    <t xml:space="preserve">     Supplies &amp; Materials - Graduation Supplies    $6,878</t>
  </si>
  <si>
    <t xml:space="preserve">     Employee Benefits - Retiree Vision, Dental, and Health Insurance    $27,179</t>
  </si>
  <si>
    <t xml:space="preserve">     Supplies &amp; Materials - Miscellaneous $351</t>
  </si>
  <si>
    <t>Page 16, Line 83 "Other Payments to In-State Gov't Units"</t>
  </si>
  <si>
    <t xml:space="preserve">     Other Objects- Reimbursements $3,755</t>
  </si>
  <si>
    <t xml:space="preserve">     Employee Benefits - Transportation Coordinator Retirement    $157</t>
  </si>
  <si>
    <t xml:space="preserve">   Austin Land Crop Adjustment    ($8,914)</t>
  </si>
  <si>
    <t xml:space="preserve">  Page 18, cell H170,  Fund 30 payments on principal of $1,827,644 plus Page 19, cell H206, Fund 40 payments on </t>
  </si>
  <si>
    <t xml:space="preserve">  principal of $7,058 equals $1,834,702. This equals Page 24 Total Retired Debt.</t>
  </si>
  <si>
    <t>U.S.Department of Education</t>
  </si>
  <si>
    <t>Passed through Illinois State Board of Education</t>
  </si>
  <si>
    <t>Total Title I - Low Income</t>
  </si>
  <si>
    <t>Total Title II - Teacher Quality</t>
  </si>
  <si>
    <t>2018-4300</t>
  </si>
  <si>
    <t>84.010A</t>
  </si>
  <si>
    <t>2019-4300</t>
  </si>
  <si>
    <t>84.367A</t>
  </si>
  <si>
    <t>2018-4932</t>
  </si>
  <si>
    <t>2019-4932</t>
  </si>
  <si>
    <t>2019-4400</t>
  </si>
  <si>
    <t>Special Education Cluster</t>
  </si>
  <si>
    <t>Total Federal - Special Education - IDEA - Flow Through</t>
  </si>
  <si>
    <t>84.027A</t>
  </si>
  <si>
    <t>2018-4620</t>
  </si>
  <si>
    <t>2019-4620</t>
  </si>
  <si>
    <t>Passed through Tri-County Special Education</t>
  </si>
  <si>
    <t>84.173A</t>
  </si>
  <si>
    <t>2018-4600</t>
  </si>
  <si>
    <t>2019-4600</t>
  </si>
  <si>
    <t>Total Federal - Special Education - IDEA - Pre-School</t>
  </si>
  <si>
    <t>Total Special Education Cluster</t>
  </si>
  <si>
    <t>Total U.S. Department of Education</t>
  </si>
  <si>
    <t>U.S. Department of Agriculture</t>
  </si>
  <si>
    <t>Child Nutrition Cluster</t>
  </si>
  <si>
    <t>(M) Commodity Credit (Non-Cash)</t>
  </si>
  <si>
    <t>(M) National School Lunch Program</t>
  </si>
  <si>
    <t>Total National School Lunch Program</t>
  </si>
  <si>
    <t>(M) School Breakfast Program</t>
  </si>
  <si>
    <t>Total School Breakfast Program</t>
  </si>
  <si>
    <t>Total U.S. Department of Agriculture/Child Nutrition Cluster</t>
  </si>
  <si>
    <t>2018-4210</t>
  </si>
  <si>
    <t>2019-4210</t>
  </si>
  <si>
    <t>2018-4220</t>
  </si>
  <si>
    <t>2019-4220</t>
  </si>
  <si>
    <t>U.S. Department of Health and Human Services</t>
  </si>
  <si>
    <t>Passed through Illinois Department of Healthcare and Family Services</t>
  </si>
  <si>
    <t>Medicaid Matching Administrative Outreach</t>
  </si>
  <si>
    <t>Total U.S. Department of Health and Human Services</t>
  </si>
  <si>
    <t>Total Federal Financial Assistance</t>
  </si>
  <si>
    <t>N/A</t>
  </si>
  <si>
    <t>2018-4991</t>
  </si>
  <si>
    <t>2019-4991</t>
  </si>
  <si>
    <t>None</t>
  </si>
  <si>
    <r>
      <t xml:space="preserve">The following amounts were expended in the form of non-cash assistance by Clinton Community Unit School District 5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</si>
  <si>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Clinton Community Unit School District 5 and is presented on the modified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</si>
  <si>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Clinton Community Unit School District 5  provided federal awards to subrecipients as follows:</t>
  </si>
  <si>
    <t xml:space="preserve">      Indirect Cost Info 30, Line 11</t>
  </si>
  <si>
    <t>2019-4250</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</si>
  <si>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</si>
  <si>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</si>
  <si>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</si>
  <si>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treasurer's bond was not increased to cover the highest level of district assets.</t>
  </si>
  <si>
    <t>Upon annual renewal, the treasurer's bond should be evaluated for adequacy and compliance with statutory requirements.</t>
  </si>
  <si>
    <t>Management will monitor the adequacy of the treasurer's bond and will increase the penalty of the bond as necessary.</t>
  </si>
  <si>
    <t>State statutes require the District to operate within the legal confines of its budget.</t>
  </si>
  <si>
    <t>Expenditures in excess of budgeted amounts constitute unauthorized spending.</t>
  </si>
  <si>
    <t>We recommend the District amend the budget to include all expenditures.</t>
  </si>
  <si>
    <t>Management will monitor expenditures and will amend the budget as necessary to reflect all expenditures.</t>
  </si>
  <si>
    <t>Expenditures materially exceeded budgeted amounts in the Debt Services Fund.</t>
  </si>
  <si>
    <t>The Debt Services Fund has disbursements exceeding budgeted amounts in the amount of $233,370.</t>
  </si>
  <si>
    <t>The District amended its budget but did not adjust the amended budget for increased debt services expenditures.</t>
  </si>
  <si>
    <t>The Municipal Retirement levy is a restricted tax levy which may only be spent on Illinois Municipal Retirement expenditures.</t>
  </si>
  <si>
    <t xml:space="preserve">Municipal Retirement tax levy proceeds were spent on social security and medicare expenditures. </t>
  </si>
  <si>
    <t xml:space="preserve">The District is not in compliance with Illinois statutes. </t>
  </si>
  <si>
    <t xml:space="preserve">The District should monitor expenditures in the Municipal Retirement/Social Security Fund by purpose and ensure that an adequate amount of property taxes are levied to pay for the respective expenditures.  </t>
  </si>
  <si>
    <t>A material amount of fund balance in the Municipal Retirement/Social Security Fund that is restricted for Illinois Municipal Retirement expenditures was used to pay for social security and medicare expenditures during the fiscal year ending June 30, 2019.</t>
  </si>
  <si>
    <t>The District's prior Social Security levies were not adequate to pay for the District's social security and medicare expenditures in the fiscal year ending June 30, 2019.</t>
  </si>
  <si>
    <t xml:space="preserve">The District will implement the auditor's recommendation for fiscal year 2020. </t>
  </si>
  <si>
    <t>20.  Expenditures materially exceeded budgeted amounts in the Debt Services Fund; 23.  Opinion is adverse due to regulatory basis presentation.</t>
  </si>
  <si>
    <t>Page 11, Line 106 "Other Local Fees"</t>
  </si>
  <si>
    <t xml:space="preserve">     RevTrak Fees           $4,374</t>
  </si>
  <si>
    <t>Page 11, Line 107 "Other Local Revenues"</t>
  </si>
  <si>
    <t>Title IVA - Student Support and Academic Enrichment</t>
  </si>
  <si>
    <t>84.424A</t>
  </si>
  <si>
    <t>(M) Federal - Special Education - IDEA - Flow Through</t>
  </si>
  <si>
    <t>(M) Federal - Special Education - IDEA - Pre-School</t>
  </si>
  <si>
    <t>Unmodified</t>
  </si>
  <si>
    <t>10.553 &amp; 10.555</t>
  </si>
  <si>
    <t>84.027A &amp; 84.173A</t>
  </si>
  <si>
    <t>Our tests did not reveal any noncompliance or internal control over compliance findings or questioned costs.</t>
  </si>
  <si>
    <t>2018-001</t>
  </si>
  <si>
    <t>Not a repeat finding in the FY2019 audit.</t>
  </si>
  <si>
    <t xml:space="preserve">Statements of economic interest were not all </t>
  </si>
  <si>
    <t>timely filed.</t>
  </si>
  <si>
    <t>2018-002</t>
  </si>
  <si>
    <t>The amount of the treasurer's bond was not</t>
  </si>
  <si>
    <t>adequate.</t>
  </si>
  <si>
    <t>Repeat finding.  See 2019-001.</t>
  </si>
  <si>
    <t>2018-003</t>
  </si>
  <si>
    <t>Expenditures materially exceeed budgeted</t>
  </si>
  <si>
    <t>amounts in the Transportation Fund.</t>
  </si>
  <si>
    <t>Repeat finding.  See 2019-002.</t>
  </si>
  <si>
    <t>2018-004</t>
  </si>
  <si>
    <t>Municipal Retirement tax levy proceeds were</t>
  </si>
  <si>
    <t>spent on social security and medicare</t>
  </si>
  <si>
    <t>expenditures.</t>
  </si>
  <si>
    <t>Repeat finding.  See 2019-003.</t>
  </si>
  <si>
    <t>The treasurer's bond was not adequate during the months of August 2018 through June 2019.</t>
  </si>
  <si>
    <t>Clinton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</si>
</sst>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1" fillId="0" borderId="157" xfId="17" applyFont="1" applyBorder="1" applyAlignment="1" applyProtection="1">
      <alignment horizontal="left" vertical="top" wrapText="1"/>
      <protection locked="0"/>
    </xf>
    <xf numFmtId="3" fontId="62" fillId="0" borderId="165"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165" xfId="3" applyNumberFormat="1" applyFont="1" applyBorder="1" applyAlignment="1" applyProtection="1">
      <alignment horizontal="center"/>
      <protection locked="0"/>
    </xf>
    <xf numFmtId="169" fontId="62" fillId="0" borderId="22" xfId="3" applyNumberFormat="1" applyFont="1" applyBorder="1" applyAlignment="1" applyProtection="1">
      <alignment horizontal="left"/>
      <protection locked="0"/>
    </xf>
    <xf numFmtId="169" fontId="64" fillId="0" borderId="22" xfId="3" applyNumberFormat="1" applyFont="1" applyBorder="1" applyAlignment="1" applyProtection="1">
      <alignment horizontal="left"/>
      <protection locked="0"/>
    </xf>
    <xf numFmtId="3" fontId="64" fillId="0" borderId="166" xfId="3" applyNumberFormat="1" applyFont="1" applyBorder="1" applyAlignment="1" applyProtection="1">
      <alignment horizontal="center"/>
      <protection locked="0"/>
    </xf>
    <xf numFmtId="0" fontId="54" fillId="0" borderId="0" xfId="3" applyFont="1" applyAlignment="1" applyProtection="1">
      <alignment horizontal="center" vertical="center"/>
    </xf>
    <xf numFmtId="3" fontId="62" fillId="0" borderId="22" xfId="3" applyNumberFormat="1" applyFont="1" applyFill="1" applyBorder="1" applyAlignment="1" applyProtection="1">
      <alignment horizontal="center"/>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123825</xdr:rowOff>
        </xdr:from>
        <xdr:to>
          <xdr:col>1</xdr:col>
          <xdr:colOff>962025</xdr:colOff>
          <xdr:row>5</xdr:row>
          <xdr:rowOff>0</xdr:rowOff>
        </xdr:to>
        <xdr:sp macro="" textlink="">
          <xdr:nvSpPr>
            <xdr:cNvPr id="52225" name="Object 1" hidden="1">
              <a:extLst>
                <a:ext uri="{63B3BB69-23CF-44E3-9099-C40C66FF867C}">
                  <a14:compatExt spid="_x0000_s522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142875</xdr:rowOff>
        </xdr:from>
        <xdr:to>
          <xdr:col>1</xdr:col>
          <xdr:colOff>1990725</xdr:colOff>
          <xdr:row>5</xdr:row>
          <xdr:rowOff>9525</xdr:rowOff>
        </xdr:to>
        <xdr:sp macro="" textlink="">
          <xdr:nvSpPr>
            <xdr:cNvPr id="52226" name="Object 2" hidden="1">
              <a:extLst>
                <a:ext uri="{63B3BB69-23CF-44E3-9099-C40C66FF867C}">
                  <a14:compatExt spid="_x0000_s522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142875</xdr:rowOff>
        </xdr:from>
        <xdr:to>
          <xdr:col>1</xdr:col>
          <xdr:colOff>2990850</xdr:colOff>
          <xdr:row>5</xdr:row>
          <xdr:rowOff>19050</xdr:rowOff>
        </xdr:to>
        <xdr:sp macro="" textlink="">
          <xdr:nvSpPr>
            <xdr:cNvPr id="52227" name="Object 3" hidden="1">
              <a:extLst>
                <a:ext uri="{63B3BB69-23CF-44E3-9099-C40C66FF867C}">
                  <a14:compatExt spid="_x0000_s522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3086100</xdr:colOff>
          <xdr:row>0</xdr:row>
          <xdr:rowOff>152400</xdr:rowOff>
        </xdr:from>
        <xdr:to>
          <xdr:col>2</xdr:col>
          <xdr:colOff>9525</xdr:colOff>
          <xdr:row>5</xdr:row>
          <xdr:rowOff>28575</xdr:rowOff>
        </xdr:to>
        <xdr:sp macro="" textlink="">
          <xdr:nvSpPr>
            <xdr:cNvPr id="52228" name="Object 4" hidden="1">
              <a:extLst>
                <a:ext uri="{63B3BB69-23CF-44E3-9099-C40C66FF867C}">
                  <a14:compatExt spid="_x0000_s52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85725</xdr:rowOff>
        </xdr:from>
        <xdr:to>
          <xdr:col>1</xdr:col>
          <xdr:colOff>952500</xdr:colOff>
          <xdr:row>9</xdr:row>
          <xdr:rowOff>123825</xdr:rowOff>
        </xdr:to>
        <xdr:sp macro="" textlink="">
          <xdr:nvSpPr>
            <xdr:cNvPr id="52229" name="Object 5" hidden="1">
              <a:extLst>
                <a:ext uri="{63B3BB69-23CF-44E3-9099-C40C66FF867C}">
                  <a14:compatExt spid="_x0000_s52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5</xdr:row>
          <xdr:rowOff>85725</xdr:rowOff>
        </xdr:from>
        <xdr:to>
          <xdr:col>1</xdr:col>
          <xdr:colOff>1990725</xdr:colOff>
          <xdr:row>9</xdr:row>
          <xdr:rowOff>123825</xdr:rowOff>
        </xdr:to>
        <xdr:sp macro="" textlink="">
          <xdr:nvSpPr>
            <xdr:cNvPr id="52230" name="Object 6" hidden="1">
              <a:extLst>
                <a:ext uri="{63B3BB69-23CF-44E3-9099-C40C66FF867C}">
                  <a14:compatExt spid="_x0000_s522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5</xdr:row>
          <xdr:rowOff>85725</xdr:rowOff>
        </xdr:from>
        <xdr:to>
          <xdr:col>1</xdr:col>
          <xdr:colOff>3000375</xdr:colOff>
          <xdr:row>9</xdr:row>
          <xdr:rowOff>114300</xdr:rowOff>
        </xdr:to>
        <xdr:sp macro="" textlink="">
          <xdr:nvSpPr>
            <xdr:cNvPr id="52231" name="Object 7" hidden="1">
              <a:extLst>
                <a:ext uri="{63B3BB69-23CF-44E3-9099-C40C66FF867C}">
                  <a14:compatExt spid="_x0000_s522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5</xdr:row>
          <xdr:rowOff>114300</xdr:rowOff>
        </xdr:from>
        <xdr:to>
          <xdr:col>2</xdr:col>
          <xdr:colOff>19050</xdr:colOff>
          <xdr:row>9</xdr:row>
          <xdr:rowOff>142875</xdr:rowOff>
        </xdr:to>
        <xdr:sp macro="" textlink="">
          <xdr:nvSpPr>
            <xdr:cNvPr id="52232" name="Object 8" hidden="1">
              <a:extLst>
                <a:ext uri="{63B3BB69-23CF-44E3-9099-C40C66FF867C}">
                  <a14:compatExt spid="_x0000_s522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I17" sqref="I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92" t="s">
        <v>405</v>
      </c>
      <c r="J1" s="1993"/>
      <c r="K1" s="1993"/>
      <c r="L1" s="1993"/>
      <c r="M1" s="1993"/>
      <c r="N1" s="1993"/>
      <c r="O1" s="1993"/>
      <c r="P1" s="1993"/>
      <c r="Q1" s="1993"/>
      <c r="R1" s="1993"/>
      <c r="S1" s="1993"/>
    </row>
    <row r="2" spans="1:28" ht="12" customHeight="1" x14ac:dyDescent="0.2">
      <c r="A2" s="47" t="s">
        <v>1986</v>
      </c>
      <c r="D2" s="48"/>
      <c r="I2" s="1994" t="s">
        <v>979</v>
      </c>
      <c r="J2" s="1993"/>
      <c r="K2" s="1993"/>
      <c r="L2" s="1993"/>
      <c r="M2" s="1993"/>
      <c r="N2" s="1993"/>
      <c r="O2" s="1993"/>
      <c r="P2" s="1993"/>
      <c r="Q2" s="1993"/>
      <c r="R2" s="1993"/>
      <c r="S2" s="1993"/>
    </row>
    <row r="3" spans="1:28" ht="12" customHeight="1" x14ac:dyDescent="0.2">
      <c r="A3" s="155" t="s">
        <v>1938</v>
      </c>
      <c r="B3" s="156"/>
      <c r="C3" s="156"/>
      <c r="D3" s="157"/>
      <c r="I3" s="1994" t="s">
        <v>52</v>
      </c>
      <c r="J3" s="1993"/>
      <c r="K3" s="1993"/>
      <c r="L3" s="1993"/>
      <c r="M3" s="1993"/>
      <c r="N3" s="1993"/>
      <c r="O3" s="1993"/>
      <c r="P3" s="1993"/>
      <c r="Q3" s="1993"/>
      <c r="R3" s="1993"/>
      <c r="S3" s="1993"/>
    </row>
    <row r="4" spans="1:28" ht="12" customHeight="1" x14ac:dyDescent="0.2">
      <c r="A4" s="37"/>
      <c r="I4" s="1994" t="s">
        <v>524</v>
      </c>
      <c r="J4" s="1993"/>
      <c r="K4" s="1993"/>
      <c r="L4" s="1993"/>
      <c r="M4" s="1993"/>
      <c r="N4" s="1993"/>
      <c r="O4" s="1993"/>
      <c r="P4" s="1993"/>
      <c r="Q4" s="1993"/>
      <c r="R4" s="1993"/>
      <c r="S4" s="1993"/>
    </row>
    <row r="5" spans="1:28" ht="14.1" customHeight="1" x14ac:dyDescent="0.2">
      <c r="B5" s="104" t="s">
        <v>2060</v>
      </c>
      <c r="C5" s="26" t="s">
        <v>910</v>
      </c>
      <c r="D5" s="84"/>
      <c r="E5" s="84"/>
      <c r="H5" s="38"/>
      <c r="I5" s="2002" t="s">
        <v>680</v>
      </c>
      <c r="J5" s="2001"/>
      <c r="K5" s="2001"/>
      <c r="L5" s="2001"/>
      <c r="M5" s="2001"/>
      <c r="N5" s="2001"/>
      <c r="O5" s="2001"/>
      <c r="P5" s="2001"/>
      <c r="Q5" s="2001"/>
      <c r="R5" s="2001"/>
      <c r="S5" s="2001"/>
    </row>
    <row r="6" spans="1:28" ht="14.1" customHeight="1" x14ac:dyDescent="0.2">
      <c r="B6" s="104"/>
      <c r="C6" s="26" t="s">
        <v>911</v>
      </c>
      <c r="D6" s="84"/>
      <c r="E6" s="84"/>
      <c r="I6" s="2000" t="s">
        <v>883</v>
      </c>
      <c r="J6" s="2001"/>
      <c r="K6" s="2001"/>
      <c r="L6" s="2001"/>
      <c r="M6" s="2001"/>
      <c r="N6" s="2001"/>
      <c r="O6" s="2001"/>
      <c r="P6" s="2001"/>
      <c r="Q6" s="2001"/>
      <c r="R6" s="2001"/>
      <c r="S6" s="2001"/>
    </row>
    <row r="7" spans="1:28" ht="12.2" customHeight="1" x14ac:dyDescent="0.2">
      <c r="I7" s="1995">
        <v>43646</v>
      </c>
      <c r="J7" s="1996"/>
      <c r="K7" s="1996"/>
      <c r="L7" s="1996"/>
      <c r="M7" s="1996"/>
      <c r="N7" s="1996"/>
      <c r="O7" s="1996"/>
      <c r="P7" s="1996"/>
      <c r="Q7" s="1996"/>
      <c r="R7" s="1996"/>
      <c r="S7" s="19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7" t="s">
        <v>674</v>
      </c>
      <c r="J9" s="1998"/>
      <c r="K9" s="1998"/>
      <c r="L9" s="1998"/>
      <c r="M9" s="1998"/>
      <c r="N9" s="1998"/>
      <c r="O9" s="1998"/>
      <c r="P9" s="1998"/>
      <c r="Q9" s="1998"/>
      <c r="R9" s="1998"/>
      <c r="S9" s="1999"/>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1"/>
      <c r="V10" s="2001"/>
      <c r="W10" s="2001"/>
      <c r="X10" s="2001"/>
      <c r="Y10" s="2001"/>
      <c r="Z10" s="2001"/>
      <c r="AA10" s="2007"/>
    </row>
    <row r="11" spans="1:28" ht="14.25" customHeight="1" x14ac:dyDescent="0.2">
      <c r="A11" s="2023" t="s">
        <v>955</v>
      </c>
      <c r="B11" s="2024"/>
      <c r="C11" s="2024"/>
      <c r="D11" s="2024"/>
      <c r="E11" s="2024"/>
      <c r="F11" s="2024"/>
      <c r="G11" s="2024"/>
      <c r="H11" s="2025"/>
      <c r="I11" s="27"/>
      <c r="J11" s="74"/>
      <c r="K11" s="27"/>
      <c r="O11" s="148" t="s">
        <v>2060</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17020015026</v>
      </c>
      <c r="B13" s="2029"/>
      <c r="C13" s="2029"/>
      <c r="D13" s="2029"/>
      <c r="E13" s="2029"/>
      <c r="F13" s="2029"/>
      <c r="G13" s="2029"/>
      <c r="H13" s="2030"/>
      <c r="I13" s="31"/>
      <c r="J13" s="30"/>
      <c r="K13" s="28"/>
      <c r="L13" s="30"/>
      <c r="M13" s="30"/>
      <c r="N13" s="30"/>
      <c r="O13" s="30"/>
      <c r="P13" s="30"/>
      <c r="Q13" s="30"/>
      <c r="R13" s="30"/>
      <c r="S13" s="30"/>
      <c r="T13" s="2033" t="s">
        <v>2061</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2070</v>
      </c>
      <c r="B15" s="2031"/>
      <c r="C15" s="2031"/>
      <c r="D15" s="2031"/>
      <c r="E15" s="2031"/>
      <c r="F15" s="2031"/>
      <c r="G15" s="2031"/>
      <c r="H15" s="2032"/>
      <c r="T15" s="2037" t="s">
        <v>2069</v>
      </c>
      <c r="U15" s="2038"/>
      <c r="V15" s="2038"/>
      <c r="W15" s="2038"/>
      <c r="X15" s="2038"/>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6" t="s">
        <v>2227</v>
      </c>
      <c r="B17" s="1987"/>
      <c r="C17" s="1987"/>
      <c r="D17" s="1987"/>
      <c r="E17" s="1987"/>
      <c r="F17" s="1987"/>
      <c r="G17" s="1987"/>
      <c r="H17" s="2012"/>
      <c r="T17" s="2043" t="s">
        <v>2062</v>
      </c>
      <c r="U17" s="2044"/>
      <c r="V17" s="2044"/>
      <c r="W17" s="2044"/>
      <c r="X17" s="2044"/>
      <c r="Y17" s="2044"/>
      <c r="Z17" s="2044"/>
      <c r="AA17" s="2045"/>
    </row>
    <row r="18" spans="1:27" ht="13.5" customHeight="1" x14ac:dyDescent="0.2">
      <c r="A18" s="85" t="s">
        <v>530</v>
      </c>
      <c r="B18" s="76"/>
      <c r="C18" s="72"/>
      <c r="D18" s="76"/>
      <c r="E18" s="76"/>
      <c r="F18" s="76"/>
      <c r="G18" s="76"/>
      <c r="H18" s="56"/>
      <c r="I18" s="2011"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6" t="s">
        <v>2071</v>
      </c>
      <c r="B19" s="2027"/>
      <c r="C19" s="2027"/>
      <c r="D19" s="2027"/>
      <c r="E19" s="2027"/>
      <c r="F19" s="2027"/>
      <c r="G19" s="2027"/>
      <c r="H19" s="1951"/>
      <c r="I19" s="30"/>
      <c r="J19" s="99"/>
      <c r="K19" s="40"/>
      <c r="L19" s="38"/>
      <c r="M19" s="112" t="s">
        <v>315</v>
      </c>
      <c r="P19" s="27"/>
      <c r="Q19" s="27"/>
      <c r="R19" s="27"/>
      <c r="S19" s="31"/>
      <c r="T19" s="2026" t="s">
        <v>2063</v>
      </c>
      <c r="U19" s="1950"/>
      <c r="V19" s="1950"/>
      <c r="W19" s="1951"/>
      <c r="X19" s="2042" t="s">
        <v>2064</v>
      </c>
      <c r="Y19" s="1950"/>
      <c r="Z19" s="2041">
        <v>62565</v>
      </c>
      <c r="AA19" s="195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2072</v>
      </c>
      <c r="B21" s="1950"/>
      <c r="C21" s="1950"/>
      <c r="D21" s="1950"/>
      <c r="E21" s="1950"/>
      <c r="F21" s="1950"/>
      <c r="G21" s="1950"/>
      <c r="H21" s="1951"/>
      <c r="I21" s="2006" t="s">
        <v>678</v>
      </c>
      <c r="J21" s="2001"/>
      <c r="K21" s="2001"/>
      <c r="L21" s="2001"/>
      <c r="M21" s="2001"/>
      <c r="N21" s="2001"/>
      <c r="O21" s="2001"/>
      <c r="P21" s="2001"/>
      <c r="Q21" s="2001"/>
      <c r="R21" s="2001"/>
      <c r="S21" s="2007"/>
      <c r="T21" s="2053" t="s">
        <v>2065</v>
      </c>
      <c r="U21" s="2054"/>
      <c r="V21" s="2054"/>
      <c r="W21" s="2054"/>
      <c r="X21" s="1978" t="s">
        <v>2066</v>
      </c>
      <c r="Y21" s="2063"/>
      <c r="Z21" s="2063"/>
      <c r="AA21" s="2064"/>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3" t="s">
        <v>2073</v>
      </c>
      <c r="B23" s="2004"/>
      <c r="C23" s="2004"/>
      <c r="D23" s="2004"/>
      <c r="E23" s="2004"/>
      <c r="F23" s="2004"/>
      <c r="G23" s="2004"/>
      <c r="H23" s="2005"/>
      <c r="T23" s="1986" t="s">
        <v>2067</v>
      </c>
      <c r="U23" s="2049"/>
      <c r="V23" s="2049"/>
      <c r="W23" s="2049"/>
      <c r="X23" s="2062">
        <v>44530</v>
      </c>
      <c r="Y23" s="2031"/>
      <c r="Z23" s="2031"/>
      <c r="AA23" s="2032"/>
    </row>
    <row r="24" spans="1:27" ht="14.1" customHeight="1" x14ac:dyDescent="0.2">
      <c r="A24" s="88" t="s">
        <v>677</v>
      </c>
      <c r="B24" s="49"/>
      <c r="C24" s="49"/>
      <c r="D24" s="49"/>
      <c r="E24" s="49"/>
      <c r="F24" s="49"/>
      <c r="G24" s="49"/>
      <c r="H24" s="61"/>
      <c r="J24" s="1973">
        <f>IF(B5="x",IF(AUDITCHECK!D29="AFR form Incomplete.","",IF(AUDITCHECK!D29="Deficit reduction plan is required.","School District must complete a deficit reduction plan in the 2019-2020 Budget",)),"")</f>
        <v>0</v>
      </c>
      <c r="K24" s="1973"/>
      <c r="L24" s="1973"/>
      <c r="M24" s="1973"/>
      <c r="N24" s="1973"/>
      <c r="O24" s="1973"/>
      <c r="P24" s="1973"/>
      <c r="Q24" s="1973"/>
      <c r="R24" s="1973"/>
      <c r="S24" s="1974"/>
      <c r="T24" s="105" t="s">
        <v>531</v>
      </c>
      <c r="U24" s="106"/>
      <c r="V24" s="106"/>
      <c r="W24" s="106"/>
      <c r="X24" s="107"/>
      <c r="Y24" s="107"/>
      <c r="Z24" s="107"/>
      <c r="AA24" s="108"/>
    </row>
    <row r="25" spans="1:27" ht="14.1" customHeight="1" x14ac:dyDescent="0.2">
      <c r="A25" s="1949">
        <v>61727</v>
      </c>
      <c r="B25" s="1950"/>
      <c r="C25" s="1950"/>
      <c r="D25" s="1950"/>
      <c r="E25" s="1950"/>
      <c r="F25" s="1950"/>
      <c r="G25" s="1950"/>
      <c r="H25" s="1951"/>
      <c r="I25" s="113"/>
      <c r="J25" s="1975"/>
      <c r="K25" s="1975"/>
      <c r="L25" s="1975"/>
      <c r="M25" s="1975"/>
      <c r="N25" s="1975"/>
      <c r="O25" s="1975"/>
      <c r="P25" s="1975"/>
      <c r="Q25" s="1975"/>
      <c r="R25" s="1975"/>
      <c r="S25" s="1976"/>
      <c r="T25" s="2046" t="s">
        <v>2068</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2060</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6" t="s">
        <v>2074</v>
      </c>
      <c r="B38" s="1987"/>
      <c r="C38" s="1987"/>
      <c r="D38" s="1987"/>
      <c r="E38" s="1987"/>
      <c r="F38" s="1950"/>
      <c r="G38" s="1950"/>
      <c r="H38" s="1951"/>
      <c r="I38" s="1979"/>
      <c r="J38" s="1980"/>
      <c r="K38" s="1980"/>
      <c r="L38" s="1980"/>
      <c r="M38" s="1980"/>
      <c r="N38" s="1980"/>
      <c r="O38" s="1980"/>
      <c r="P38" s="1981"/>
      <c r="Q38" s="1981"/>
      <c r="R38" s="1981"/>
      <c r="S38" s="1982"/>
      <c r="T38" s="2037" t="s">
        <v>2077</v>
      </c>
      <c r="U38" s="2038"/>
      <c r="V38" s="2038"/>
      <c r="W38" s="2038"/>
      <c r="X38" s="2056"/>
      <c r="Y38" s="2056"/>
      <c r="Z38" s="2056"/>
      <c r="AA38" s="2057"/>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2073</v>
      </c>
      <c r="B40" s="1964"/>
      <c r="C40" s="1965"/>
      <c r="D40" s="1965"/>
      <c r="E40" s="1965"/>
      <c r="F40" s="1966"/>
      <c r="G40" s="1966"/>
      <c r="H40" s="1967"/>
      <c r="I40" s="1989"/>
      <c r="J40" s="1990"/>
      <c r="K40" s="1990"/>
      <c r="L40" s="1990"/>
      <c r="M40" s="1990"/>
      <c r="N40" s="1990"/>
      <c r="O40" s="1990"/>
      <c r="P40" s="1990"/>
      <c r="Q40" s="1990"/>
      <c r="R40" s="1990"/>
      <c r="S40" s="1991"/>
      <c r="T40" s="2058" t="s">
        <v>2078</v>
      </c>
      <c r="U40" s="2059"/>
      <c r="V40" s="2060"/>
      <c r="W40" s="2060"/>
      <c r="X40" s="2060"/>
      <c r="Y40" s="2060"/>
      <c r="Z40" s="2060"/>
      <c r="AA40" s="20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8" t="s">
        <v>2075</v>
      </c>
      <c r="B42" s="1969"/>
      <c r="C42" s="1970"/>
      <c r="D42" s="1968" t="s">
        <v>2076</v>
      </c>
      <c r="E42" s="1969"/>
      <c r="F42" s="1969"/>
      <c r="G42" s="1969"/>
      <c r="H42" s="1970"/>
      <c r="I42" s="1952"/>
      <c r="J42" s="1953"/>
      <c r="K42" s="1953"/>
      <c r="L42" s="1953"/>
      <c r="M42" s="1953"/>
      <c r="N42" s="1953"/>
      <c r="O42" s="1954"/>
      <c r="P42" s="1988"/>
      <c r="Q42" s="1953"/>
      <c r="R42" s="1953"/>
      <c r="S42" s="1954"/>
      <c r="T42" s="2055" t="s">
        <v>2079</v>
      </c>
      <c r="U42" s="2051"/>
      <c r="V42" s="2051"/>
      <c r="W42" s="2052"/>
      <c r="X42" s="2050" t="s">
        <v>2080</v>
      </c>
      <c r="Y42" s="2051"/>
      <c r="Z42" s="2051"/>
      <c r="AA42" s="20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3"/>
      <c r="B44" s="1984"/>
      <c r="C44" s="1984"/>
      <c r="D44" s="1984"/>
      <c r="E44" s="1984"/>
      <c r="F44" s="1984"/>
      <c r="G44" s="1984"/>
      <c r="H44" s="1985"/>
      <c r="I44" s="1957"/>
      <c r="J44" s="1958"/>
      <c r="K44" s="1958"/>
      <c r="L44" s="1958"/>
      <c r="M44" s="1958"/>
      <c r="N44" s="1958"/>
      <c r="O44" s="1958"/>
      <c r="P44" s="1958"/>
      <c r="Q44" s="1958"/>
      <c r="R44" s="1958"/>
      <c r="S44" s="1959"/>
      <c r="T44" s="1957"/>
      <c r="U44" s="1977"/>
      <c r="V44" s="1977"/>
      <c r="W44" s="1977"/>
      <c r="X44" s="1977"/>
      <c r="Y44" s="1977"/>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T43" sqref="T43"/>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98" t="s">
        <v>1797</v>
      </c>
      <c r="B2" s="1525" t="s">
        <v>1944</v>
      </c>
      <c r="C2" s="712" t="s">
        <v>1945</v>
      </c>
      <c r="D2" s="712" t="s">
        <v>1946</v>
      </c>
      <c r="E2" s="712" t="s">
        <v>1947</v>
      </c>
      <c r="F2" s="712" t="s">
        <v>1948</v>
      </c>
    </row>
    <row r="3" spans="1:6" ht="12" customHeight="1" x14ac:dyDescent="0.2">
      <c r="A3" s="2199"/>
      <c r="B3" s="1522"/>
      <c r="C3" s="1523"/>
      <c r="D3" s="1524" t="s">
        <v>256</v>
      </c>
      <c r="E3" s="1523"/>
      <c r="F3" s="1524" t="s">
        <v>257</v>
      </c>
    </row>
    <row r="4" spans="1:6" ht="13.7" customHeight="1" x14ac:dyDescent="0.2">
      <c r="A4" s="713" t="s">
        <v>1155</v>
      </c>
      <c r="B4" s="1742">
        <f>'Revenues 9-14'!C5</f>
        <v>8374601</v>
      </c>
      <c r="C4" s="1521"/>
      <c r="D4" s="1745">
        <f>B4-C4</f>
        <v>8374601</v>
      </c>
      <c r="E4" s="1521">
        <v>8595772</v>
      </c>
      <c r="F4" s="1745">
        <f>E4-C4</f>
        <v>8595772</v>
      </c>
    </row>
    <row r="5" spans="1:6" ht="13.7" customHeight="1" x14ac:dyDescent="0.2">
      <c r="A5" s="713" t="s">
        <v>870</v>
      </c>
      <c r="B5" s="1743">
        <f>'Revenues 9-14'!D5</f>
        <v>2275722</v>
      </c>
      <c r="C5" s="584"/>
      <c r="D5" s="1746">
        <f t="shared" ref="D5:D18" si="0">B5-C5</f>
        <v>2275722</v>
      </c>
      <c r="E5" s="584">
        <v>2335807</v>
      </c>
      <c r="F5" s="1746">
        <f>E5-C5</f>
        <v>2335807</v>
      </c>
    </row>
    <row r="6" spans="1:6" ht="13.7" customHeight="1" x14ac:dyDescent="0.2">
      <c r="A6" s="713" t="s">
        <v>411</v>
      </c>
      <c r="B6" s="1743">
        <f>'Revenues 9-14'!E5</f>
        <v>2148165</v>
      </c>
      <c r="C6" s="584"/>
      <c r="D6" s="1746">
        <f t="shared" si="0"/>
        <v>2148165</v>
      </c>
      <c r="E6" s="584">
        <v>2174037</v>
      </c>
      <c r="F6" s="1746">
        <f t="shared" ref="F6:F18" si="1">E6-C6</f>
        <v>2174037</v>
      </c>
    </row>
    <row r="7" spans="1:6" ht="13.7" customHeight="1" x14ac:dyDescent="0.2">
      <c r="A7" s="713" t="s">
        <v>155</v>
      </c>
      <c r="B7" s="1743">
        <f>'Revenues 9-14'!F5</f>
        <v>910260</v>
      </c>
      <c r="C7" s="584"/>
      <c r="D7" s="1746">
        <f t="shared" si="0"/>
        <v>910260</v>
      </c>
      <c r="E7" s="584">
        <v>934323</v>
      </c>
      <c r="F7" s="1746">
        <f t="shared" si="1"/>
        <v>934323</v>
      </c>
    </row>
    <row r="8" spans="1:6" ht="13.7" customHeight="1" x14ac:dyDescent="0.2">
      <c r="A8" s="713" t="s">
        <v>1179</v>
      </c>
      <c r="B8" s="1743">
        <f>'Revenues 9-14'!G5</f>
        <v>309804</v>
      </c>
      <c r="C8" s="584"/>
      <c r="D8" s="1746">
        <f t="shared" si="0"/>
        <v>309804</v>
      </c>
      <c r="E8" s="584">
        <v>331264</v>
      </c>
      <c r="F8" s="1746">
        <f t="shared" si="1"/>
        <v>331264</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227600</v>
      </c>
      <c r="C10" s="584"/>
      <c r="D10" s="1746">
        <f t="shared" si="0"/>
        <v>227600</v>
      </c>
      <c r="E10" s="584">
        <v>233581</v>
      </c>
      <c r="F10" s="1746">
        <f t="shared" si="1"/>
        <v>233581</v>
      </c>
    </row>
    <row r="11" spans="1:6" x14ac:dyDescent="0.2">
      <c r="A11" s="713" t="s">
        <v>409</v>
      </c>
      <c r="B11" s="1743">
        <f>'Revenues 9-14'!J5</f>
        <v>1224276</v>
      </c>
      <c r="C11" s="584"/>
      <c r="D11" s="1746">
        <f t="shared" si="0"/>
        <v>1224276</v>
      </c>
      <c r="E11" s="584">
        <v>1258019</v>
      </c>
      <c r="F11" s="1746">
        <f t="shared" si="1"/>
        <v>1258019</v>
      </c>
    </row>
    <row r="12" spans="1:6" ht="13.7" customHeight="1" x14ac:dyDescent="0.2">
      <c r="A12" s="713" t="s">
        <v>157</v>
      </c>
      <c r="B12" s="1743">
        <f>'Revenues 9-14'!K5</f>
        <v>227600</v>
      </c>
      <c r="C12" s="584"/>
      <c r="D12" s="1746">
        <f t="shared" si="0"/>
        <v>227600</v>
      </c>
      <c r="E12" s="584">
        <v>233581</v>
      </c>
      <c r="F12" s="1746">
        <f t="shared" si="1"/>
        <v>233581</v>
      </c>
    </row>
    <row r="13" spans="1:6" ht="13.7" customHeight="1" x14ac:dyDescent="0.2">
      <c r="A13" s="713" t="s">
        <v>936</v>
      </c>
      <c r="B13" s="1743">
        <f>SUM('Revenues 9-14'!C6:D6)</f>
        <v>227600</v>
      </c>
      <c r="C13" s="584"/>
      <c r="D13" s="1746">
        <f t="shared" si="0"/>
        <v>227600</v>
      </c>
      <c r="E13" s="584">
        <v>233581</v>
      </c>
      <c r="F13" s="1746">
        <f t="shared" si="1"/>
        <v>233581</v>
      </c>
    </row>
    <row r="14" spans="1:6" ht="13.7" customHeight="1" x14ac:dyDescent="0.2">
      <c r="A14" s="713" t="s">
        <v>410</v>
      </c>
      <c r="B14" s="1743">
        <f>SUM('Revenues 9-14'!C7:D7,'Revenues 9-14'!F7:H7)</f>
        <v>182037</v>
      </c>
      <c r="C14" s="584"/>
      <c r="D14" s="1746">
        <f t="shared" si="0"/>
        <v>182037</v>
      </c>
      <c r="E14" s="584">
        <v>186865</v>
      </c>
      <c r="F14" s="1746">
        <f t="shared" si="1"/>
        <v>186865</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309804</v>
      </c>
      <c r="C16" s="584"/>
      <c r="D16" s="1746">
        <f t="shared" si="0"/>
        <v>309804</v>
      </c>
      <c r="E16" s="584">
        <v>282166</v>
      </c>
      <c r="F16" s="1746">
        <f t="shared" si="1"/>
        <v>282166</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v>-8914</v>
      </c>
      <c r="F18" s="1746">
        <f t="shared" si="1"/>
        <v>-8914</v>
      </c>
    </row>
    <row r="19" spans="1:6" ht="13.7" customHeight="1" thickBot="1" x14ac:dyDescent="0.25">
      <c r="A19" s="1747" t="s">
        <v>1161</v>
      </c>
      <c r="B19" s="1744">
        <f>SUM(B4:B18)</f>
        <v>16417469</v>
      </c>
      <c r="C19" s="1744">
        <f>SUM(C4:C18)</f>
        <v>0</v>
      </c>
      <c r="D19" s="1744">
        <f>SUM(D4:D18)</f>
        <v>16417469</v>
      </c>
      <c r="E19" s="1744">
        <f>SUM(E4:E18)</f>
        <v>16790082</v>
      </c>
      <c r="F19" s="1744">
        <f>SUM(F4:F18)</f>
        <v>16790082</v>
      </c>
    </row>
    <row r="20" spans="1:6" ht="13.5" thickTop="1" x14ac:dyDescent="0.2">
      <c r="B20" s="711"/>
      <c r="F20" s="714"/>
    </row>
    <row r="21" spans="1:6" x14ac:dyDescent="0.2">
      <c r="A21" s="715" t="s">
        <v>1803</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6" colorId="8" zoomScaleNormal="100" workbookViewId="0">
      <selection activeCell="T43" sqref="T4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629</v>
      </c>
      <c r="B1" s="2218"/>
      <c r="C1" s="719"/>
    </row>
    <row r="2" spans="1:7" ht="33.75" x14ac:dyDescent="0.2">
      <c r="A2" s="2225" t="s">
        <v>1797</v>
      </c>
      <c r="B2" s="2226"/>
      <c r="C2" s="1876" t="s">
        <v>1949</v>
      </c>
      <c r="D2" s="721" t="s">
        <v>1950</v>
      </c>
      <c r="E2" s="721" t="s">
        <v>1951</v>
      </c>
      <c r="F2" s="1876" t="s">
        <v>1952</v>
      </c>
    </row>
    <row r="3" spans="1:7" ht="15.75" customHeight="1" x14ac:dyDescent="0.2">
      <c r="A3" s="2227" t="s">
        <v>1114</v>
      </c>
      <c r="B3" s="2228"/>
      <c r="C3" s="2221"/>
      <c r="D3" s="2222"/>
      <c r="E3" s="2222"/>
      <c r="F3" s="2223"/>
    </row>
    <row r="4" spans="1:7" ht="12.75" customHeight="1" thickBot="1" x14ac:dyDescent="0.25">
      <c r="A4" s="2215" t="s">
        <v>630</v>
      </c>
      <c r="B4" s="2216"/>
      <c r="C4" s="580"/>
      <c r="D4" s="580"/>
      <c r="E4" s="580"/>
      <c r="F4" s="1748">
        <f>SUM(C4+D4)-E4</f>
        <v>0</v>
      </c>
    </row>
    <row r="5" spans="1:7" ht="15.75" customHeight="1" thickTop="1" x14ac:dyDescent="0.2">
      <c r="A5" s="2219" t="s">
        <v>1110</v>
      </c>
      <c r="B5" s="2214"/>
      <c r="C5" s="2208"/>
      <c r="D5" s="2209"/>
      <c r="E5" s="2209"/>
      <c r="F5" s="2210"/>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11" t="s">
        <v>631</v>
      </c>
      <c r="B15" s="2212"/>
      <c r="C15" s="1748">
        <f>SUM(C6:C14)</f>
        <v>0</v>
      </c>
      <c r="D15" s="1748">
        <f>SUM(D6:D14)</f>
        <v>0</v>
      </c>
      <c r="E15" s="1748">
        <f>SUM(E6:E14)</f>
        <v>0</v>
      </c>
      <c r="F15" s="1748">
        <f>SUM(F6:F14)</f>
        <v>0</v>
      </c>
      <c r="G15" s="552"/>
    </row>
    <row r="16" spans="1:7" s="202" customFormat="1" ht="15.75" customHeight="1" thickTop="1" x14ac:dyDescent="0.2">
      <c r="A16" s="2224" t="s">
        <v>1111</v>
      </c>
      <c r="B16" s="2214"/>
      <c r="C16" s="2208"/>
      <c r="D16" s="2209"/>
      <c r="E16" s="2209"/>
      <c r="F16" s="2210"/>
    </row>
    <row r="17" spans="1:11" ht="12.75" customHeight="1" thickBot="1" x14ac:dyDescent="0.25">
      <c r="A17" s="2206" t="s">
        <v>64</v>
      </c>
      <c r="B17" s="2207"/>
      <c r="C17" s="724"/>
      <c r="D17" s="584"/>
      <c r="E17" s="724"/>
      <c r="F17" s="1748">
        <f>SUM(C17+D17)-E17</f>
        <v>0</v>
      </c>
    </row>
    <row r="18" spans="1:11" ht="12.75" customHeight="1" thickTop="1" thickBot="1" x14ac:dyDescent="0.25">
      <c r="A18" s="2206" t="s">
        <v>6</v>
      </c>
      <c r="B18" s="2207"/>
      <c r="C18" s="724"/>
      <c r="D18" s="584"/>
      <c r="E18" s="724"/>
      <c r="F18" s="1748">
        <f>SUM(C18+D18)-E18</f>
        <v>0</v>
      </c>
    </row>
    <row r="19" spans="1:11" ht="12.75" customHeight="1" thickTop="1" thickBot="1" x14ac:dyDescent="0.25">
      <c r="A19" s="2206" t="s">
        <v>388</v>
      </c>
      <c r="B19" s="2207"/>
      <c r="C19" s="724"/>
      <c r="D19" s="584"/>
      <c r="E19" s="724"/>
      <c r="F19" s="1748">
        <f>SUM(C19+D19)-E19</f>
        <v>0</v>
      </c>
    </row>
    <row r="20" spans="1:11" ht="12.75" customHeight="1" thickTop="1" thickBot="1" x14ac:dyDescent="0.25">
      <c r="A20" s="2206" t="s">
        <v>448</v>
      </c>
      <c r="B20" s="2207"/>
      <c r="C20" s="724"/>
      <c r="D20" s="584"/>
      <c r="E20" s="724"/>
      <c r="F20" s="1748">
        <f>SUM(C20+D20)-E20</f>
        <v>0</v>
      </c>
    </row>
    <row r="21" spans="1:11" ht="14.25" thickTop="1" thickBot="1" x14ac:dyDescent="0.25">
      <c r="A21" s="2211" t="s">
        <v>632</v>
      </c>
      <c r="B21" s="2212"/>
      <c r="C21" s="1748">
        <f>SUM(C17:C20)</f>
        <v>0</v>
      </c>
      <c r="D21" s="1748">
        <f>SUM(D17:D20)</f>
        <v>0</v>
      </c>
      <c r="E21" s="1748">
        <f>SUM(E17:E20)</f>
        <v>0</v>
      </c>
      <c r="F21" s="1748">
        <f>SUM(F17:F20)</f>
        <v>0</v>
      </c>
      <c r="G21" s="552"/>
    </row>
    <row r="22" spans="1:11" ht="15.75" customHeight="1" thickTop="1" x14ac:dyDescent="0.2">
      <c r="A22" s="2213" t="s">
        <v>1112</v>
      </c>
      <c r="B22" s="2214"/>
      <c r="C22" s="2208"/>
      <c r="D22" s="2209"/>
      <c r="E22" s="2209"/>
      <c r="F22" s="2210"/>
    </row>
    <row r="23" spans="1:11" ht="13.5" thickBot="1" x14ac:dyDescent="0.25">
      <c r="A23" s="2215" t="s">
        <v>633</v>
      </c>
      <c r="B23" s="2216"/>
      <c r="C23" s="580"/>
      <c r="D23" s="580"/>
      <c r="E23" s="580"/>
      <c r="F23" s="1748">
        <f>SUM(C23+D23)-E23</f>
        <v>0</v>
      </c>
      <c r="G23" s="552"/>
    </row>
    <row r="24" spans="1:11" ht="15.75" customHeight="1" thickTop="1" x14ac:dyDescent="0.2">
      <c r="A24" s="2213" t="s">
        <v>1113</v>
      </c>
      <c r="B24" s="2214"/>
      <c r="C24" s="2208"/>
      <c r="D24" s="2209"/>
      <c r="E24" s="2209"/>
      <c r="F24" s="2210"/>
    </row>
    <row r="25" spans="1:11" ht="13.5" thickBot="1" x14ac:dyDescent="0.25">
      <c r="A25" s="2215" t="s">
        <v>634</v>
      </c>
      <c r="B25" s="2216"/>
      <c r="C25" s="580"/>
      <c r="D25" s="580"/>
      <c r="E25" s="580"/>
      <c r="F25" s="1748">
        <f>SUM(C25+D25)-E25</f>
        <v>0</v>
      </c>
      <c r="G25" s="552"/>
    </row>
    <row r="26" spans="1:11" ht="15.75" customHeight="1" thickTop="1" x14ac:dyDescent="0.2">
      <c r="A26" s="2219" t="s">
        <v>657</v>
      </c>
      <c r="B26" s="2214"/>
      <c r="C26" s="725"/>
      <c r="D26" s="725"/>
      <c r="E26" s="725"/>
      <c r="F26" s="726"/>
    </row>
    <row r="27" spans="1:11" ht="13.5" thickBot="1" x14ac:dyDescent="0.25">
      <c r="A27" s="2211" t="s">
        <v>1070</v>
      </c>
      <c r="B27" s="2212"/>
      <c r="C27" s="584"/>
      <c r="D27" s="584"/>
      <c r="E27" s="584"/>
      <c r="F27" s="1748">
        <f>SUM(C27+D27)-E27</f>
        <v>0</v>
      </c>
      <c r="G27" s="552"/>
    </row>
    <row r="28" spans="1:11" ht="7.5" customHeight="1" thickTop="1" x14ac:dyDescent="0.2">
      <c r="A28" s="592"/>
    </row>
    <row r="29" spans="1:11" ht="23.25" customHeight="1" x14ac:dyDescent="0.2">
      <c r="A29" s="2217" t="s">
        <v>582</v>
      </c>
      <c r="B29" s="2218"/>
      <c r="C29" s="727"/>
      <c r="D29" s="727"/>
      <c r="E29" s="727"/>
      <c r="F29" s="727"/>
      <c r="G29" s="727"/>
      <c r="H29" s="727"/>
      <c r="I29" s="727"/>
      <c r="J29" s="727"/>
    </row>
    <row r="30" spans="1:11" ht="33.75" x14ac:dyDescent="0.2">
      <c r="A30" s="1526" t="s">
        <v>1071</v>
      </c>
      <c r="B30" s="728" t="s">
        <v>1124</v>
      </c>
      <c r="C30" s="1877" t="s">
        <v>583</v>
      </c>
      <c r="D30" s="1877" t="s">
        <v>1673</v>
      </c>
      <c r="E30" s="1877" t="s">
        <v>1953</v>
      </c>
      <c r="F30" s="1877" t="s">
        <v>1954</v>
      </c>
      <c r="G30" s="1877" t="s">
        <v>1905</v>
      </c>
      <c r="H30" s="1877" t="s">
        <v>1955</v>
      </c>
      <c r="I30" s="1877" t="s">
        <v>1956</v>
      </c>
      <c r="J30" s="1878" t="s">
        <v>2</v>
      </c>
      <c r="K30" s="729"/>
    </row>
    <row r="31" spans="1:11" ht="12" customHeight="1" x14ac:dyDescent="0.2">
      <c r="A31" s="730" t="s">
        <v>2081</v>
      </c>
      <c r="B31" s="731">
        <v>41122</v>
      </c>
      <c r="C31" s="732">
        <v>10000000</v>
      </c>
      <c r="D31" s="733">
        <v>6</v>
      </c>
      <c r="E31" s="732">
        <v>8320000</v>
      </c>
      <c r="F31" s="732"/>
      <c r="G31" s="732"/>
      <c r="H31" s="732">
        <v>465000</v>
      </c>
      <c r="I31" s="1749">
        <f>((E31+F31)-H31)+G31</f>
        <v>7855000</v>
      </c>
      <c r="J31" s="732">
        <v>7832136</v>
      </c>
      <c r="K31" s="734"/>
    </row>
    <row r="32" spans="1:11" ht="12" customHeight="1" x14ac:dyDescent="0.2">
      <c r="A32" s="730" t="s">
        <v>2082</v>
      </c>
      <c r="B32" s="731">
        <v>41275</v>
      </c>
      <c r="C32" s="732">
        <v>6700000</v>
      </c>
      <c r="D32" s="733">
        <v>6</v>
      </c>
      <c r="E32" s="732">
        <v>5550000</v>
      </c>
      <c r="F32" s="732"/>
      <c r="G32" s="732"/>
      <c r="H32" s="732">
        <v>320000</v>
      </c>
      <c r="I32" s="1749">
        <f>((E32+F32)-H32)+G32</f>
        <v>5230000</v>
      </c>
      <c r="J32" s="732">
        <v>5230000</v>
      </c>
      <c r="K32" s="734"/>
    </row>
    <row r="33" spans="1:11" ht="12" customHeight="1" x14ac:dyDescent="0.2">
      <c r="A33" s="730" t="s">
        <v>2083</v>
      </c>
      <c r="B33" s="731">
        <v>42411</v>
      </c>
      <c r="C33" s="732">
        <v>2925000</v>
      </c>
      <c r="D33" s="733">
        <v>1</v>
      </c>
      <c r="E33" s="732">
        <v>1787000</v>
      </c>
      <c r="F33" s="732"/>
      <c r="G33" s="732"/>
      <c r="H33" s="732">
        <v>873000</v>
      </c>
      <c r="I33" s="1749">
        <f t="shared" ref="I33:I48" si="1">((E33+F33)-H33)+G33</f>
        <v>914000</v>
      </c>
      <c r="J33" s="732">
        <v>914000</v>
      </c>
      <c r="K33" s="734"/>
    </row>
    <row r="34" spans="1:11" ht="12" customHeight="1" x14ac:dyDescent="0.2">
      <c r="A34" s="730" t="s">
        <v>2084</v>
      </c>
      <c r="B34" s="731">
        <v>42880</v>
      </c>
      <c r="C34" s="732">
        <v>640698</v>
      </c>
      <c r="D34" s="733">
        <v>7</v>
      </c>
      <c r="E34" s="732">
        <v>320330</v>
      </c>
      <c r="F34" s="732"/>
      <c r="G34" s="732"/>
      <c r="H34" s="732">
        <v>159289</v>
      </c>
      <c r="I34" s="1749">
        <f t="shared" si="1"/>
        <v>161041</v>
      </c>
      <c r="J34" s="732">
        <v>161041</v>
      </c>
      <c r="K34" s="735"/>
    </row>
    <row r="35" spans="1:11" ht="12" customHeight="1" x14ac:dyDescent="0.2">
      <c r="A35" s="730" t="s">
        <v>2085</v>
      </c>
      <c r="B35" s="731">
        <v>42919</v>
      </c>
      <c r="C35" s="736">
        <v>54351</v>
      </c>
      <c r="D35" s="733">
        <v>7</v>
      </c>
      <c r="E35" s="736">
        <v>45244</v>
      </c>
      <c r="F35" s="736"/>
      <c r="G35" s="736"/>
      <c r="H35" s="736">
        <v>10355</v>
      </c>
      <c r="I35" s="1749">
        <f t="shared" si="1"/>
        <v>34889</v>
      </c>
      <c r="J35" s="736">
        <v>34889</v>
      </c>
      <c r="K35" s="735"/>
    </row>
    <row r="36" spans="1:11" ht="12" customHeight="1" x14ac:dyDescent="0.2">
      <c r="A36" s="730" t="s">
        <v>2086</v>
      </c>
      <c r="B36" s="731">
        <v>43235</v>
      </c>
      <c r="C36" s="732">
        <v>24288</v>
      </c>
      <c r="D36" s="733">
        <v>7</v>
      </c>
      <c r="E36" s="732">
        <v>14700</v>
      </c>
      <c r="F36" s="732"/>
      <c r="G36" s="732"/>
      <c r="H36" s="732">
        <v>7058</v>
      </c>
      <c r="I36" s="1749">
        <f t="shared" si="1"/>
        <v>7642</v>
      </c>
      <c r="J36" s="732">
        <v>7642</v>
      </c>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20344337</v>
      </c>
      <c r="D49" s="743"/>
      <c r="E49" s="1749">
        <f t="shared" ref="E49:J49" si="2">SUM(E31:E48)</f>
        <v>16037274</v>
      </c>
      <c r="F49" s="1749">
        <f t="shared" si="2"/>
        <v>0</v>
      </c>
      <c r="G49" s="1749">
        <f t="shared" si="2"/>
        <v>0</v>
      </c>
      <c r="H49" s="1749">
        <f t="shared" si="2"/>
        <v>1834702</v>
      </c>
      <c r="I49" s="1749">
        <f t="shared" si="2"/>
        <v>14202572</v>
      </c>
      <c r="J49" s="1749">
        <f t="shared" si="2"/>
        <v>14179708</v>
      </c>
      <c r="K49" s="735"/>
    </row>
    <row r="50" spans="1:11" ht="6" customHeight="1" x14ac:dyDescent="0.2">
      <c r="A50" s="744"/>
      <c r="B50" s="734"/>
      <c r="C50" s="734"/>
      <c r="D50" s="734"/>
      <c r="E50" s="734"/>
      <c r="F50" s="734"/>
      <c r="G50" s="734"/>
      <c r="H50" s="734"/>
      <c r="I50" s="734"/>
      <c r="J50" s="744"/>
    </row>
    <row r="51" spans="1:11" x14ac:dyDescent="0.2">
      <c r="A51" s="745" t="s">
        <v>1802</v>
      </c>
      <c r="B51" s="744"/>
      <c r="C51" s="735"/>
      <c r="D51" s="735"/>
      <c r="E51" s="735"/>
      <c r="F51" s="735"/>
      <c r="G51" s="735"/>
      <c r="H51" s="734"/>
      <c r="I51" s="734"/>
      <c r="J51" s="744"/>
    </row>
    <row r="52" spans="1:11" ht="11.25" customHeight="1" x14ac:dyDescent="0.2">
      <c r="A52" s="746" t="s">
        <v>912</v>
      </c>
      <c r="B52" s="2200" t="s">
        <v>584</v>
      </c>
      <c r="C52" s="2201"/>
      <c r="D52" s="2201"/>
      <c r="E52" s="747" t="s">
        <v>845</v>
      </c>
      <c r="F52" s="2202" t="s">
        <v>2087</v>
      </c>
      <c r="G52" s="2203"/>
      <c r="H52" s="734"/>
      <c r="I52" s="734"/>
      <c r="J52" s="744"/>
    </row>
    <row r="53" spans="1:11" ht="11.25" customHeight="1" x14ac:dyDescent="0.2">
      <c r="A53" s="748" t="s">
        <v>913</v>
      </c>
      <c r="B53" s="749" t="s">
        <v>951</v>
      </c>
      <c r="C53" s="744"/>
      <c r="D53" s="735"/>
      <c r="E53" s="747" t="s">
        <v>497</v>
      </c>
      <c r="F53" s="2204"/>
      <c r="G53" s="2205"/>
      <c r="H53" s="734"/>
      <c r="I53" s="734"/>
      <c r="J53" s="744"/>
    </row>
    <row r="54" spans="1:11" ht="11.25" customHeight="1" x14ac:dyDescent="0.2">
      <c r="A54" s="750" t="s">
        <v>914</v>
      </c>
      <c r="B54" s="745" t="s">
        <v>952</v>
      </c>
      <c r="C54" s="744"/>
      <c r="D54" s="735"/>
      <c r="E54" s="747" t="s">
        <v>498</v>
      </c>
      <c r="F54" s="2204"/>
      <c r="G54" s="2205"/>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856</v>
      </c>
      <c r="B1" s="2230"/>
      <c r="C1" s="2230"/>
      <c r="D1" s="2230"/>
      <c r="E1" s="2230"/>
      <c r="F1" s="2230"/>
      <c r="G1" s="2231"/>
      <c r="H1" s="1527"/>
      <c r="I1" s="758"/>
      <c r="J1" s="433"/>
    </row>
    <row r="2" spans="1:11" ht="26.25" x14ac:dyDescent="0.2">
      <c r="A2" s="2248" t="s">
        <v>1677</v>
      </c>
      <c r="B2" s="2249"/>
      <c r="C2" s="2249"/>
      <c r="D2" s="2249"/>
      <c r="E2" s="2250"/>
      <c r="F2" s="759" t="s">
        <v>904</v>
      </c>
      <c r="G2" s="760" t="s">
        <v>1674</v>
      </c>
      <c r="H2" s="760" t="s">
        <v>410</v>
      </c>
      <c r="I2" s="760" t="s">
        <v>1158</v>
      </c>
      <c r="J2" s="760" t="s">
        <v>1807</v>
      </c>
      <c r="K2" s="760" t="s">
        <v>138</v>
      </c>
    </row>
    <row r="3" spans="1:11" x14ac:dyDescent="0.2">
      <c r="A3" s="2251" t="s">
        <v>1957</v>
      </c>
      <c r="B3" s="2252"/>
      <c r="C3" s="2252"/>
      <c r="D3" s="2252"/>
      <c r="E3" s="2253"/>
      <c r="F3" s="761"/>
      <c r="G3" s="762"/>
      <c r="H3" s="762">
        <v>0</v>
      </c>
      <c r="I3" s="762"/>
      <c r="J3" s="763">
        <v>908</v>
      </c>
      <c r="K3" s="763">
        <v>0</v>
      </c>
    </row>
    <row r="4" spans="1:11" x14ac:dyDescent="0.2">
      <c r="A4" s="2254" t="s">
        <v>369</v>
      </c>
      <c r="B4" s="2255"/>
      <c r="C4" s="2255"/>
      <c r="D4" s="2255"/>
      <c r="E4" s="2201"/>
      <c r="F4" s="764"/>
      <c r="G4" s="765"/>
      <c r="H4" s="766"/>
      <c r="I4" s="765"/>
      <c r="J4" s="767"/>
      <c r="K4" s="767"/>
    </row>
    <row r="5" spans="1:11" x14ac:dyDescent="0.2">
      <c r="A5" s="2232" t="s">
        <v>1069</v>
      </c>
      <c r="B5" s="2233"/>
      <c r="C5" s="2233"/>
      <c r="D5" s="2233"/>
      <c r="E5" s="2234"/>
      <c r="F5" s="768" t="s">
        <v>848</v>
      </c>
      <c r="G5" s="769"/>
      <c r="H5" s="762">
        <v>182037</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12715</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26290</v>
      </c>
    </row>
    <row r="10" spans="1:11" x14ac:dyDescent="0.2">
      <c r="A10" s="2232" t="s">
        <v>1808</v>
      </c>
      <c r="B10" s="2233"/>
      <c r="C10" s="2233"/>
      <c r="D10" s="2233"/>
      <c r="E10" s="2235"/>
      <c r="F10" s="781" t="s">
        <v>862</v>
      </c>
      <c r="G10" s="780"/>
      <c r="H10" s="782"/>
      <c r="I10" s="762"/>
      <c r="J10" s="763"/>
      <c r="K10" s="763"/>
    </row>
    <row r="11" spans="1:11" x14ac:dyDescent="0.2">
      <c r="A11" s="2232" t="s">
        <v>160</v>
      </c>
      <c r="B11" s="2233"/>
      <c r="C11" s="2233"/>
      <c r="D11" s="2233"/>
      <c r="E11" s="2234"/>
      <c r="F11" s="768" t="s">
        <v>852</v>
      </c>
      <c r="G11" s="769"/>
      <c r="H11" s="762"/>
      <c r="I11" s="762"/>
      <c r="J11" s="763"/>
      <c r="K11" s="771"/>
    </row>
    <row r="12" spans="1:11" ht="13.5" thickBot="1" x14ac:dyDescent="0.25">
      <c r="A12" s="2259" t="s">
        <v>905</v>
      </c>
      <c r="B12" s="2260"/>
      <c r="C12" s="2260"/>
      <c r="D12" s="2260"/>
      <c r="E12" s="2261"/>
      <c r="F12" s="1750"/>
      <c r="G12" s="1751">
        <f>SUM(G5:G11)</f>
        <v>0</v>
      </c>
      <c r="H12" s="1751">
        <f>SUM(H5:H11)</f>
        <v>182037</v>
      </c>
      <c r="I12" s="1751">
        <f>SUM(I5:I11)</f>
        <v>0</v>
      </c>
      <c r="J12" s="1751">
        <f>SUM(J5:J11)</f>
        <v>0</v>
      </c>
      <c r="K12" s="1751">
        <f>SUM(K5:K11)</f>
        <v>39005</v>
      </c>
    </row>
    <row r="13" spans="1:11" ht="13.5" thickTop="1" x14ac:dyDescent="0.2">
      <c r="A13" s="2256" t="s">
        <v>370</v>
      </c>
      <c r="B13" s="2257"/>
      <c r="C13" s="2257"/>
      <c r="D13" s="2257"/>
      <c r="E13" s="2258"/>
      <c r="F13" s="783"/>
      <c r="G13" s="784"/>
      <c r="H13" s="785"/>
      <c r="I13" s="786"/>
      <c r="J13" s="786"/>
      <c r="K13" s="786"/>
    </row>
    <row r="14" spans="1:11" x14ac:dyDescent="0.2">
      <c r="A14" s="2239" t="s">
        <v>456</v>
      </c>
      <c r="B14" s="2239"/>
      <c r="C14" s="2239"/>
      <c r="D14" s="2239"/>
      <c r="E14" s="2240"/>
      <c r="F14" s="787" t="s">
        <v>854</v>
      </c>
      <c r="G14" s="780"/>
      <c r="H14" s="762">
        <v>182037</v>
      </c>
      <c r="I14" s="769"/>
      <c r="J14" s="771"/>
      <c r="K14" s="763">
        <v>39005</v>
      </c>
    </row>
    <row r="15" spans="1:11" x14ac:dyDescent="0.2">
      <c r="A15" s="2233" t="s">
        <v>4</v>
      </c>
      <c r="B15" s="2233"/>
      <c r="C15" s="2233"/>
      <c r="D15" s="2233"/>
      <c r="E15" s="2234"/>
      <c r="F15" s="787" t="s">
        <v>855</v>
      </c>
      <c r="G15" s="769"/>
      <c r="H15" s="762"/>
      <c r="I15" s="762"/>
      <c r="J15" s="763"/>
      <c r="K15" s="763"/>
    </row>
    <row r="16" spans="1:11" x14ac:dyDescent="0.2">
      <c r="A16" s="2233" t="s">
        <v>298</v>
      </c>
      <c r="B16" s="2233"/>
      <c r="C16" s="2233"/>
      <c r="D16" s="2233"/>
      <c r="E16" s="2234"/>
      <c r="F16" s="787" t="s">
        <v>923</v>
      </c>
      <c r="G16" s="770"/>
      <c r="H16" s="765"/>
      <c r="I16" s="765"/>
      <c r="J16" s="767"/>
      <c r="K16" s="767"/>
    </row>
    <row r="17" spans="1:11" x14ac:dyDescent="0.2">
      <c r="A17" s="2264" t="s">
        <v>935</v>
      </c>
      <c r="B17" s="2264"/>
      <c r="C17" s="2264"/>
      <c r="D17" s="2264"/>
      <c r="E17" s="2265"/>
      <c r="F17" s="788"/>
      <c r="G17" s="789"/>
      <c r="H17" s="790"/>
      <c r="I17" s="790"/>
      <c r="J17" s="791"/>
      <c r="K17" s="792"/>
    </row>
    <row r="18" spans="1:11" x14ac:dyDescent="0.2">
      <c r="A18" s="2243" t="s">
        <v>368</v>
      </c>
      <c r="B18" s="2244"/>
      <c r="C18" s="2244"/>
      <c r="D18" s="2244"/>
      <c r="E18" s="2245"/>
      <c r="F18" s="787" t="s">
        <v>932</v>
      </c>
      <c r="G18" s="780"/>
      <c r="H18" s="780"/>
      <c r="I18" s="780"/>
      <c r="J18" s="763"/>
      <c r="K18" s="793"/>
    </row>
    <row r="19" spans="1:11" ht="21.75" customHeight="1" x14ac:dyDescent="0.2">
      <c r="A19" s="2241" t="s">
        <v>1804</v>
      </c>
      <c r="B19" s="2241"/>
      <c r="C19" s="2241"/>
      <c r="D19" s="2241"/>
      <c r="E19" s="2242"/>
      <c r="F19" s="787" t="s">
        <v>933</v>
      </c>
      <c r="G19" s="780"/>
      <c r="H19" s="780"/>
      <c r="I19" s="780"/>
      <c r="J19" s="763"/>
      <c r="K19" s="793"/>
    </row>
    <row r="20" spans="1:11" x14ac:dyDescent="0.2">
      <c r="A20" s="2243" t="s">
        <v>1809</v>
      </c>
      <c r="B20" s="2244"/>
      <c r="C20" s="2244"/>
      <c r="D20" s="2244"/>
      <c r="E20" s="2245"/>
      <c r="F20" s="787" t="s">
        <v>934</v>
      </c>
      <c r="G20" s="780"/>
      <c r="H20" s="780"/>
      <c r="I20" s="780"/>
      <c r="J20" s="763"/>
      <c r="K20" s="793"/>
    </row>
    <row r="21" spans="1:11" ht="13.5" thickBot="1" x14ac:dyDescent="0.25">
      <c r="A21" s="2262" t="s">
        <v>638</v>
      </c>
      <c r="B21" s="2262"/>
      <c r="C21" s="2262"/>
      <c r="D21" s="2262"/>
      <c r="E21" s="2262"/>
      <c r="F21" s="1752"/>
      <c r="G21" s="790"/>
      <c r="H21" s="794"/>
      <c r="I21" s="794"/>
      <c r="J21" s="1753">
        <f>SUM(J18:J20)</f>
        <v>0</v>
      </c>
      <c r="K21" s="791"/>
    </row>
    <row r="22" spans="1:11" ht="13.5" thickTop="1" x14ac:dyDescent="0.2">
      <c r="A22" s="2233" t="s">
        <v>1810</v>
      </c>
      <c r="B22" s="2233"/>
      <c r="C22" s="2233"/>
      <c r="D22" s="2233"/>
      <c r="E22" s="2234"/>
      <c r="F22" s="787" t="s">
        <v>862</v>
      </c>
      <c r="G22" s="780"/>
      <c r="H22" s="762"/>
      <c r="I22" s="762"/>
      <c r="J22" s="795"/>
      <c r="K22" s="763"/>
    </row>
    <row r="23" spans="1:11" ht="13.5" thickBot="1" x14ac:dyDescent="0.25">
      <c r="A23" s="2263" t="s">
        <v>906</v>
      </c>
      <c r="B23" s="2262"/>
      <c r="C23" s="2262"/>
      <c r="D23" s="2262"/>
      <c r="E23" s="2262"/>
      <c r="F23" s="1754"/>
      <c r="G23" s="1751">
        <f>SUM(G14:G16,G21,G22)</f>
        <v>0</v>
      </c>
      <c r="H23" s="1751">
        <f>SUM(H14:H16,H21,H22)</f>
        <v>182037</v>
      </c>
      <c r="I23" s="1751">
        <f>SUM(I14:I16,I21,I22)</f>
        <v>0</v>
      </c>
      <c r="J23" s="1751">
        <f>SUM(J14:J16,J21,J22)</f>
        <v>0</v>
      </c>
      <c r="K23" s="1751">
        <f>SUM(K14:K16,K21,K22)</f>
        <v>39005</v>
      </c>
    </row>
    <row r="24" spans="1:11" ht="14.25" thickTop="1" thickBot="1" x14ac:dyDescent="0.25">
      <c r="A24" s="2263" t="s">
        <v>1958</v>
      </c>
      <c r="B24" s="2262"/>
      <c r="C24" s="2262"/>
      <c r="D24" s="2262"/>
      <c r="E24" s="2262"/>
      <c r="F24" s="1755"/>
      <c r="G24" s="1756">
        <f>SUM(G3,G12)-G23</f>
        <v>0</v>
      </c>
      <c r="H24" s="1756">
        <f>SUM(H3,H12)-H23</f>
        <v>0</v>
      </c>
      <c r="I24" s="1756">
        <f>SUM(I3,I12)-I23</f>
        <v>0</v>
      </c>
      <c r="J24" s="1756">
        <f>SUM(J3,J12)-J23</f>
        <v>908</v>
      </c>
      <c r="K24" s="1756">
        <f>SUM(K3,K12)-K23</f>
        <v>0</v>
      </c>
    </row>
    <row r="25" spans="1:11" ht="13.5" thickTop="1" x14ac:dyDescent="0.2">
      <c r="A25" s="796" t="s">
        <v>420</v>
      </c>
      <c r="B25" s="797"/>
      <c r="C25" s="797"/>
      <c r="D25" s="797"/>
      <c r="E25" s="798"/>
      <c r="F25" s="799">
        <v>714</v>
      </c>
      <c r="G25" s="800"/>
      <c r="H25" s="800"/>
      <c r="I25" s="800"/>
      <c r="J25" s="795">
        <v>908</v>
      </c>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1904</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36"/>
      <c r="I31" s="2237"/>
      <c r="J31" s="2237"/>
      <c r="K31" s="2237"/>
    </row>
    <row r="32" spans="1:11" x14ac:dyDescent="0.2">
      <c r="A32" s="807"/>
      <c r="B32" s="237"/>
      <c r="C32" s="237"/>
      <c r="D32" s="237"/>
      <c r="E32" s="803"/>
      <c r="F32" s="809" t="s">
        <v>540</v>
      </c>
      <c r="G32" s="762"/>
      <c r="H32" s="2238"/>
      <c r="I32" s="2237"/>
      <c r="J32" s="2237"/>
      <c r="K32" s="2237"/>
    </row>
    <row r="33" spans="1:11" ht="1.5" customHeight="1" x14ac:dyDescent="0.2">
      <c r="A33" s="810" t="s">
        <v>1169</v>
      </c>
      <c r="B33" s="364"/>
      <c r="C33" s="364"/>
      <c r="D33" s="364"/>
      <c r="E33" s="364"/>
      <c r="F33" s="364"/>
      <c r="G33" s="811"/>
      <c r="H33" s="2238"/>
      <c r="I33" s="2237"/>
      <c r="J33" s="2237"/>
      <c r="K33" s="2237"/>
    </row>
    <row r="34" spans="1:11" x14ac:dyDescent="0.2">
      <c r="A34" s="812" t="s">
        <v>1811</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33" t="s">
        <v>541</v>
      </c>
      <c r="B41" s="2246"/>
      <c r="C41" s="2246"/>
      <c r="D41" s="2246"/>
      <c r="E41" s="2246"/>
      <c r="F41" s="224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1805</v>
      </c>
      <c r="B46" s="408" t="s">
        <v>1675</v>
      </c>
    </row>
    <row r="47" spans="1:11" s="821" customFormat="1" ht="12.75" customHeight="1" x14ac:dyDescent="0.2">
      <c r="A47" s="819"/>
      <c r="B47" s="820" t="s">
        <v>1676</v>
      </c>
      <c r="E47" s="820"/>
      <c r="K47" s="822"/>
    </row>
    <row r="48" spans="1:11" ht="12.75" customHeight="1" x14ac:dyDescent="0.2">
      <c r="A48" s="1529" t="s">
        <v>1806</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T43" sqref="T4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1903</v>
      </c>
      <c r="B1" s="2269"/>
      <c r="C1" s="2270"/>
      <c r="D1" s="824"/>
      <c r="E1" s="825"/>
      <c r="F1" s="825"/>
      <c r="G1" s="826"/>
      <c r="H1" s="827"/>
      <c r="I1" s="828"/>
      <c r="J1" s="2266"/>
      <c r="K1" s="2267"/>
      <c r="L1" s="2267"/>
    </row>
    <row r="2" spans="1:14" ht="69.75" customHeight="1" x14ac:dyDescent="0.2">
      <c r="A2" s="829" t="s">
        <v>1678</v>
      </c>
      <c r="B2" s="830" t="s">
        <v>378</v>
      </c>
      <c r="C2" s="831" t="s">
        <v>1959</v>
      </c>
      <c r="D2" s="831" t="s">
        <v>1960</v>
      </c>
      <c r="E2" s="831" t="s">
        <v>1961</v>
      </c>
      <c r="F2" s="831" t="s">
        <v>1962</v>
      </c>
      <c r="G2" s="831" t="s">
        <v>605</v>
      </c>
      <c r="H2" s="831" t="s">
        <v>1963</v>
      </c>
      <c r="I2" s="831" t="s">
        <v>1964</v>
      </c>
      <c r="J2" s="831" t="s">
        <v>1965</v>
      </c>
      <c r="K2" s="831" t="s">
        <v>1966</v>
      </c>
      <c r="L2" s="831" t="s">
        <v>1967</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536629</v>
      </c>
      <c r="D5" s="839"/>
      <c r="E5" s="839"/>
      <c r="F5" s="1753">
        <f>(C5+D5)-E5</f>
        <v>536629</v>
      </c>
      <c r="G5" s="835"/>
      <c r="H5" s="840"/>
      <c r="I5" s="840"/>
      <c r="J5" s="840"/>
      <c r="K5" s="791"/>
      <c r="L5" s="1762">
        <f>F5-K5</f>
        <v>536629</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55510356</v>
      </c>
      <c r="D8" s="842">
        <v>39836</v>
      </c>
      <c r="E8" s="842"/>
      <c r="F8" s="1753">
        <f>(C8+D8)-E8</f>
        <v>55550192</v>
      </c>
      <c r="G8" s="841">
        <v>50</v>
      </c>
      <c r="H8" s="763">
        <v>18021095</v>
      </c>
      <c r="I8" s="763">
        <v>1005134</v>
      </c>
      <c r="J8" s="763"/>
      <c r="K8" s="1762">
        <f>(H8+I8)-J8</f>
        <v>19026229</v>
      </c>
      <c r="L8" s="1762">
        <f>F8-K8</f>
        <v>36523963</v>
      </c>
    </row>
    <row r="9" spans="1:14" ht="14.25" thickTop="1" thickBot="1" x14ac:dyDescent="0.25">
      <c r="A9" s="776" t="s">
        <v>1119</v>
      </c>
      <c r="B9" s="838">
        <v>232</v>
      </c>
      <c r="C9" s="763">
        <v>3635</v>
      </c>
      <c r="D9" s="763"/>
      <c r="E9" s="763"/>
      <c r="F9" s="1753">
        <f>(C9+D9)-E9</f>
        <v>3635</v>
      </c>
      <c r="G9" s="841">
        <v>20</v>
      </c>
      <c r="H9" s="763">
        <v>546</v>
      </c>
      <c r="I9" s="763">
        <v>182</v>
      </c>
      <c r="J9" s="763"/>
      <c r="K9" s="1762">
        <f>(H9+I9)-J9</f>
        <v>728</v>
      </c>
      <c r="L9" s="1762">
        <f>F9-K9</f>
        <v>2907</v>
      </c>
    </row>
    <row r="10" spans="1:14" ht="24" thickTop="1" thickBot="1" x14ac:dyDescent="0.25">
      <c r="A10" s="843" t="s">
        <v>1120</v>
      </c>
      <c r="B10" s="838">
        <v>240</v>
      </c>
      <c r="C10" s="844">
        <v>3243388</v>
      </c>
      <c r="D10" s="844">
        <v>58815</v>
      </c>
      <c r="E10" s="844"/>
      <c r="F10" s="1757">
        <f>(C10+D10)-E10</f>
        <v>3302203</v>
      </c>
      <c r="G10" s="841">
        <v>20</v>
      </c>
      <c r="H10" s="845">
        <v>1991461</v>
      </c>
      <c r="I10" s="845">
        <v>106159</v>
      </c>
      <c r="J10" s="845"/>
      <c r="K10" s="1762">
        <f>(H10+I10)-J10</f>
        <v>2097620</v>
      </c>
      <c r="L10" s="1762">
        <f>F10-K10</f>
        <v>1204583</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5325272</v>
      </c>
      <c r="D12" s="842">
        <v>404123</v>
      </c>
      <c r="E12" s="842">
        <v>429128</v>
      </c>
      <c r="F12" s="1753">
        <f>(C12+D12)-E12</f>
        <v>5300267</v>
      </c>
      <c r="G12" s="841">
        <v>10</v>
      </c>
      <c r="H12" s="763">
        <v>2752932</v>
      </c>
      <c r="I12" s="763">
        <v>529937</v>
      </c>
      <c r="J12" s="763">
        <v>429128</v>
      </c>
      <c r="K12" s="1762">
        <f>(H12+I12)-J12</f>
        <v>2853741</v>
      </c>
      <c r="L12" s="1762">
        <f>F12-K12</f>
        <v>2446526</v>
      </c>
    </row>
    <row r="13" spans="1:14" ht="14.25" thickTop="1" thickBot="1" x14ac:dyDescent="0.25">
      <c r="A13" s="846" t="s">
        <v>1122</v>
      </c>
      <c r="B13" s="838">
        <v>252</v>
      </c>
      <c r="C13" s="842">
        <v>1489300</v>
      </c>
      <c r="D13" s="842"/>
      <c r="E13" s="842"/>
      <c r="F13" s="1753">
        <f>(C13+D13)-E13</f>
        <v>1489300</v>
      </c>
      <c r="G13" s="841">
        <v>5</v>
      </c>
      <c r="H13" s="763">
        <v>808237</v>
      </c>
      <c r="I13" s="763">
        <v>211358</v>
      </c>
      <c r="J13" s="763"/>
      <c r="K13" s="1762">
        <f>(H13+I13)-J13</f>
        <v>1019595</v>
      </c>
      <c r="L13" s="1762">
        <f>F13-K13</f>
        <v>469705</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528</v>
      </c>
      <c r="B15" s="1627">
        <v>260</v>
      </c>
      <c r="C15" s="842"/>
      <c r="D15" s="842"/>
      <c r="E15" s="842"/>
      <c r="F15" s="1753">
        <f>(C15+D15)-E15</f>
        <v>0</v>
      </c>
      <c r="G15" s="847" t="s">
        <v>862</v>
      </c>
      <c r="H15" s="779"/>
      <c r="I15" s="779"/>
      <c r="J15" s="779"/>
      <c r="K15" s="779"/>
      <c r="L15" s="1762">
        <f>F15-K15</f>
        <v>0</v>
      </c>
    </row>
    <row r="16" spans="1:14" ht="15" customHeight="1" thickTop="1" thickBot="1" x14ac:dyDescent="0.25">
      <c r="A16" s="1758" t="s">
        <v>643</v>
      </c>
      <c r="B16" s="1759">
        <v>200</v>
      </c>
      <c r="C16" s="1753">
        <f>SUM(C3,C5:C6,C8:C10,C12:C15)</f>
        <v>66108580</v>
      </c>
      <c r="D16" s="1753">
        <f>SUM(D3,D5:D6,D8:D10,D12:D15)</f>
        <v>502774</v>
      </c>
      <c r="E16" s="1753">
        <f>SUM(E3,E5:E6,E8:E10,E12:E15)</f>
        <v>429128</v>
      </c>
      <c r="F16" s="1753">
        <f>SUM(F3,F5:F6,F8:F10,F12:F15)</f>
        <v>66182226</v>
      </c>
      <c r="G16" s="841"/>
      <c r="H16" s="1753">
        <f>SUM(H3,H6,H8:H10,H12:H14,)</f>
        <v>23574271</v>
      </c>
      <c r="I16" s="1753">
        <f>SUM(I3,I6,I8:I10,I12:I14,)</f>
        <v>1852770</v>
      </c>
      <c r="J16" s="1753">
        <f>SUM(J3,J6,J8:J10,J12:J14,)</f>
        <v>429128</v>
      </c>
      <c r="K16" s="1753">
        <f>(H16+I16)-J16</f>
        <v>24997913</v>
      </c>
      <c r="L16" s="1753">
        <f>F16-K16</f>
        <v>41184313</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1852770</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3" activePane="bottomLeft" state="frozen"/>
      <selection activeCell="T43" sqref="T43"/>
      <selection pane="bottomLeft" activeCell="T43" sqref="T43"/>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4" t="s">
        <v>1968</v>
      </c>
      <c r="B1" s="2275"/>
      <c r="C1" s="2275"/>
      <c r="D1" s="2275"/>
      <c r="E1" s="2275"/>
      <c r="F1" s="2276"/>
      <c r="G1" s="853"/>
    </row>
    <row r="2" spans="1:7" ht="15" customHeight="1" thickBot="1" x14ac:dyDescent="0.25">
      <c r="A2" s="2277" t="s">
        <v>477</v>
      </c>
      <c r="B2" s="2278"/>
      <c r="C2" s="2278"/>
      <c r="D2" s="2278"/>
      <c r="E2" s="2278"/>
      <c r="F2" s="2279"/>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15647948</v>
      </c>
      <c r="G8" s="863"/>
    </row>
    <row r="9" spans="1:7" x14ac:dyDescent="0.2">
      <c r="A9" s="867" t="s">
        <v>460</v>
      </c>
      <c r="B9" s="868" t="s">
        <v>1871</v>
      </c>
      <c r="C9" s="869"/>
      <c r="D9" s="867" t="s">
        <v>501</v>
      </c>
      <c r="E9" s="866"/>
      <c r="F9" s="1901">
        <f>'Expenditures 15-22'!K151</f>
        <v>1712309</v>
      </c>
      <c r="G9" s="870"/>
    </row>
    <row r="10" spans="1:7" x14ac:dyDescent="0.2">
      <c r="A10" s="867" t="s">
        <v>499</v>
      </c>
      <c r="B10" s="868" t="s">
        <v>1872</v>
      </c>
      <c r="C10" s="869"/>
      <c r="D10" s="867" t="s">
        <v>501</v>
      </c>
      <c r="E10" s="866"/>
      <c r="F10" s="1901">
        <f>'Expenditures 15-22'!K174</f>
        <v>2325802</v>
      </c>
      <c r="G10" s="870"/>
    </row>
    <row r="11" spans="1:7" x14ac:dyDescent="0.2">
      <c r="A11" s="867" t="s">
        <v>461</v>
      </c>
      <c r="B11" s="868" t="s">
        <v>1873</v>
      </c>
      <c r="C11" s="869"/>
      <c r="D11" s="867" t="s">
        <v>501</v>
      </c>
      <c r="E11" s="866"/>
      <c r="F11" s="1901">
        <f>'Expenditures 15-22'!K210</f>
        <v>940957</v>
      </c>
      <c r="G11" s="870"/>
    </row>
    <row r="12" spans="1:7" x14ac:dyDescent="0.2">
      <c r="A12" s="867" t="s">
        <v>462</v>
      </c>
      <c r="B12" s="868" t="s">
        <v>1874</v>
      </c>
      <c r="C12" s="869"/>
      <c r="D12" s="867" t="s">
        <v>501</v>
      </c>
      <c r="E12" s="866"/>
      <c r="F12" s="1901">
        <f>'Expenditures 15-22'!K295</f>
        <v>581268</v>
      </c>
      <c r="G12" s="870"/>
    </row>
    <row r="13" spans="1:7" x14ac:dyDescent="0.2">
      <c r="A13" s="867" t="s">
        <v>106</v>
      </c>
      <c r="B13" s="868" t="s">
        <v>1875</v>
      </c>
      <c r="C13" s="869"/>
      <c r="D13" s="867" t="s">
        <v>501</v>
      </c>
      <c r="E13" s="866"/>
      <c r="F13" s="1901">
        <f>'Expenditures 15-22'!K342</f>
        <v>761754</v>
      </c>
      <c r="G13" s="871"/>
    </row>
    <row r="14" spans="1:7" ht="12" customHeight="1" thickBot="1" x14ac:dyDescent="0.25">
      <c r="A14" s="1763"/>
      <c r="B14" s="1764"/>
      <c r="C14" s="1765"/>
      <c r="D14" s="1766" t="s">
        <v>501</v>
      </c>
      <c r="E14" s="1767" t="s">
        <v>958</v>
      </c>
      <c r="F14" s="1768">
        <f>SUM(F8:F13)</f>
        <v>21970038</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1992</v>
      </c>
      <c r="C30" s="878">
        <f>'Revenues 9-14'!B150</f>
        <v>3499</v>
      </c>
      <c r="D30" s="879" t="str">
        <f>'Revenues 9-14'!A150</f>
        <v>Adult Ed - Other (Describe &amp; Itemize)</v>
      </c>
      <c r="E30" s="866"/>
      <c r="F30" s="1906">
        <f>('Revenues 9-14'!D150+'Revenues 9-14'!F150)</f>
        <v>0</v>
      </c>
      <c r="G30" s="863"/>
    </row>
    <row r="31" spans="1:7" x14ac:dyDescent="0.2">
      <c r="A31" s="867" t="s">
        <v>1097</v>
      </c>
      <c r="B31" s="868" t="s">
        <v>1993</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1994</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1995</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251490</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140082</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714446</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3099</v>
      </c>
      <c r="G52" s="863"/>
    </row>
    <row r="53" spans="1:7" x14ac:dyDescent="0.2">
      <c r="A53" s="867" t="s">
        <v>459</v>
      </c>
      <c r="B53" s="867" t="s">
        <v>1475</v>
      </c>
      <c r="C53" s="887">
        <f>'Expenditures 15-22'!B102</f>
        <v>4000</v>
      </c>
      <c r="D53" s="886" t="str">
        <f>'Expenditures 15-22'!A102</f>
        <v>Total Payments to Other Govt Units</v>
      </c>
      <c r="E53" s="866"/>
      <c r="F53" s="1905">
        <f>'Expenditures 15-22'!K102</f>
        <v>617744</v>
      </c>
      <c r="G53" s="863"/>
    </row>
    <row r="54" spans="1:7" x14ac:dyDescent="0.2">
      <c r="A54" s="867" t="s">
        <v>459</v>
      </c>
      <c r="B54" s="867" t="s">
        <v>1476</v>
      </c>
      <c r="C54" s="887" t="s">
        <v>982</v>
      </c>
      <c r="D54" s="883" t="s">
        <v>1095</v>
      </c>
      <c r="E54" s="866"/>
      <c r="F54" s="1905">
        <f>'Expenditures 15-22'!G114</f>
        <v>308611</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1876</v>
      </c>
      <c r="C57" s="887">
        <f>'Expenditures 15-22'!B139</f>
        <v>4000</v>
      </c>
      <c r="D57" s="885" t="str">
        <f>'Expenditures 15-22'!A139</f>
        <v>Total Payments to Other Govt Units</v>
      </c>
      <c r="E57" s="866"/>
      <c r="F57" s="1905">
        <f>'Expenditures 15-22'!K139</f>
        <v>0</v>
      </c>
      <c r="G57" s="863"/>
    </row>
    <row r="58" spans="1:7" x14ac:dyDescent="0.2">
      <c r="A58" s="867" t="s">
        <v>460</v>
      </c>
      <c r="B58" s="867" t="s">
        <v>1877</v>
      </c>
      <c r="C58" s="884" t="s">
        <v>982</v>
      </c>
      <c r="D58" s="883" t="s">
        <v>1095</v>
      </c>
      <c r="E58" s="866"/>
      <c r="F58" s="1907">
        <f>'Expenditures 15-22'!G151</f>
        <v>194164</v>
      </c>
      <c r="G58" s="863"/>
    </row>
    <row r="59" spans="1:7" x14ac:dyDescent="0.2">
      <c r="A59" s="891" t="s">
        <v>460</v>
      </c>
      <c r="B59" s="854" t="s">
        <v>1878</v>
      </c>
      <c r="C59" s="892" t="s">
        <v>982</v>
      </c>
      <c r="D59" s="854" t="s">
        <v>291</v>
      </c>
      <c r="F59" s="1908">
        <f>'Expenditures 15-22'!I151</f>
        <v>0</v>
      </c>
      <c r="G59" s="863"/>
    </row>
    <row r="60" spans="1:7" x14ac:dyDescent="0.2">
      <c r="A60" s="891" t="s">
        <v>499</v>
      </c>
      <c r="B60" s="854" t="s">
        <v>1879</v>
      </c>
      <c r="C60" s="892">
        <v>4000</v>
      </c>
      <c r="D60" s="854" t="s">
        <v>312</v>
      </c>
      <c r="F60" s="1906">
        <f>'Expenditures 15-22'!K160</f>
        <v>0</v>
      </c>
      <c r="G60" s="863"/>
    </row>
    <row r="61" spans="1:7" x14ac:dyDescent="0.2">
      <c r="A61" s="893" t="s">
        <v>499</v>
      </c>
      <c r="B61" s="893" t="s">
        <v>1880</v>
      </c>
      <c r="C61" s="894" t="str">
        <f>'Expenditures 15-22'!B170</f>
        <v>5300</v>
      </c>
      <c r="D61" s="895" t="s">
        <v>311</v>
      </c>
      <c r="E61" s="877"/>
      <c r="F61" s="1905">
        <f>'Expenditures 15-22'!K170</f>
        <v>1827644</v>
      </c>
      <c r="G61" s="863"/>
    </row>
    <row r="62" spans="1:7" x14ac:dyDescent="0.2">
      <c r="A62" s="867" t="s">
        <v>461</v>
      </c>
      <c r="B62" s="867" t="s">
        <v>1881</v>
      </c>
      <c r="C62" s="884">
        <f>'Expenditures 15-22'!B185</f>
        <v>3000</v>
      </c>
      <c r="D62" s="874" t="s">
        <v>449</v>
      </c>
      <c r="E62" s="866"/>
      <c r="F62" s="1905">
        <f>'Expenditures 15-22'!K185-SUM('Expenditures 15-22'!G185,'Expenditures 15-22'!I185)</f>
        <v>0</v>
      </c>
      <c r="G62" s="863"/>
    </row>
    <row r="63" spans="1:7" x14ac:dyDescent="0.2">
      <c r="A63" s="867" t="s">
        <v>461</v>
      </c>
      <c r="B63" s="867" t="s">
        <v>1882</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1883</v>
      </c>
      <c r="C64" s="894" t="str">
        <f>'Expenditures 15-22'!B206</f>
        <v>5300</v>
      </c>
      <c r="D64" s="890" t="s">
        <v>311</v>
      </c>
      <c r="E64" s="866"/>
      <c r="F64" s="1905">
        <f>'Expenditures 15-22'!K206</f>
        <v>7058</v>
      </c>
      <c r="G64" s="863"/>
    </row>
    <row r="65" spans="1:8" x14ac:dyDescent="0.2">
      <c r="A65" s="867" t="s">
        <v>461</v>
      </c>
      <c r="B65" s="867" t="s">
        <v>1884</v>
      </c>
      <c r="C65" s="884" t="s">
        <v>982</v>
      </c>
      <c r="D65" s="883" t="s">
        <v>1095</v>
      </c>
      <c r="E65" s="866"/>
      <c r="F65" s="1905">
        <f>'Expenditures 15-22'!G210</f>
        <v>0</v>
      </c>
      <c r="G65" s="863"/>
    </row>
    <row r="66" spans="1:8" x14ac:dyDescent="0.2">
      <c r="A66" s="867" t="s">
        <v>461</v>
      </c>
      <c r="B66" s="867" t="s">
        <v>1885</v>
      </c>
      <c r="C66" s="884" t="s">
        <v>982</v>
      </c>
      <c r="D66" s="883" t="s">
        <v>291</v>
      </c>
      <c r="E66" s="866"/>
      <c r="F66" s="1905">
        <f>'Expenditures 15-22'!I210</f>
        <v>0</v>
      </c>
      <c r="G66" s="863"/>
    </row>
    <row r="67" spans="1:8" x14ac:dyDescent="0.2">
      <c r="A67" s="867" t="s">
        <v>462</v>
      </c>
      <c r="B67" s="867" t="s">
        <v>1886</v>
      </c>
      <c r="C67" s="884" t="str">
        <f>'Expenditures 15-22'!B216</f>
        <v>1125</v>
      </c>
      <c r="D67" s="890" t="str">
        <f>'Expenditures 15-22'!A216</f>
        <v>Pre-K Programs</v>
      </c>
      <c r="E67" s="866"/>
      <c r="F67" s="1905">
        <f>'Expenditures 15-22'!K216</f>
        <v>11930</v>
      </c>
      <c r="G67" s="863"/>
    </row>
    <row r="68" spans="1:8" x14ac:dyDescent="0.2">
      <c r="A68" s="867" t="s">
        <v>462</v>
      </c>
      <c r="B68" s="867" t="s">
        <v>1479</v>
      </c>
      <c r="C68" s="884" t="str">
        <f>'Expenditures 15-22'!B218</f>
        <v>1225</v>
      </c>
      <c r="D68" s="890" t="str">
        <f>'Expenditures 15-22'!A218</f>
        <v>Special Education Programs - Pre-K</v>
      </c>
      <c r="E68" s="866"/>
      <c r="F68" s="1905">
        <f>'Expenditures 15-22'!K218</f>
        <v>3223</v>
      </c>
      <c r="G68" s="863"/>
    </row>
    <row r="69" spans="1:8" x14ac:dyDescent="0.2">
      <c r="A69" s="867" t="s">
        <v>462</v>
      </c>
      <c r="B69" s="867" t="s">
        <v>1887</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1888</v>
      </c>
      <c r="C70" s="884">
        <f>'Expenditures 15-22'!B221</f>
        <v>1300</v>
      </c>
      <c r="D70" s="885" t="str">
        <f>'Expenditures 15-22'!A221</f>
        <v>Adult/Continuing Education Programs</v>
      </c>
      <c r="E70" s="866"/>
      <c r="F70" s="1905">
        <f>'Expenditures 15-22'!K221</f>
        <v>0</v>
      </c>
      <c r="G70" s="863"/>
    </row>
    <row r="71" spans="1:8" x14ac:dyDescent="0.2">
      <c r="A71" s="867" t="s">
        <v>462</v>
      </c>
      <c r="B71" s="867" t="s">
        <v>1889</v>
      </c>
      <c r="C71" s="884">
        <f>'Expenditures 15-22'!B224</f>
        <v>1600</v>
      </c>
      <c r="D71" s="885" t="str">
        <f>'Expenditures 15-22'!A224</f>
        <v>Summer School Programs</v>
      </c>
      <c r="E71" s="866"/>
      <c r="F71" s="1905">
        <f>'Expenditures 15-22'!K224</f>
        <v>0</v>
      </c>
      <c r="G71" s="863"/>
    </row>
    <row r="72" spans="1:8" x14ac:dyDescent="0.2">
      <c r="A72" s="867" t="s">
        <v>462</v>
      </c>
      <c r="B72" s="867" t="s">
        <v>1890</v>
      </c>
      <c r="C72" s="884">
        <f>'Expenditures 15-22'!B280</f>
        <v>3000</v>
      </c>
      <c r="D72" s="874" t="s">
        <v>449</v>
      </c>
      <c r="E72" s="866"/>
      <c r="F72" s="1905">
        <f>'Expenditures 15-22'!K280</f>
        <v>0</v>
      </c>
      <c r="G72" s="863"/>
    </row>
    <row r="73" spans="1:8" x14ac:dyDescent="0.2">
      <c r="A73" s="867" t="s">
        <v>462</v>
      </c>
      <c r="B73" s="867" t="s">
        <v>1891</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1892</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1893</v>
      </c>
      <c r="E76" s="1767" t="s">
        <v>958</v>
      </c>
      <c r="F76" s="1771">
        <f>SUM(F18:F74)</f>
        <v>4079491</v>
      </c>
      <c r="G76" s="863"/>
    </row>
    <row r="77" spans="1:8" s="891" customFormat="1" ht="12" customHeight="1" thickTop="1" thickBot="1" x14ac:dyDescent="0.25">
      <c r="A77" s="1772"/>
      <c r="B77" s="1769"/>
      <c r="C77" s="1765"/>
      <c r="D77" s="1770" t="s">
        <v>1894</v>
      </c>
      <c r="E77" s="1767"/>
      <c r="F77" s="1773">
        <f>(F14-F76)</f>
        <v>17890547</v>
      </c>
      <c r="G77" s="867"/>
    </row>
    <row r="78" spans="1:8" s="891" customFormat="1" ht="12" customHeight="1" thickTop="1" x14ac:dyDescent="0.2">
      <c r="A78" s="1774"/>
      <c r="B78" s="1769"/>
      <c r="C78" s="1765"/>
      <c r="D78" s="1770" t="s">
        <v>2055</v>
      </c>
      <c r="E78" s="1767"/>
      <c r="F78" s="896">
        <v>1525.1</v>
      </c>
      <c r="G78" s="897"/>
      <c r="H78" s="867"/>
    </row>
    <row r="79" spans="1:8" s="891" customFormat="1" ht="12" customHeight="1" thickBot="1" x14ac:dyDescent="0.25">
      <c r="A79" s="1775"/>
      <c r="B79" s="1769"/>
      <c r="C79" s="1765"/>
      <c r="D79" s="1770" t="s">
        <v>1895</v>
      </c>
      <c r="E79" s="1767" t="s">
        <v>958</v>
      </c>
      <c r="F79" s="1776">
        <f>IF(F78&gt;0,F77/F78," Complete Line 78")</f>
        <v>11730.737000852403</v>
      </c>
      <c r="G79" s="867"/>
    </row>
    <row r="80" spans="1:8" s="891" customFormat="1" ht="8.25" customHeight="1" thickTop="1" x14ac:dyDescent="0.2">
      <c r="A80" s="898"/>
      <c r="B80" s="867"/>
      <c r="C80" s="869"/>
      <c r="D80" s="899"/>
      <c r="E80" s="866"/>
      <c r="F80" s="900"/>
      <c r="G80" s="867"/>
    </row>
    <row r="81" spans="1:7" s="891" customFormat="1" ht="12" thickBot="1" x14ac:dyDescent="0.25">
      <c r="A81" s="2271" t="s">
        <v>1105</v>
      </c>
      <c r="B81" s="2272"/>
      <c r="C81" s="2272"/>
      <c r="D81" s="2272"/>
      <c r="E81" s="2272"/>
      <c r="F81" s="2273"/>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345247</v>
      </c>
      <c r="G94" s="910"/>
    </row>
    <row r="95" spans="1:7" x14ac:dyDescent="0.2">
      <c r="A95" s="906" t="s">
        <v>140</v>
      </c>
      <c r="B95" s="906" t="s">
        <v>175</v>
      </c>
      <c r="C95" s="908">
        <v>1700</v>
      </c>
      <c r="D95" s="916" t="str">
        <f>'Revenues 9-14'!A82</f>
        <v>Total District/School Activity Income</v>
      </c>
      <c r="E95" s="904"/>
      <c r="F95" s="1782">
        <f>SUM('Revenues 9-14'!C82,'Revenues 9-14'!D82)</f>
        <v>85868</v>
      </c>
      <c r="G95" s="910"/>
    </row>
    <row r="96" spans="1:7" x14ac:dyDescent="0.2">
      <c r="A96" s="906" t="s">
        <v>459</v>
      </c>
      <c r="B96" s="906" t="s">
        <v>176</v>
      </c>
      <c r="C96" s="908">
        <f>'Revenues 9-14'!B84</f>
        <v>1811</v>
      </c>
      <c r="D96" s="909" t="str">
        <f>'Revenues 9-14'!A84</f>
        <v>Rentals - Regular Textbooks</v>
      </c>
      <c r="E96" s="904"/>
      <c r="F96" s="1782">
        <f>'Revenues 9-14'!C84</f>
        <v>64342</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17003</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75000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17634</v>
      </c>
      <c r="G104" s="910"/>
    </row>
    <row r="105" spans="1:7" x14ac:dyDescent="0.2">
      <c r="A105" s="906" t="s">
        <v>503</v>
      </c>
      <c r="B105" s="906" t="s">
        <v>1996</v>
      </c>
      <c r="C105" s="911">
        <v>3100</v>
      </c>
      <c r="D105" s="917" t="str">
        <f>'Revenues 9-14'!A132</f>
        <v>Total Special Education</v>
      </c>
      <c r="E105" s="904"/>
      <c r="F105" s="1782">
        <f>SUM('Revenues 9-14'!C132:D132,'Revenues 9-14'!F132)</f>
        <v>340487</v>
      </c>
      <c r="G105" s="910"/>
    </row>
    <row r="106" spans="1:7" x14ac:dyDescent="0.2">
      <c r="A106" s="906" t="s">
        <v>673</v>
      </c>
      <c r="B106" s="906" t="s">
        <v>1997</v>
      </c>
      <c r="C106" s="918">
        <v>3200</v>
      </c>
      <c r="D106" s="909" t="str">
        <f>'Revenues 9-14'!A141</f>
        <v>Total Career and Technical Education</v>
      </c>
      <c r="E106" s="904"/>
      <c r="F106" s="1782">
        <f>SUM('Revenues 9-14'!C141,'Revenues 9-14'!D141,'Revenues 9-14'!G141)</f>
        <v>8832</v>
      </c>
      <c r="G106" s="910"/>
    </row>
    <row r="107" spans="1:7" x14ac:dyDescent="0.2">
      <c r="A107" s="919" t="s">
        <v>664</v>
      </c>
      <c r="B107" s="906" t="s">
        <v>1998</v>
      </c>
      <c r="C107" s="918">
        <v>3300</v>
      </c>
      <c r="D107" s="909" t="str">
        <f>'Revenues 9-14'!A145</f>
        <v>Total Bilingual Ed</v>
      </c>
      <c r="E107" s="904"/>
      <c r="F107" s="1782">
        <f>SUM('Revenues 9-14'!C145,'Revenues 9-14'!G145)</f>
        <v>0</v>
      </c>
      <c r="G107" s="910"/>
    </row>
    <row r="108" spans="1:7" x14ac:dyDescent="0.2">
      <c r="A108" s="906" t="s">
        <v>459</v>
      </c>
      <c r="B108" s="906" t="s">
        <v>1999</v>
      </c>
      <c r="C108" s="918">
        <f>'Revenues 9-14'!B146</f>
        <v>3360</v>
      </c>
      <c r="D108" s="909" t="str">
        <f>'Revenues 9-14'!A146</f>
        <v>State Free Lunch &amp; Breakfast</v>
      </c>
      <c r="E108" s="904"/>
      <c r="F108" s="1782">
        <f>'Revenues 9-14'!C146</f>
        <v>8660</v>
      </c>
      <c r="G108" s="910"/>
    </row>
    <row r="109" spans="1:7" x14ac:dyDescent="0.2">
      <c r="A109" s="906" t="s">
        <v>673</v>
      </c>
      <c r="B109" s="906" t="s">
        <v>2000</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2001</v>
      </c>
      <c r="C110" s="918">
        <f>'Revenues 9-14'!B148</f>
        <v>3370</v>
      </c>
      <c r="D110" s="909" t="str">
        <f>'Revenues 9-14'!A148</f>
        <v>Driver Education</v>
      </c>
      <c r="E110" s="904"/>
      <c r="F110" s="1782">
        <f>SUM('Revenues 9-14'!C148,'Revenues 9-14'!D148)</f>
        <v>26290</v>
      </c>
      <c r="G110" s="910"/>
    </row>
    <row r="111" spans="1:7" x14ac:dyDescent="0.2">
      <c r="A111" s="906" t="s">
        <v>668</v>
      </c>
      <c r="B111" s="906" t="s">
        <v>2002</v>
      </c>
      <c r="C111" s="920">
        <v>3500</v>
      </c>
      <c r="D111" s="909" t="str">
        <f>'Revenues 9-14'!A155</f>
        <v>Total Transportation</v>
      </c>
      <c r="E111" s="904"/>
      <c r="F111" s="1782">
        <f>SUM('Revenues 9-14'!C155,'Revenues 9-14'!D155,'Revenues 9-14'!F155,'Revenues 9-14'!G155)</f>
        <v>426902</v>
      </c>
      <c r="G111" s="910"/>
    </row>
    <row r="112" spans="1:7" x14ac:dyDescent="0.2">
      <c r="A112" s="906" t="s">
        <v>459</v>
      </c>
      <c r="B112" s="906" t="s">
        <v>2003</v>
      </c>
      <c r="C112" s="918">
        <f>'Revenues 9-14'!B156</f>
        <v>3610</v>
      </c>
      <c r="D112" s="909" t="str">
        <f>'Revenues 9-14'!A156</f>
        <v>Learning Improvement - Change Grants</v>
      </c>
      <c r="E112" s="904"/>
      <c r="F112" s="1782">
        <f>'Revenues 9-14'!C156</f>
        <v>0</v>
      </c>
      <c r="G112" s="910"/>
    </row>
    <row r="113" spans="1:7" x14ac:dyDescent="0.2">
      <c r="A113" s="906" t="s">
        <v>668</v>
      </c>
      <c r="B113" s="906" t="s">
        <v>2004</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2005</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2006</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2007</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2008</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2009</v>
      </c>
      <c r="C118" s="922">
        <f>'Revenues 9-14'!B163</f>
        <v>3780</v>
      </c>
      <c r="D118" s="923" t="str">
        <f>'Revenues 9-14'!A163</f>
        <v>Technology - Technology for Success</v>
      </c>
      <c r="E118" s="904"/>
      <c r="F118" s="1899">
        <f>SUM('Revenues 9-14'!C163:G163)</f>
        <v>0</v>
      </c>
      <c r="G118" s="910"/>
    </row>
    <row r="119" spans="1:7" x14ac:dyDescent="0.2">
      <c r="A119" s="921" t="s">
        <v>504</v>
      </c>
      <c r="B119" s="921" t="s">
        <v>2010</v>
      </c>
      <c r="C119" s="922">
        <f>'Revenues 9-14'!B164</f>
        <v>3815</v>
      </c>
      <c r="D119" s="923" t="str">
        <f>'Revenues 9-14'!A164</f>
        <v>State Charter Schools</v>
      </c>
      <c r="E119" s="904"/>
      <c r="F119" s="1899">
        <f>SUM('Revenues 9-14'!C164,'Revenues 9-14'!F164)</f>
        <v>0</v>
      </c>
      <c r="G119" s="910"/>
    </row>
    <row r="120" spans="1:7" x14ac:dyDescent="0.2">
      <c r="A120" s="925" t="s">
        <v>460</v>
      </c>
      <c r="B120" s="925" t="s">
        <v>2011</v>
      </c>
      <c r="C120" s="926">
        <f>'Revenues 9-14'!B167</f>
        <v>3925</v>
      </c>
      <c r="D120" s="927" t="str">
        <f>'Revenues 9-14'!A167</f>
        <v>School Infrastructure - Maintenance Projects</v>
      </c>
      <c r="E120" s="904"/>
      <c r="F120" s="1782">
        <f>'Revenues 9-14'!D167</f>
        <v>0</v>
      </c>
      <c r="G120" s="928"/>
    </row>
    <row r="121" spans="1:7" x14ac:dyDescent="0.2">
      <c r="A121" s="925" t="s">
        <v>500</v>
      </c>
      <c r="B121" s="925" t="s">
        <v>2012</v>
      </c>
      <c r="C121" s="926">
        <f>'Revenues 9-14'!B168</f>
        <v>3999</v>
      </c>
      <c r="D121" s="927" t="s">
        <v>543</v>
      </c>
      <c r="E121" s="929"/>
      <c r="F121" s="1782">
        <f>SUM('Revenues 9-14'!C168:G168,'Revenues 9-14'!J168)</f>
        <v>1316</v>
      </c>
      <c r="G121" s="928"/>
    </row>
    <row r="122" spans="1:7" x14ac:dyDescent="0.2">
      <c r="A122" s="925" t="s">
        <v>459</v>
      </c>
      <c r="B122" s="925" t="s">
        <v>2013</v>
      </c>
      <c r="C122" s="930">
        <f>'Revenues 9-14'!B177</f>
        <v>4045</v>
      </c>
      <c r="D122" s="927" t="str">
        <f>'Revenues 9-14'!A177 &amp; " (Subtract)"</f>
        <v>Head Start (Subtract)</v>
      </c>
      <c r="E122" s="904"/>
      <c r="F122" s="1782">
        <f>SUM(-'Revenues 9-14'!C177)</f>
        <v>0</v>
      </c>
      <c r="G122" s="928"/>
    </row>
    <row r="123" spans="1:7" x14ac:dyDescent="0.2">
      <c r="A123" s="925" t="s">
        <v>668</v>
      </c>
      <c r="B123" s="925" t="s">
        <v>2014</v>
      </c>
      <c r="C123" s="930" t="s">
        <v>982</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668</v>
      </c>
      <c r="B124" s="925" t="s">
        <v>2015</v>
      </c>
      <c r="C124" s="930">
        <v>4100</v>
      </c>
      <c r="D124" s="931" t="str">
        <f>'Revenues 9-14'!A188</f>
        <v>Total Title V</v>
      </c>
      <c r="E124" s="904"/>
      <c r="F124" s="1782">
        <f>SUM('Revenues 9-14'!C188,'Revenues 9-14'!D188,'Revenues 9-14'!F188,'Revenues 9-14'!G188)</f>
        <v>0</v>
      </c>
      <c r="G124" s="928"/>
    </row>
    <row r="125" spans="1:7" x14ac:dyDescent="0.2">
      <c r="A125" s="925" t="s">
        <v>664</v>
      </c>
      <c r="B125" s="925" t="s">
        <v>2016</v>
      </c>
      <c r="C125" s="930">
        <v>4200</v>
      </c>
      <c r="D125" s="927" t="str">
        <f>'Revenues 9-14'!A198</f>
        <v>Total Food Service</v>
      </c>
      <c r="E125" s="904"/>
      <c r="F125" s="1782">
        <f>SUM('Revenues 9-14'!C198,'Revenues 9-14'!G198)</f>
        <v>494805</v>
      </c>
      <c r="G125" s="928"/>
    </row>
    <row r="126" spans="1:7" x14ac:dyDescent="0.2">
      <c r="A126" s="925" t="s">
        <v>668</v>
      </c>
      <c r="B126" s="925" t="s">
        <v>2017</v>
      </c>
      <c r="C126" s="930">
        <v>4300</v>
      </c>
      <c r="D126" s="931" t="str">
        <f>'Revenues 9-14'!A204</f>
        <v>Total Title I</v>
      </c>
      <c r="E126" s="904"/>
      <c r="F126" s="1782">
        <f>SUM('Revenues 9-14'!C204,'Revenues 9-14'!D204,'Revenues 9-14'!F204,'Revenues 9-14'!G204)</f>
        <v>392753</v>
      </c>
      <c r="G126" s="928"/>
    </row>
    <row r="127" spans="1:7" x14ac:dyDescent="0.2">
      <c r="A127" s="925" t="s">
        <v>668</v>
      </c>
      <c r="B127" s="925" t="s">
        <v>2018</v>
      </c>
      <c r="C127" s="930">
        <v>4400</v>
      </c>
      <c r="D127" s="931" t="str">
        <f>'Revenues 9-14'!A209</f>
        <v>Total Title IV</v>
      </c>
      <c r="E127" s="904"/>
      <c r="F127" s="1782">
        <f>SUM('Revenues 9-14'!C209,'Revenues 9-14'!D209,'Revenues 9-14'!F209,'Revenues 9-14'!G209)</f>
        <v>32048</v>
      </c>
      <c r="G127" s="928"/>
    </row>
    <row r="128" spans="1:7" x14ac:dyDescent="0.2">
      <c r="A128" s="925" t="s">
        <v>668</v>
      </c>
      <c r="B128" s="925" t="s">
        <v>2019</v>
      </c>
      <c r="C128" s="930">
        <f>'Revenues 9-14'!B213</f>
        <v>4620</v>
      </c>
      <c r="D128" s="931" t="str">
        <f>'Revenues 9-14'!A213</f>
        <v>Fed - Spec Education - IDEA - Flow Through</v>
      </c>
      <c r="E128" s="904"/>
      <c r="F128" s="1782">
        <f>SUM('Revenues 9-14'!C213:D213,'Revenues 9-14'!F213:G213)</f>
        <v>241585</v>
      </c>
      <c r="G128" s="928"/>
    </row>
    <row r="129" spans="1:7" x14ac:dyDescent="0.2">
      <c r="A129" s="925" t="s">
        <v>668</v>
      </c>
      <c r="B129" s="925" t="s">
        <v>2020</v>
      </c>
      <c r="C129" s="930">
        <f>'Revenues 9-14'!B214</f>
        <v>4625</v>
      </c>
      <c r="D129" s="931" t="str">
        <f>'Revenues 9-14'!A214</f>
        <v>Fed - Spec Education - IDEA - Room &amp; Board</v>
      </c>
      <c r="E129" s="904"/>
      <c r="F129" s="1782">
        <f>SUM('Revenues 9-14'!C214,'Revenues 9-14'!D214,'Revenues 9-14'!F214,'Revenues 9-14'!G214)</f>
        <v>0</v>
      </c>
      <c r="G129" s="928"/>
    </row>
    <row r="130" spans="1:7" x14ac:dyDescent="0.2">
      <c r="A130" s="925" t="s">
        <v>668</v>
      </c>
      <c r="B130" s="925" t="s">
        <v>2021</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2022</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2023</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2024</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2025</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2026</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2027</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2028</v>
      </c>
      <c r="C138" s="933" t="s">
        <v>212</v>
      </c>
      <c r="D138" s="934" t="str">
        <f>'Revenues 9-14'!A229</f>
        <v>ARRA - IDEA - Part B - Preschool</v>
      </c>
      <c r="E138" s="935"/>
      <c r="F138" s="1782">
        <v>0</v>
      </c>
      <c r="G138" s="903"/>
    </row>
    <row r="139" spans="1:7" s="865" customFormat="1" hidden="1" x14ac:dyDescent="0.2">
      <c r="A139" s="932" t="s">
        <v>206</v>
      </c>
      <c r="B139" s="932" t="s">
        <v>2029</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2030</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2031</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2032</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2033</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2034</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2035</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2036</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2037</v>
      </c>
      <c r="C157" s="938" t="s">
        <v>841</v>
      </c>
      <c r="D157" s="939" t="s">
        <v>777</v>
      </c>
      <c r="E157" s="940"/>
      <c r="F157" s="1782">
        <f>SUM(F133:F156)</f>
        <v>0</v>
      </c>
      <c r="G157" s="903"/>
    </row>
    <row r="158" spans="1:7" s="865" customFormat="1" x14ac:dyDescent="0.2">
      <c r="A158" s="936" t="s">
        <v>459</v>
      </c>
      <c r="B158" s="937" t="s">
        <v>2038</v>
      </c>
      <c r="C158" s="938" t="s">
        <v>1427</v>
      </c>
      <c r="D158" s="939" t="s">
        <v>1428</v>
      </c>
      <c r="E158" s="940"/>
      <c r="F158" s="1782">
        <f>SUM('Revenues 9-14'!C253)</f>
        <v>0</v>
      </c>
      <c r="G158" s="903"/>
    </row>
    <row r="159" spans="1:7" s="865" customFormat="1" x14ac:dyDescent="0.2">
      <c r="A159" s="936" t="s">
        <v>500</v>
      </c>
      <c r="B159" s="937" t="s">
        <v>2039</v>
      </c>
      <c r="C159" s="938" t="s">
        <v>1466</v>
      </c>
      <c r="D159" s="939" t="s">
        <v>1467</v>
      </c>
      <c r="E159" s="940"/>
      <c r="F159" s="1782">
        <f>SUM('Revenues 9-14'!C254:H254,'Revenues 9-14'!J254:K254)</f>
        <v>0</v>
      </c>
      <c r="G159" s="903"/>
    </row>
    <row r="160" spans="1:7" x14ac:dyDescent="0.2">
      <c r="A160" s="925" t="s">
        <v>5</v>
      </c>
      <c r="B160" s="925" t="s">
        <v>2040</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2041</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2042</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2043</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2044</v>
      </c>
      <c r="C164" s="930">
        <f>'Revenues 9-14'!B259</f>
        <v>4932</v>
      </c>
      <c r="D164" s="931" t="str">
        <f>'Revenues 9-14'!A259</f>
        <v>Title II - Teacher Quality</v>
      </c>
      <c r="E164" s="904"/>
      <c r="F164" s="1899">
        <f>SUM('Revenues 9-14'!C259,'Revenues 9-14'!D259,'Revenues 9-14'!F259,'Revenues 9-14'!G259)</f>
        <v>57825</v>
      </c>
      <c r="G164" s="928"/>
    </row>
    <row r="165" spans="1:7" x14ac:dyDescent="0.2">
      <c r="A165" s="925" t="s">
        <v>668</v>
      </c>
      <c r="B165" s="925" t="s">
        <v>2045</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1990</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1991</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2046</v>
      </c>
      <c r="C168" s="930">
        <f>'Revenues 9-14'!B263</f>
        <v>4991</v>
      </c>
      <c r="D168" s="931" t="str">
        <f>'Revenues 9-14'!A263</f>
        <v>Medicaid Matching Funds - Administrative Outreach</v>
      </c>
      <c r="E168" s="904"/>
      <c r="F168" s="1782">
        <f>SUM('Revenues 9-14'!C263:D263,'Revenues 9-14'!F263:G263)</f>
        <v>23400</v>
      </c>
      <c r="G168" s="945">
        <v>6320</v>
      </c>
    </row>
    <row r="169" spans="1:7" x14ac:dyDescent="0.2">
      <c r="A169" s="925" t="s">
        <v>668</v>
      </c>
      <c r="B169" s="925" t="s">
        <v>2047</v>
      </c>
      <c r="C169" s="930">
        <f>'Revenues 9-14'!B264</f>
        <v>4992</v>
      </c>
      <c r="D169" s="931" t="str">
        <f>'Revenues 9-14'!A264</f>
        <v>Medicaid Matching Funds - Fee-for-Service Program</v>
      </c>
      <c r="E169" s="904"/>
      <c r="F169" s="1782">
        <f>SUM('Revenues 9-14'!C264:D264,'Revenues 9-14'!F264:G264)</f>
        <v>72494</v>
      </c>
      <c r="G169" s="945"/>
    </row>
    <row r="170" spans="1:7" x14ac:dyDescent="0.2">
      <c r="A170" s="946" t="s">
        <v>668</v>
      </c>
      <c r="B170" s="942" t="s">
        <v>2048</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1914</v>
      </c>
      <c r="C171" s="1912">
        <v>3100</v>
      </c>
      <c r="D171" s="1913" t="s">
        <v>1916</v>
      </c>
      <c r="E171" s="904"/>
      <c r="F171" s="1898">
        <v>612249</v>
      </c>
      <c r="G171" s="925"/>
    </row>
    <row r="172" spans="1:7" x14ac:dyDescent="0.2">
      <c r="A172" s="1910" t="s">
        <v>664</v>
      </c>
      <c r="B172" s="1911" t="s">
        <v>1914</v>
      </c>
      <c r="C172" s="1912">
        <v>3300</v>
      </c>
      <c r="D172" s="1913" t="s">
        <v>1917</v>
      </c>
      <c r="E172" s="904"/>
      <c r="F172" s="1898">
        <v>11</v>
      </c>
      <c r="G172" s="925"/>
    </row>
    <row r="173" spans="1:7" ht="6" customHeight="1" x14ac:dyDescent="0.2">
      <c r="A173" s="925"/>
      <c r="B173" s="925"/>
      <c r="C173" s="947"/>
      <c r="D173" s="925"/>
      <c r="E173" s="904"/>
      <c r="F173" s="948"/>
      <c r="G173" s="945"/>
    </row>
    <row r="174" spans="1:7" x14ac:dyDescent="0.2">
      <c r="A174" s="1763"/>
      <c r="B174" s="1777"/>
      <c r="C174" s="1778"/>
      <c r="D174" s="1779" t="s">
        <v>2049</v>
      </c>
      <c r="E174" s="1780" t="s">
        <v>958</v>
      </c>
      <c r="F174" s="1781">
        <f>SUM(F84:F132,F157:F172)</f>
        <v>3344751</v>
      </c>
    </row>
    <row r="175" spans="1:7" ht="12" customHeight="1" x14ac:dyDescent="0.2">
      <c r="A175" s="1763"/>
      <c r="B175" s="1777"/>
      <c r="C175" s="1778"/>
      <c r="D175" s="1779" t="s">
        <v>2050</v>
      </c>
      <c r="E175" s="1780"/>
      <c r="F175" s="1782">
        <f>'PCTC-OEPP 27-28'!F77-F174</f>
        <v>14545796</v>
      </c>
    </row>
    <row r="176" spans="1:7" ht="12" customHeight="1" x14ac:dyDescent="0.2">
      <c r="A176" s="1763"/>
      <c r="B176" s="1777"/>
      <c r="C176" s="1778"/>
      <c r="D176" s="1779" t="s">
        <v>1812</v>
      </c>
      <c r="E176" s="1780"/>
      <c r="F176" s="1782">
        <f>'Cap Outlay Deprec 26'!I18</f>
        <v>1852770</v>
      </c>
    </row>
    <row r="177" spans="1:7" ht="12" customHeight="1" x14ac:dyDescent="0.2">
      <c r="A177" s="1763"/>
      <c r="B177" s="1777"/>
      <c r="C177" s="1778"/>
      <c r="D177" s="1779" t="s">
        <v>2051</v>
      </c>
      <c r="E177" s="1780"/>
      <c r="F177" s="1782">
        <f>F175+F176</f>
        <v>16398566</v>
      </c>
    </row>
    <row r="178" spans="1:7" ht="12" customHeight="1" x14ac:dyDescent="0.2">
      <c r="A178" s="1763"/>
      <c r="B178" s="1783"/>
      <c r="C178" s="1778"/>
      <c r="D178" s="1779" t="str">
        <f>D78</f>
        <v>9 Month ADA from District Average Daily Attendance/Prior General State Aid Inquiry 2018-2019</v>
      </c>
      <c r="E178" s="1780"/>
      <c r="F178" s="1784">
        <f>'PCTC-OEPP 27-28'!F78</f>
        <v>1525.1</v>
      </c>
      <c r="G178" s="928"/>
    </row>
    <row r="179" spans="1:7" ht="12" customHeight="1" thickBot="1" x14ac:dyDescent="0.25">
      <c r="A179" s="1763"/>
      <c r="B179" s="1783"/>
      <c r="C179" s="1778"/>
      <c r="D179" s="1779" t="s">
        <v>2052</v>
      </c>
      <c r="E179" s="1780" t="s">
        <v>1545</v>
      </c>
      <c r="F179" s="1785">
        <f>F177/F178</f>
        <v>10752.452953904663</v>
      </c>
      <c r="G179" s="854">
        <v>6323</v>
      </c>
    </row>
    <row r="180" spans="1:7" ht="12" thickTop="1" x14ac:dyDescent="0.2">
      <c r="B180" s="928"/>
      <c r="C180" s="947"/>
      <c r="D180" s="928"/>
      <c r="E180" s="947"/>
      <c r="F180" s="928"/>
      <c r="G180" s="949">
        <v>6326</v>
      </c>
    </row>
    <row r="181" spans="1:7" ht="12.2" customHeight="1" x14ac:dyDescent="0.2">
      <c r="A181" s="928" t="s">
        <v>1915</v>
      </c>
      <c r="B181" s="928"/>
      <c r="C181" s="947"/>
      <c r="D181" s="928"/>
      <c r="E181" s="947"/>
      <c r="F181" s="928"/>
      <c r="G181" s="928"/>
    </row>
    <row r="182" spans="1:7" s="1914" customFormat="1" ht="12.2" customHeight="1" x14ac:dyDescent="0.2">
      <c r="A182" s="1914" t="s">
        <v>1987</v>
      </c>
      <c r="B182" s="1915"/>
      <c r="C182" s="1916"/>
      <c r="D182" s="1915"/>
      <c r="E182" s="1916"/>
      <c r="F182" s="1915"/>
      <c r="G182" s="1915"/>
    </row>
    <row r="183" spans="1:7" s="1914" customFormat="1" ht="12.2" customHeight="1" x14ac:dyDescent="0.2">
      <c r="A183" s="1917" t="s">
        <v>1989</v>
      </c>
      <c r="C183" s="1916"/>
      <c r="D183" s="1915"/>
      <c r="E183" s="1916"/>
      <c r="F183" s="1915"/>
      <c r="G183" s="1915"/>
    </row>
    <row r="184" spans="1:7" ht="12" customHeight="1" x14ac:dyDescent="0.2">
      <c r="C184" s="947"/>
      <c r="D184" s="928"/>
      <c r="E184" s="947"/>
      <c r="F184" s="928"/>
      <c r="G184" s="928"/>
    </row>
    <row r="185" spans="1:7" x14ac:dyDescent="0.2">
      <c r="A185" s="1918" t="s">
        <v>1919</v>
      </c>
      <c r="B185" s="1919" t="s">
        <v>1918</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topLeftCell="A13" zoomScaleNormal="100" workbookViewId="0">
      <selection activeCell="A20" sqref="A20"/>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1827</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85" t="s">
        <v>1813</v>
      </c>
      <c r="B4" s="2286"/>
      <c r="C4" s="2286"/>
      <c r="D4" s="2286"/>
      <c r="E4" s="2286"/>
      <c r="F4" s="2286"/>
      <c r="G4" s="2287"/>
    </row>
    <row r="5" spans="1:7" x14ac:dyDescent="0.25">
      <c r="A5" s="2288"/>
      <c r="B5" s="2289"/>
      <c r="C5" s="2289"/>
      <c r="D5" s="2289"/>
      <c r="E5" s="2289"/>
      <c r="F5" s="2289"/>
      <c r="G5" s="2290"/>
    </row>
    <row r="6" spans="1:7" ht="18.75" x14ac:dyDescent="0.25">
      <c r="A6" s="1928" t="s">
        <v>2059</v>
      </c>
      <c r="B6" s="1929"/>
      <c r="C6" s="1929"/>
      <c r="D6" s="1929"/>
      <c r="E6" s="1929"/>
      <c r="F6" s="1929"/>
      <c r="G6" s="1930"/>
    </row>
    <row r="7" spans="1:7" ht="18.75" x14ac:dyDescent="0.25">
      <c r="A7" s="1531" t="s">
        <v>1814</v>
      </c>
      <c r="B7" s="1532"/>
      <c r="C7" s="1532"/>
      <c r="D7" s="1532"/>
      <c r="E7" s="1532"/>
      <c r="F7" s="1532"/>
      <c r="G7" s="1533"/>
    </row>
    <row r="8" spans="1:7" ht="30.75" customHeight="1" x14ac:dyDescent="0.25">
      <c r="A8" s="2291" t="s">
        <v>1926</v>
      </c>
      <c r="B8" s="2292"/>
      <c r="C8" s="2292"/>
      <c r="D8" s="2292"/>
      <c r="E8" s="2292"/>
      <c r="F8" s="2292"/>
      <c r="G8" s="2293"/>
    </row>
    <row r="9" spans="1:7" ht="15.75" customHeight="1" x14ac:dyDescent="0.25">
      <c r="A9" s="2294" t="s">
        <v>1901</v>
      </c>
      <c r="B9" s="2295"/>
      <c r="C9" s="2295"/>
      <c r="D9" s="2295"/>
      <c r="E9" s="2295"/>
      <c r="F9" s="2295"/>
      <c r="G9" s="2296"/>
    </row>
    <row r="10" spans="1:7" ht="35.25" customHeight="1" x14ac:dyDescent="0.25">
      <c r="A10" s="2291" t="s">
        <v>2058</v>
      </c>
      <c r="B10" s="2292"/>
      <c r="C10" s="2292"/>
      <c r="D10" s="2292"/>
      <c r="E10" s="2292"/>
      <c r="F10" s="2292"/>
      <c r="G10" s="2293"/>
    </row>
    <row r="11" spans="1:7" ht="15" customHeight="1" x14ac:dyDescent="0.25">
      <c r="A11" s="1534" t="s">
        <v>1815</v>
      </c>
      <c r="B11" s="1535"/>
      <c r="C11" s="1535"/>
      <c r="D11" s="1535"/>
      <c r="E11" s="1535"/>
      <c r="F11" s="1535"/>
      <c r="G11" s="1536"/>
    </row>
    <row r="12" spans="1:7" ht="17.25" customHeight="1" x14ac:dyDescent="0.25">
      <c r="A12" s="2291" t="s">
        <v>1928</v>
      </c>
      <c r="B12" s="2292"/>
      <c r="C12" s="2292"/>
      <c r="D12" s="2292"/>
      <c r="E12" s="2292"/>
      <c r="F12" s="2292"/>
      <c r="G12" s="2293"/>
    </row>
    <row r="13" spans="1:7" ht="15" customHeight="1" x14ac:dyDescent="0.25">
      <c r="A13" s="1534" t="s">
        <v>1820</v>
      </c>
      <c r="B13" s="1535"/>
      <c r="C13" s="1535"/>
      <c r="D13" s="1535"/>
      <c r="E13" s="1535"/>
      <c r="F13" s="1535"/>
      <c r="G13" s="1536"/>
    </row>
    <row r="14" spans="1:7" ht="32.25" customHeight="1" x14ac:dyDescent="0.25">
      <c r="A14" s="2282" t="s">
        <v>1969</v>
      </c>
      <c r="B14" s="2283"/>
      <c r="C14" s="2283"/>
      <c r="D14" s="2283"/>
      <c r="E14" s="2283"/>
      <c r="F14" s="2283"/>
      <c r="G14" s="2284"/>
    </row>
    <row r="15" spans="1:7" x14ac:dyDescent="0.25">
      <c r="A15" s="1656" t="s">
        <v>1828</v>
      </c>
      <c r="B15" s="1657"/>
      <c r="C15" s="1657"/>
      <c r="D15" s="1657"/>
      <c r="E15" s="1657"/>
      <c r="F15" s="1657"/>
      <c r="G15" s="1658"/>
    </row>
    <row r="16" spans="1:7" ht="61.5" customHeight="1" x14ac:dyDescent="0.25">
      <c r="A16" s="1543" t="s">
        <v>1821</v>
      </c>
      <c r="B16" s="1543" t="s">
        <v>1822</v>
      </c>
      <c r="C16" s="1543" t="s">
        <v>1823</v>
      </c>
      <c r="D16" s="1544" t="s">
        <v>1824</v>
      </c>
      <c r="E16" s="1544" t="s">
        <v>1816</v>
      </c>
      <c r="F16" s="1544" t="s">
        <v>1825</v>
      </c>
      <c r="G16" s="1544" t="s">
        <v>1826</v>
      </c>
    </row>
    <row r="17" spans="1:8" x14ac:dyDescent="0.25">
      <c r="A17" s="1645" t="s">
        <v>1829</v>
      </c>
      <c r="B17" s="1646" t="s">
        <v>1819</v>
      </c>
      <c r="C17" s="1647" t="s">
        <v>1817</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7" t="s">
        <v>2092</v>
      </c>
      <c r="B18" s="1934"/>
      <c r="C18" s="1935"/>
      <c r="D18" s="1836"/>
      <c r="E18" s="1537">
        <f t="shared" ref="E18:E39" si="0">IF(D18&lt;=25000,D18,IF(D18&gt;25000,25000,0))</f>
        <v>0</v>
      </c>
      <c r="F18" s="1927">
        <f t="shared" ref="F18:F3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6">
        <f>IF(F18=0,0,D18-F18)</f>
        <v>0</v>
      </c>
      <c r="H18" s="1644"/>
    </row>
    <row r="19" spans="1:8" x14ac:dyDescent="0.25">
      <c r="A19" s="1933"/>
      <c r="B19" s="1934"/>
      <c r="C19" s="1935"/>
      <c r="D19" s="1836"/>
      <c r="E19" s="1537">
        <f t="shared" ref="E19:E38" si="2">IF(D19&lt;=25000,D19,IF(D19&gt;25000,25000,0))</f>
        <v>0</v>
      </c>
      <c r="F19" s="1927">
        <f t="shared" si="1"/>
        <v>0</v>
      </c>
      <c r="G19" s="1786">
        <f t="shared" ref="G19:G38" si="3">IF(F19=0,0,D19-F19)</f>
        <v>0</v>
      </c>
    </row>
    <row r="20" spans="1:8" x14ac:dyDescent="0.25">
      <c r="A20" s="1933"/>
      <c r="B20" s="1934"/>
      <c r="C20" s="1936"/>
      <c r="D20" s="1836"/>
      <c r="E20" s="1537">
        <f t="shared" si="2"/>
        <v>0</v>
      </c>
      <c r="F20" s="1927">
        <f t="shared" si="1"/>
        <v>0</v>
      </c>
      <c r="G20" s="1786">
        <f t="shared" si="3"/>
        <v>0</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650"/>
      <c r="B34" s="1925"/>
      <c r="C34" s="1651"/>
      <c r="D34" s="1836"/>
      <c r="E34" s="1537">
        <f t="shared" si="2"/>
        <v>0</v>
      </c>
      <c r="F34" s="1927">
        <f t="shared" si="1"/>
        <v>0</v>
      </c>
      <c r="G34" s="1786">
        <f t="shared" si="3"/>
        <v>0</v>
      </c>
    </row>
    <row r="35" spans="1:7" x14ac:dyDescent="0.25">
      <c r="A35" s="1650"/>
      <c r="B35" s="1925"/>
      <c r="C35" s="1651"/>
      <c r="D35" s="1836"/>
      <c r="E35" s="1537">
        <f t="shared" si="2"/>
        <v>0</v>
      </c>
      <c r="F35" s="1927">
        <f t="shared" si="1"/>
        <v>0</v>
      </c>
      <c r="G35" s="1786">
        <f t="shared" si="3"/>
        <v>0</v>
      </c>
    </row>
    <row r="36" spans="1:7" x14ac:dyDescent="0.25">
      <c r="A36" s="1650"/>
      <c r="B36" s="1925"/>
      <c r="C36" s="1651"/>
      <c r="D36" s="1836"/>
      <c r="E36" s="1537">
        <f t="shared" si="2"/>
        <v>0</v>
      </c>
      <c r="F36" s="1927">
        <f t="shared" si="1"/>
        <v>0</v>
      </c>
      <c r="G36" s="1786">
        <f t="shared" si="3"/>
        <v>0</v>
      </c>
    </row>
    <row r="37" spans="1:7" x14ac:dyDescent="0.25">
      <c r="A37" s="1650"/>
      <c r="B37" s="1925"/>
      <c r="C37" s="1651"/>
      <c r="D37" s="1836"/>
      <c r="E37" s="1537">
        <f t="shared" si="2"/>
        <v>0</v>
      </c>
      <c r="F37" s="1927">
        <f t="shared" si="1"/>
        <v>0</v>
      </c>
      <c r="G37" s="1786">
        <f t="shared" si="3"/>
        <v>0</v>
      </c>
    </row>
    <row r="38" spans="1:7" x14ac:dyDescent="0.25">
      <c r="A38" s="1650"/>
      <c r="B38" s="1925"/>
      <c r="C38" s="1651"/>
      <c r="D38" s="1836"/>
      <c r="E38" s="1537">
        <f t="shared" si="2"/>
        <v>0</v>
      </c>
      <c r="F38" s="1927">
        <f t="shared" si="1"/>
        <v>0</v>
      </c>
      <c r="G38" s="1786">
        <f t="shared" si="3"/>
        <v>0</v>
      </c>
    </row>
    <row r="39" spans="1:7" x14ac:dyDescent="0.25">
      <c r="A39" s="1789" t="s">
        <v>156</v>
      </c>
      <c r="B39" s="1790"/>
      <c r="C39" s="1791"/>
      <c r="D39" s="1787">
        <f>SUM(D18:D38)</f>
        <v>0</v>
      </c>
      <c r="E39" s="1538">
        <f t="shared" si="0"/>
        <v>0</v>
      </c>
      <c r="F39" s="1924">
        <f>SUM(F18:F38)</f>
        <v>0</v>
      </c>
      <c r="G39" s="1788">
        <f>SUM(G18:G38)</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20" sqref="A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7" t="s">
        <v>1679</v>
      </c>
      <c r="B5" s="2298"/>
      <c r="C5" s="2298"/>
      <c r="D5" s="2298"/>
      <c r="E5" s="2298"/>
      <c r="F5" s="2298"/>
      <c r="G5" s="2299"/>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1927</v>
      </c>
      <c r="B10" s="969"/>
      <c r="C10" s="974"/>
      <c r="D10" s="970"/>
      <c r="E10" s="971">
        <v>478780</v>
      </c>
      <c r="F10" s="972"/>
      <c r="G10" s="973"/>
      <c r="H10" s="162"/>
      <c r="I10" s="162"/>
    </row>
    <row r="11" spans="1:9" s="666" customFormat="1" ht="22.5" customHeight="1" x14ac:dyDescent="0.2">
      <c r="A11" s="2302" t="s">
        <v>1970</v>
      </c>
      <c r="B11" s="2303"/>
      <c r="C11" s="2303"/>
      <c r="D11" s="2304"/>
      <c r="E11" s="975">
        <v>15757</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11673301</v>
      </c>
      <c r="F19" s="1792"/>
      <c r="G19" s="1794">
        <f>'Expenditures 15-22'!K33-SUM('Expenditures 15-22'!G33,'Expenditures 15-22'!I33)+'Expenditures 15-22'!D229</f>
        <v>11673301</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543006</v>
      </c>
      <c r="F21" s="1795"/>
      <c r="G21" s="1798">
        <f>'Expenditures 15-22'!K42-SUM('Expenditures 15-22'!G42,'Expenditures 15-22'!I42)+'Expenditures 15-22'!K120-SUM('Expenditures 15-22'!G120,'Expenditures 15-22'!I120)+'Expenditures 15-22'!K180-SUM('Expenditures 15-22'!G180,'Expenditures 15-22'!I180)+'Expenditures 15-22'!D238</f>
        <v>543006</v>
      </c>
      <c r="H21" s="985"/>
      <c r="I21" s="162"/>
    </row>
    <row r="22" spans="1:9" s="666" customFormat="1" ht="12" customHeight="1" x14ac:dyDescent="0.2">
      <c r="A22" s="992" t="s">
        <v>564</v>
      </c>
      <c r="B22" s="993"/>
      <c r="C22" s="991">
        <v>2200</v>
      </c>
      <c r="D22" s="1795"/>
      <c r="E22" s="1797">
        <f>'Expenditures 15-22'!K47-SUM('Expenditures 15-22'!G47,'Expenditures 15-22'!I47)+'Expenditures 15-22'!D243</f>
        <v>401641</v>
      </c>
      <c r="F22" s="1795"/>
      <c r="G22" s="1798">
        <f>'Expenditures 15-22'!K47-SUM('Expenditures 15-22'!G47,'Expenditures 15-22'!I47)+'Expenditures 15-22'!D243</f>
        <v>401641</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1138434</v>
      </c>
      <c r="F23" s="1795"/>
      <c r="G23" s="1797">
        <f>'Expenditures 15-22'!K53-SUM('Expenditures 15-22'!G53,'Expenditures 15-22'!I53)+'Expenditures 15-22'!D257+'Expenditures 15-22'!K330-SUM('Expenditures 15-22'!G330,'Expenditures 15-22'!I330)</f>
        <v>1138434</v>
      </c>
      <c r="H23" s="985"/>
      <c r="I23" s="162"/>
    </row>
    <row r="24" spans="1:9" s="666" customFormat="1" ht="12" customHeight="1" x14ac:dyDescent="0.2">
      <c r="A24" s="992" t="s">
        <v>566</v>
      </c>
      <c r="B24" s="993"/>
      <c r="C24" s="991">
        <v>2400</v>
      </c>
      <c r="D24" s="1795"/>
      <c r="E24" s="1797">
        <f>'Expenditures 15-22'!K57-SUM('Expenditures 15-22'!G57,'Expenditures 15-22'!I57)+'Expenditures 15-22'!D261</f>
        <v>813754</v>
      </c>
      <c r="F24" s="1795"/>
      <c r="G24" s="1798">
        <f>'Expenditures 15-22'!K57-SUM('Expenditures 15-22'!G57,'Expenditures 15-22'!I57)+'Expenditures 15-22'!D261</f>
        <v>813754</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83602</v>
      </c>
      <c r="E26" s="1797">
        <f>'Expenditures 15-22'!K122-SUM('Expenditures 15-22'!G122,'Expenditures 15-22'!I122)+E7</f>
        <v>0</v>
      </c>
      <c r="F26" s="1797">
        <f>'Expenditures 15-22'!K59-SUM('Expenditures 15-22'!G59,'Expenditures 15-22'!I59)+'Expenditures 15-22'!D263-E7</f>
        <v>83602</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249063</v>
      </c>
      <c r="E27" s="1797">
        <f>E8</f>
        <v>0</v>
      </c>
      <c r="F27" s="1797">
        <f>'Expenditures 15-22'!K60-SUM('Expenditures 15-22'!G60,'Expenditures 15-22'!I60)+'Expenditures 15-22'!D264-E8</f>
        <v>249063</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1705895</v>
      </c>
      <c r="F28" s="1799">
        <f>'Expenditures 15-22'!K61-SUM('Expenditures 15-22'!G61,'Expenditures 15-22'!I61)+'Expenditures 15-22'!K124-SUM('Expenditures 15-22'!G124,'Expenditures 15-22'!I124)+'Expenditures 15-22'!D266-E9</f>
        <v>1705895</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1014947</v>
      </c>
      <c r="F29" s="1795"/>
      <c r="G29" s="1798">
        <f>'Expenditures 15-22'!K62-SUM('Expenditures 15-22'!G62,'Expenditures 15-22'!I62)+'Expenditures 15-22'!K125-SUM('Expenditures 15-22'!G125,'Expenditures 15-22'!I125)+'Expenditures 15-22'!K182-SUM('Expenditures 15-22'!G182,'Expenditures 15-22'!I182)+'Expenditures 15-22'!D267</f>
        <v>1014947</v>
      </c>
      <c r="H29" s="983"/>
    </row>
    <row r="30" spans="1:9" ht="12" customHeight="1" x14ac:dyDescent="0.2">
      <c r="A30" s="992" t="s">
        <v>100</v>
      </c>
      <c r="B30" s="995"/>
      <c r="C30" s="991">
        <v>2560</v>
      </c>
      <c r="D30" s="1795"/>
      <c r="E30" s="1797">
        <f>'Expenditures 15-22'!K63-SUM('Expenditures 15-22'!G63,'Expenditures 15-22'!I63)+'Expenditures 15-22'!D268-E10</f>
        <v>365540</v>
      </c>
      <c r="F30" s="1795"/>
      <c r="G30" s="1797">
        <f>'Expenditures 15-22'!K63-SUM('Expenditures 15-22'!G63,'Expenditures 15-22'!I63)+'Expenditures 15-22'!D268-E10</f>
        <v>365540</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13726</v>
      </c>
      <c r="F35" s="1795"/>
      <c r="G35" s="1797">
        <f>'Expenditures 15-22'!K69-SUM('Expenditures 15-22'!G69,'Expenditures 15-22'!I69)+'Expenditures 15-22'!D274</f>
        <v>13726</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1811</v>
      </c>
      <c r="E37" s="1797">
        <f>E14</f>
        <v>0</v>
      </c>
      <c r="F37" s="1797">
        <f>'Expenditures 15-22'!K71-SUM('Expenditures 15-22'!G71,'Expenditures 15-22'!I71)+'Expenditures 15-22'!D276-E14</f>
        <v>1811</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27530</v>
      </c>
      <c r="F38" s="1795"/>
      <c r="G38" s="1797">
        <f>'Expenditures 15-22'!K73-SUM('Expenditures 15-22'!G73,'Expenditures 15-22'!I73)+'Expenditures 15-22'!K128-SUM('Expenditures 15-22'!G128,'Expenditures 15-22'!I128)+'Expenditures 15-22'!K183-SUM('Expenditures 15-22'!G183,'Expenditures 15-22'!I183)+'Expenditures 15-22'!D278</f>
        <v>27530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3099</v>
      </c>
      <c r="F39" s="1795"/>
      <c r="G39" s="1797">
        <f>'Expenditures 15-22'!K75-SUM('Expenditures 15-22'!G75,'Expenditures 15-22'!I75)+'Expenditures 15-22'!K130-SUM('Expenditures 15-22'!G130,'Expenditures 15-22'!I130)+'Expenditures 15-22'!K185-SUM('Expenditures 15-22'!G185,'Expenditures 15-22'!I185)+'Expenditures 15-22'!D280</f>
        <v>3099</v>
      </c>
    </row>
    <row r="40" spans="1:7" ht="12" customHeight="1" x14ac:dyDescent="0.2">
      <c r="A40" s="988" t="s">
        <v>1818</v>
      </c>
      <c r="B40" s="989"/>
      <c r="C40" s="991"/>
      <c r="D40" s="1795"/>
      <c r="E40" s="1799">
        <f>-'Contracts Paid in CY 29'!G39</f>
        <v>0</v>
      </c>
      <c r="F40" s="1795"/>
      <c r="G40" s="1799">
        <f>-'Contracts Paid in CY 29'!G39</f>
        <v>0</v>
      </c>
    </row>
    <row r="41" spans="1:7" ht="12" customHeight="1" x14ac:dyDescent="0.2">
      <c r="A41" s="996" t="s">
        <v>156</v>
      </c>
      <c r="B41" s="997"/>
      <c r="C41" s="998"/>
      <c r="D41" s="1799">
        <f>SUM(D19:D39)</f>
        <v>334476</v>
      </c>
      <c r="E41" s="1799">
        <f>SUM(E19:E40)</f>
        <v>17700873</v>
      </c>
      <c r="F41" s="1799">
        <f>SUM(F19:F39)</f>
        <v>2040371</v>
      </c>
      <c r="G41" s="1799">
        <f>SUM(G19:G40)</f>
        <v>15994978</v>
      </c>
    </row>
    <row r="42" spans="1:7" x14ac:dyDescent="0.2">
      <c r="A42" s="985"/>
      <c r="B42" s="162"/>
      <c r="C42" s="999"/>
      <c r="D42" s="2300" t="s">
        <v>522</v>
      </c>
      <c r="E42" s="2301"/>
      <c r="F42" s="1000" t="s">
        <v>523</v>
      </c>
      <c r="G42" s="1001"/>
    </row>
    <row r="43" spans="1:7" ht="12" customHeight="1" x14ac:dyDescent="0.2">
      <c r="A43" s="985"/>
      <c r="B43" s="162"/>
      <c r="C43" s="999"/>
      <c r="D43" s="1800" t="s">
        <v>473</v>
      </c>
      <c r="E43" s="1801">
        <f>D41</f>
        <v>334476</v>
      </c>
      <c r="F43" s="1800" t="s">
        <v>473</v>
      </c>
      <c r="G43" s="1801">
        <f>F41</f>
        <v>2040371</v>
      </c>
    </row>
    <row r="44" spans="1:7" ht="12" customHeight="1" x14ac:dyDescent="0.2">
      <c r="A44" s="985"/>
      <c r="B44" s="162"/>
      <c r="C44" s="999"/>
      <c r="D44" s="1800" t="s">
        <v>474</v>
      </c>
      <c r="E44" s="1801">
        <f>E41</f>
        <v>17700873</v>
      </c>
      <c r="F44" s="1800" t="s">
        <v>474</v>
      </c>
      <c r="G44" s="1801">
        <f>G41</f>
        <v>15994978</v>
      </c>
    </row>
    <row r="45" spans="1:7" ht="12" customHeight="1" x14ac:dyDescent="0.2">
      <c r="A45" s="985"/>
      <c r="B45" s="162"/>
      <c r="C45" s="162"/>
      <c r="D45" s="1802" t="s">
        <v>1006</v>
      </c>
      <c r="E45" s="1803">
        <f>(E43/E44)</f>
        <v>1.8896017162543337E-2</v>
      </c>
      <c r="F45" s="1802" t="s">
        <v>1006</v>
      </c>
      <c r="G45" s="1803">
        <f>(G43/G44)</f>
        <v>0.12756322640768872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20" activePane="bottomLeft" state="frozen"/>
      <selection activeCell="A20" sqref="A20"/>
      <selection pane="bottomLeft" activeCell="A20" sqref="A20"/>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3" style="1870" bestFit="1" customWidth="1"/>
    <col min="10" max="10" width="2.140625" style="1870" bestFit="1" customWidth="1"/>
    <col min="11" max="11" width="9" style="1870" customWidth="1"/>
    <col min="12" max="16384" width="9.140625" style="1839"/>
  </cols>
  <sheetData>
    <row r="1" spans="1:10" x14ac:dyDescent="0.2">
      <c r="A1" s="2319" t="s">
        <v>1379</v>
      </c>
      <c r="B1" s="2319"/>
      <c r="C1" s="2319"/>
      <c r="D1" s="2319"/>
      <c r="E1" s="2319"/>
      <c r="F1" s="2319"/>
    </row>
    <row r="2" spans="1:10" x14ac:dyDescent="0.2">
      <c r="A2" s="1879" t="s">
        <v>1906</v>
      </c>
      <c r="B2" s="1840"/>
      <c r="C2" s="1879"/>
      <c r="D2" s="1840"/>
      <c r="E2" s="1840"/>
      <c r="F2" s="1841"/>
    </row>
    <row r="3" spans="1:10" x14ac:dyDescent="0.2">
      <c r="A3" s="1879" t="s">
        <v>1971</v>
      </c>
      <c r="B3" s="1840"/>
      <c r="C3" s="1879"/>
      <c r="D3" s="1840"/>
      <c r="E3" s="1840"/>
      <c r="F3" s="1841"/>
    </row>
    <row r="4" spans="1:10" ht="3.75" customHeight="1" x14ac:dyDescent="0.2">
      <c r="A4" s="1840"/>
      <c r="B4" s="1840"/>
      <c r="C4" s="1840"/>
      <c r="D4" s="1840"/>
      <c r="E4" s="1840"/>
      <c r="F4" s="1841"/>
    </row>
    <row r="5" spans="1:10" ht="15" x14ac:dyDescent="0.25">
      <c r="A5" s="2320" t="s">
        <v>1546</v>
      </c>
      <c r="B5" s="2321"/>
      <c r="C5" s="2322"/>
      <c r="D5" s="2322"/>
      <c r="E5" s="2322"/>
      <c r="F5" s="2322"/>
    </row>
    <row r="6" spans="1:10" ht="12" customHeight="1" x14ac:dyDescent="0.25">
      <c r="A6" s="1842"/>
      <c r="B6" s="1843"/>
      <c r="C6" s="2323" t="str">
        <f>COVER!A17</f>
        <v>Clinton CUSD 15</v>
      </c>
      <c r="D6" s="2323"/>
      <c r="E6" s="2323"/>
      <c r="F6" s="1844"/>
    </row>
    <row r="7" spans="1:10" ht="11.25" customHeight="1" thickBot="1" x14ac:dyDescent="0.3">
      <c r="A7" s="1842"/>
      <c r="B7" s="1843"/>
      <c r="C7" s="2324">
        <f>COVER!A13</f>
        <v>17020015026</v>
      </c>
      <c r="D7" s="2324"/>
      <c r="E7" s="2324"/>
      <c r="F7" s="1844"/>
    </row>
    <row r="8" spans="1:10" ht="25.5" customHeight="1" thickBot="1" x14ac:dyDescent="0.25">
      <c r="A8" s="1885" t="s">
        <v>1902</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c r="D25" s="1857"/>
      <c r="E25" s="1860"/>
      <c r="F25" s="1859"/>
      <c r="H25" s="1870">
        <f t="shared" si="0"/>
        <v>0</v>
      </c>
      <c r="I25" s="1870">
        <f t="shared" si="1"/>
        <v>0</v>
      </c>
      <c r="J25" s="1870">
        <f t="shared" si="2"/>
        <v>0</v>
      </c>
    </row>
    <row r="26" spans="1:12" ht="12" customHeight="1" x14ac:dyDescent="0.2">
      <c r="A26" s="1855" t="s">
        <v>1534</v>
      </c>
      <c r="B26" s="1856"/>
      <c r="C26" s="1857" t="s">
        <v>2060</v>
      </c>
      <c r="D26" s="1857" t="s">
        <v>2060</v>
      </c>
      <c r="E26" s="1860"/>
      <c r="F26" s="1859" t="s">
        <v>2088</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t="s">
        <v>2060</v>
      </c>
      <c r="D28" s="1857" t="s">
        <v>2060</v>
      </c>
      <c r="E28" s="1860"/>
      <c r="F28" s="1859" t="s">
        <v>2089</v>
      </c>
      <c r="H28" s="1870">
        <f t="shared" si="0"/>
        <v>5</v>
      </c>
      <c r="I28" s="1870">
        <f t="shared" si="1"/>
        <v>5</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2060</v>
      </c>
      <c r="D31" s="1857" t="s">
        <v>2060</v>
      </c>
      <c r="E31" s="1860"/>
      <c r="F31" s="1859" t="s">
        <v>2090</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t="s">
        <v>2060</v>
      </c>
      <c r="D33" s="1857" t="s">
        <v>2060</v>
      </c>
      <c r="E33" s="1860"/>
      <c r="F33" s="1859" t="s">
        <v>2091</v>
      </c>
      <c r="H33" s="1870">
        <f t="shared" si="0"/>
        <v>5</v>
      </c>
      <c r="I33" s="1870">
        <f t="shared" si="1"/>
        <v>5</v>
      </c>
      <c r="J33" s="1870">
        <f t="shared" si="2"/>
        <v>0</v>
      </c>
    </row>
    <row r="34" spans="1:11" ht="12" customHeight="1" x14ac:dyDescent="0.25">
      <c r="A34" s="1862"/>
      <c r="B34" s="1862"/>
      <c r="C34" s="1862"/>
      <c r="D34" s="1862"/>
      <c r="E34" s="1862"/>
      <c r="F34" s="1862"/>
      <c r="H34" s="1870">
        <f>SUM(H11:H32)</f>
        <v>15</v>
      </c>
      <c r="I34" s="1870">
        <f>SUM(I11:I32)</f>
        <v>15</v>
      </c>
      <c r="J34" s="1870">
        <f>SUM(J11:J32)</f>
        <v>0</v>
      </c>
      <c r="K34" s="1870">
        <f>SUM(H34:J34)</f>
        <v>30</v>
      </c>
    </row>
    <row r="35" spans="1:11" ht="12" customHeight="1" x14ac:dyDescent="0.2">
      <c r="A35" s="1863" t="s">
        <v>1392</v>
      </c>
      <c r="B35" s="1864"/>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65"/>
      <c r="B39" s="1865"/>
      <c r="C39" s="1865"/>
      <c r="D39" s="1865"/>
      <c r="E39" s="1865"/>
      <c r="F39" s="1865"/>
    </row>
    <row r="40" spans="1:11" s="1862" customFormat="1" ht="12" customHeight="1" x14ac:dyDescent="0.25">
      <c r="A40" s="1866" t="s">
        <v>1391</v>
      </c>
      <c r="B40" s="1867"/>
      <c r="C40" s="2314"/>
      <c r="D40" s="2314"/>
      <c r="E40" s="2314"/>
      <c r="F40" s="2315"/>
      <c r="H40" s="1871"/>
      <c r="I40" s="1871"/>
      <c r="J40" s="1871"/>
      <c r="K40" s="1871"/>
    </row>
    <row r="41" spans="1:11" s="1862" customFormat="1" ht="12" customHeight="1" x14ac:dyDescent="0.25">
      <c r="A41" s="2316"/>
      <c r="B41" s="2317"/>
      <c r="C41" s="2317"/>
      <c r="D41" s="2317"/>
      <c r="E41" s="2317"/>
      <c r="F41" s="2318"/>
      <c r="H41" s="1871"/>
      <c r="I41" s="1871"/>
      <c r="J41" s="1871"/>
      <c r="K41" s="1871"/>
    </row>
    <row r="42" spans="1:11" s="1862" customFormat="1" ht="12" customHeight="1" x14ac:dyDescent="0.25">
      <c r="A42" s="2316"/>
      <c r="B42" s="2317"/>
      <c r="C42" s="2317"/>
      <c r="D42" s="2317"/>
      <c r="E42" s="2317"/>
      <c r="F42" s="2318"/>
      <c r="H42" s="1871"/>
      <c r="I42" s="1871"/>
      <c r="J42" s="1871"/>
      <c r="K42" s="1871"/>
    </row>
    <row r="43" spans="1:11" s="1862" customFormat="1" ht="15" x14ac:dyDescent="0.25">
      <c r="A43" s="2305"/>
      <c r="B43" s="2306"/>
      <c r="C43" s="2306"/>
      <c r="D43" s="2306"/>
      <c r="E43" s="2306"/>
      <c r="F43" s="2307"/>
      <c r="H43" s="1871"/>
      <c r="I43" s="1871"/>
      <c r="J43" s="1871"/>
      <c r="K43" s="1871"/>
    </row>
    <row r="44" spans="1:11" s="1862" customFormat="1" ht="12" hidden="1" customHeight="1" x14ac:dyDescent="0.25">
      <c r="A44" s="2305"/>
      <c r="B44" s="2306"/>
      <c r="C44" s="2306"/>
      <c r="D44" s="2306"/>
      <c r="E44" s="2306"/>
      <c r="F44" s="2307"/>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A20" sqref="A20"/>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32" t="str">
        <f>COVER!A17</f>
        <v>Clinton CUSD 15</v>
      </c>
      <c r="J6" s="2333"/>
      <c r="Q6" s="1659"/>
    </row>
    <row r="7" spans="1:17" x14ac:dyDescent="0.2">
      <c r="A7" s="2334" t="s">
        <v>869</v>
      </c>
      <c r="B7" s="2335"/>
      <c r="C7" s="2335"/>
      <c r="D7" s="2335"/>
      <c r="E7" s="2336"/>
      <c r="F7" s="1015"/>
      <c r="G7" s="1007"/>
      <c r="H7" s="1014" t="s">
        <v>372</v>
      </c>
      <c r="I7" s="2337">
        <f>COVER!A13</f>
        <v>17020015026</v>
      </c>
      <c r="J7" s="2337"/>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1972</v>
      </c>
      <c r="F9" s="1021"/>
      <c r="G9" s="1021"/>
      <c r="H9" s="1888" t="s">
        <v>1973</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8" t="s">
        <v>481</v>
      </c>
      <c r="B11" s="2339"/>
      <c r="C11" s="2340"/>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230143</v>
      </c>
      <c r="F12" s="1037"/>
      <c r="G12" s="1804">
        <f t="shared" ref="G12:G18" si="0">SUM(E12:F12)</f>
        <v>230143</v>
      </c>
      <c r="H12" s="1038">
        <v>207787</v>
      </c>
      <c r="I12" s="1037"/>
      <c r="J12" s="1804">
        <f t="shared" ref="J12:J18" si="1">SUM(H12:I12)</f>
        <v>207787</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82437</v>
      </c>
      <c r="F15" s="1804">
        <f>'Expenditures 15-22'!K122</f>
        <v>0</v>
      </c>
      <c r="G15" s="1804">
        <f t="shared" si="0"/>
        <v>82437</v>
      </c>
      <c r="H15" s="1038">
        <v>85790</v>
      </c>
      <c r="I15" s="1038"/>
      <c r="J15" s="1804">
        <f t="shared" si="1"/>
        <v>85790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41" t="s">
        <v>7</v>
      </c>
      <c r="C18" s="2342"/>
      <c r="D18" s="2343"/>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312580</v>
      </c>
      <c r="F19" s="1806">
        <f t="shared" si="2"/>
        <v>0</v>
      </c>
      <c r="G19" s="1806">
        <f t="shared" si="2"/>
        <v>312580</v>
      </c>
      <c r="H19" s="1806">
        <f t="shared" si="2"/>
        <v>293577</v>
      </c>
      <c r="I19" s="1806">
        <f t="shared" si="2"/>
        <v>0</v>
      </c>
      <c r="J19" s="1806">
        <f t="shared" si="2"/>
        <v>293577</v>
      </c>
    </row>
    <row r="20" spans="1:10" ht="13.5" thickTop="1" x14ac:dyDescent="0.2">
      <c r="A20" s="1033">
        <v>9</v>
      </c>
      <c r="B20" s="2344" t="s">
        <v>1974</v>
      </c>
      <c r="C20" s="2344"/>
      <c r="D20" s="2345"/>
      <c r="E20" s="1044"/>
      <c r="F20" s="1044"/>
      <c r="G20" s="1044"/>
      <c r="H20" s="1044"/>
      <c r="I20" s="1044"/>
      <c r="J20" s="1807">
        <f>IF(AND(G19&gt;0,J19&gt;0),(((J19-G19)/G19)),"Enter Budget Data")</f>
        <v>-6.0794036726597993E-2</v>
      </c>
    </row>
    <row r="21" spans="1:10" ht="9" customHeight="1" x14ac:dyDescent="0.2">
      <c r="B21" s="1045"/>
    </row>
    <row r="22" spans="1:10" x14ac:dyDescent="0.2">
      <c r="A22" s="1046" t="s">
        <v>133</v>
      </c>
      <c r="B22" s="1045"/>
    </row>
    <row r="23" spans="1:10" x14ac:dyDescent="0.2">
      <c r="A23" s="1009" t="s">
        <v>1975</v>
      </c>
      <c r="B23" s="1045"/>
    </row>
    <row r="24" spans="1:10" x14ac:dyDescent="0.2">
      <c r="A24" s="1009" t="s">
        <v>1988</v>
      </c>
      <c r="B24" s="1045"/>
    </row>
    <row r="25" spans="1:10" x14ac:dyDescent="0.2">
      <c r="A25" s="1047"/>
      <c r="B25" s="1045"/>
    </row>
    <row r="26" spans="1:10" ht="20.100000000000001" customHeight="1" x14ac:dyDescent="0.2">
      <c r="B26" s="1045"/>
      <c r="C26" s="2350"/>
      <c r="D26" s="2350"/>
      <c r="E26" s="1048"/>
      <c r="F26" s="2349"/>
      <c r="G26" s="2349"/>
    </row>
    <row r="27" spans="1:10" x14ac:dyDescent="0.2">
      <c r="B27" s="1045"/>
      <c r="C27" s="1049" t="s">
        <v>1033</v>
      </c>
      <c r="D27" s="1050"/>
      <c r="E27" s="1051"/>
      <c r="F27" s="2346" t="s">
        <v>1509</v>
      </c>
      <c r="G27" s="2346"/>
    </row>
    <row r="28" spans="1:10" ht="28.5" customHeight="1" x14ac:dyDescent="0.2">
      <c r="B28" s="1045"/>
      <c r="C28" s="2348"/>
      <c r="D28" s="2348"/>
      <c r="E28" s="1052"/>
      <c r="F28" s="2348"/>
      <c r="G28" s="2348"/>
    </row>
    <row r="29" spans="1:10" x14ac:dyDescent="0.2">
      <c r="B29" s="1045"/>
      <c r="C29" s="1053" t="s">
        <v>1561</v>
      </c>
      <c r="E29" s="1054"/>
      <c r="F29" s="2347" t="s">
        <v>1510</v>
      </c>
      <c r="G29" s="2347"/>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0"/>
    </row>
    <row r="36" spans="1:10" ht="13.5" customHeight="1" x14ac:dyDescent="0.2">
      <c r="B36" s="1059"/>
      <c r="C36" s="2331" t="s">
        <v>1976</v>
      </c>
      <c r="D36" s="2330"/>
      <c r="E36" s="2330"/>
      <c r="F36" s="2330"/>
      <c r="G36" s="2330"/>
      <c r="H36" s="2330"/>
      <c r="I36" s="2330"/>
      <c r="J36" s="1061"/>
    </row>
    <row r="37" spans="1:10" ht="22.5" customHeight="1" x14ac:dyDescent="0.2">
      <c r="C37" s="2330"/>
      <c r="D37" s="2330"/>
      <c r="E37" s="2330"/>
      <c r="F37" s="2330"/>
      <c r="G37" s="2330"/>
      <c r="H37" s="2330"/>
      <c r="I37" s="2330"/>
      <c r="J37" s="1061"/>
    </row>
    <row r="38" spans="1:10" ht="7.5" customHeight="1" x14ac:dyDescent="0.2">
      <c r="C38" s="1060"/>
      <c r="D38" s="1062"/>
      <c r="E38" s="1063"/>
      <c r="F38" s="1064"/>
      <c r="G38" s="1063"/>
    </row>
    <row r="39" spans="1:10" ht="13.5" customHeight="1" x14ac:dyDescent="0.2">
      <c r="B39" s="1059"/>
      <c r="C39" s="2327" t="s">
        <v>882</v>
      </c>
      <c r="D39" s="2328"/>
      <c r="E39" s="2328"/>
      <c r="F39" s="2328"/>
      <c r="G39" s="2328"/>
      <c r="H39" s="2328"/>
      <c r="I39" s="2328"/>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topLeftCell="A18" zoomScale="90" zoomScaleNormal="9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c r="B5" s="1" t="s">
        <v>2093</v>
      </c>
    </row>
    <row r="6" spans="1:2" x14ac:dyDescent="0.2">
      <c r="A6" s="1066"/>
      <c r="B6" s="1" t="s">
        <v>2110</v>
      </c>
    </row>
    <row r="7" spans="1:2" x14ac:dyDescent="0.2">
      <c r="A7" s="1066"/>
      <c r="B7" s="1" t="s">
        <v>2111</v>
      </c>
    </row>
    <row r="8" spans="1:2" x14ac:dyDescent="0.2">
      <c r="A8" s="1066"/>
      <c r="B8" s="1" t="s">
        <v>2112</v>
      </c>
    </row>
    <row r="9" spans="1:2" x14ac:dyDescent="0.2">
      <c r="A9" s="1066"/>
      <c r="B9" s="1" t="s">
        <v>2113</v>
      </c>
    </row>
    <row r="10" spans="1:2" x14ac:dyDescent="0.2">
      <c r="A10" s="1066"/>
      <c r="B10" s="1"/>
    </row>
    <row r="11" spans="1:2" x14ac:dyDescent="0.2">
      <c r="A11" s="1067"/>
      <c r="B11" s="1" t="s">
        <v>2095</v>
      </c>
    </row>
    <row r="12" spans="1:2" x14ac:dyDescent="0.2">
      <c r="A12" s="1067"/>
      <c r="B12" s="1" t="s">
        <v>2094</v>
      </c>
    </row>
    <row r="13" spans="1:2" x14ac:dyDescent="0.2">
      <c r="A13" s="1067"/>
      <c r="B13" s="1" t="s">
        <v>2114</v>
      </c>
    </row>
    <row r="14" spans="1:2" x14ac:dyDescent="0.2">
      <c r="A14" s="1067"/>
      <c r="B14" s="1"/>
    </row>
    <row r="15" spans="1:2" x14ac:dyDescent="0.2">
      <c r="A15" s="1067"/>
      <c r="B15" s="1" t="s">
        <v>2198</v>
      </c>
    </row>
    <row r="16" spans="1:2" x14ac:dyDescent="0.2">
      <c r="A16" s="1067"/>
      <c r="B16" s="1" t="s">
        <v>2096</v>
      </c>
    </row>
    <row r="17" spans="1:2" x14ac:dyDescent="0.2">
      <c r="A17" s="1067"/>
      <c r="B17" s="1" t="s">
        <v>2115</v>
      </c>
    </row>
    <row r="18" spans="1:2" x14ac:dyDescent="0.2">
      <c r="A18" s="1067"/>
      <c r="B18" s="1" t="s">
        <v>2199</v>
      </c>
    </row>
    <row r="19" spans="1:2" x14ac:dyDescent="0.2">
      <c r="A19" s="1067"/>
      <c r="B19" s="1"/>
    </row>
    <row r="20" spans="1:2" x14ac:dyDescent="0.2">
      <c r="A20" s="1067"/>
      <c r="B20" s="1" t="s">
        <v>2200</v>
      </c>
    </row>
    <row r="21" spans="1:2" x14ac:dyDescent="0.2">
      <c r="A21" s="1067"/>
      <c r="B21" s="1" t="s">
        <v>2094</v>
      </c>
    </row>
    <row r="22" spans="1:2" x14ac:dyDescent="0.2">
      <c r="A22" s="1067"/>
      <c r="B22" s="1" t="s">
        <v>2116</v>
      </c>
    </row>
    <row r="23" spans="1:2" x14ac:dyDescent="0.2">
      <c r="A23" s="1067"/>
      <c r="B23" s="1" t="s">
        <v>2097</v>
      </c>
    </row>
    <row r="24" spans="1:2" x14ac:dyDescent="0.2">
      <c r="A24" s="1067"/>
      <c r="B24" s="1" t="s">
        <v>2098</v>
      </c>
    </row>
    <row r="25" spans="1:2" x14ac:dyDescent="0.2">
      <c r="A25" s="1067"/>
      <c r="B25" s="1"/>
    </row>
    <row r="26" spans="1:2" x14ac:dyDescent="0.2">
      <c r="A26" s="1067"/>
      <c r="B26" s="1" t="s">
        <v>2117</v>
      </c>
    </row>
    <row r="27" spans="1:2" x14ac:dyDescent="0.2">
      <c r="A27" s="1067"/>
      <c r="B27" s="1" t="s">
        <v>2094</v>
      </c>
    </row>
    <row r="28" spans="1:2" x14ac:dyDescent="0.2">
      <c r="A28" s="1067"/>
      <c r="B28" s="1" t="s">
        <v>2118</v>
      </c>
    </row>
    <row r="29" spans="1:2" x14ac:dyDescent="0.2">
      <c r="A29" s="1067"/>
      <c r="B29" s="1"/>
    </row>
    <row r="30" spans="1:2" x14ac:dyDescent="0.2">
      <c r="A30" s="1067"/>
      <c r="B30" s="1" t="s">
        <v>2099</v>
      </c>
    </row>
    <row r="31" spans="1:2" x14ac:dyDescent="0.2">
      <c r="A31" s="1067"/>
      <c r="B31" s="1" t="s">
        <v>2094</v>
      </c>
    </row>
    <row r="32" spans="1:2" x14ac:dyDescent="0.2">
      <c r="A32" s="1067"/>
      <c r="B32" s="1" t="s">
        <v>2119</v>
      </c>
    </row>
    <row r="33" spans="1:2" x14ac:dyDescent="0.2">
      <c r="A33" s="1067"/>
      <c r="B33" s="1"/>
    </row>
    <row r="34" spans="1:2" x14ac:dyDescent="0.2">
      <c r="A34" s="1067"/>
      <c r="B34" s="1" t="s">
        <v>2100</v>
      </c>
    </row>
    <row r="35" spans="1:2" x14ac:dyDescent="0.2">
      <c r="A35" s="1067"/>
      <c r="B35" s="1" t="s">
        <v>2094</v>
      </c>
    </row>
    <row r="36" spans="1:2" x14ac:dyDescent="0.2">
      <c r="A36" s="1067"/>
      <c r="B36" s="1" t="s">
        <v>2120</v>
      </c>
    </row>
    <row r="37" spans="1:2" x14ac:dyDescent="0.2">
      <c r="A37" s="1067"/>
      <c r="B37" s="1" t="s">
        <v>2121</v>
      </c>
    </row>
    <row r="38" spans="1:2" x14ac:dyDescent="0.2">
      <c r="A38" s="1067"/>
      <c r="B38" s="1"/>
    </row>
    <row r="39" spans="1:2" x14ac:dyDescent="0.2">
      <c r="A39" s="1067"/>
      <c r="B39" s="1" t="s">
        <v>2122</v>
      </c>
    </row>
    <row r="40" spans="1:2" x14ac:dyDescent="0.2">
      <c r="A40" s="1067"/>
      <c r="B40" s="1" t="s">
        <v>2094</v>
      </c>
    </row>
    <row r="41" spans="1:2" x14ac:dyDescent="0.2">
      <c r="A41" s="1067"/>
      <c r="B41" s="1" t="s">
        <v>2123</v>
      </c>
    </row>
    <row r="42" spans="1:2" x14ac:dyDescent="0.2">
      <c r="A42" s="1067"/>
      <c r="B42" s="1"/>
    </row>
    <row r="43" spans="1:2" x14ac:dyDescent="0.2">
      <c r="A43" s="1067"/>
      <c r="B43" s="1" t="s">
        <v>2101</v>
      </c>
    </row>
    <row r="44" spans="1:2" x14ac:dyDescent="0.2">
      <c r="A44" s="1067"/>
      <c r="B44" s="1" t="s">
        <v>2102</v>
      </c>
    </row>
    <row r="45" spans="1:2" x14ac:dyDescent="0.2">
      <c r="A45" s="1067"/>
      <c r="B45" s="1" t="s">
        <v>2103</v>
      </c>
    </row>
    <row r="46" spans="1:2" x14ac:dyDescent="0.2">
      <c r="A46" s="1067"/>
      <c r="B46" s="1"/>
    </row>
    <row r="47" spans="1:2" x14ac:dyDescent="0.2">
      <c r="A47" s="1067"/>
      <c r="B47" s="1" t="s">
        <v>2104</v>
      </c>
    </row>
    <row r="48" spans="1:2" x14ac:dyDescent="0.2">
      <c r="A48" s="1067"/>
      <c r="B48" s="1" t="s">
        <v>2105</v>
      </c>
    </row>
    <row r="49" spans="1:2" x14ac:dyDescent="0.2">
      <c r="A49" s="1067"/>
      <c r="B49" s="1" t="s">
        <v>2124</v>
      </c>
    </row>
    <row r="50" spans="1:2" x14ac:dyDescent="0.2">
      <c r="A50" s="1067"/>
      <c r="B50" s="1"/>
    </row>
    <row r="51" spans="1:2" x14ac:dyDescent="0.2">
      <c r="A51" s="1067"/>
      <c r="B51" s="1" t="s">
        <v>2106</v>
      </c>
    </row>
    <row r="52" spans="1:2" x14ac:dyDescent="0.2">
      <c r="A52" s="1067"/>
      <c r="B52" s="1" t="s">
        <v>2125</v>
      </c>
    </row>
    <row r="53" spans="1:2" x14ac:dyDescent="0.2">
      <c r="A53" s="1067"/>
      <c r="B53" s="1"/>
    </row>
    <row r="54" spans="1:2" x14ac:dyDescent="0.2">
      <c r="A54" s="1067"/>
      <c r="B54" s="1" t="s">
        <v>2107</v>
      </c>
    </row>
    <row r="55" spans="1:2" x14ac:dyDescent="0.2">
      <c r="A55" s="1067"/>
      <c r="B55" s="1" t="s">
        <v>2126</v>
      </c>
    </row>
    <row r="56" spans="1:2" x14ac:dyDescent="0.2">
      <c r="A56" s="1067"/>
      <c r="B56" s="1" t="s">
        <v>2127</v>
      </c>
    </row>
    <row r="57" spans="1:2" x14ac:dyDescent="0.2">
      <c r="A57" s="1067"/>
      <c r="B57" s="1"/>
    </row>
    <row r="58" spans="1:2" x14ac:dyDescent="0.2">
      <c r="A58" s="1067"/>
      <c r="B58" s="1" t="s">
        <v>2108</v>
      </c>
    </row>
    <row r="59" spans="1:2" x14ac:dyDescent="0.2">
      <c r="A59" s="1067"/>
      <c r="B59" s="1" t="s">
        <v>2109</v>
      </c>
    </row>
    <row r="60" spans="1:2" x14ac:dyDescent="0.2">
      <c r="A60" s="1067"/>
    </row>
    <row r="61" spans="1:2" x14ac:dyDescent="0.2">
      <c r="A61" s="1067"/>
    </row>
    <row r="62" spans="1:2" x14ac:dyDescent="0.2">
      <c r="A62" s="1067"/>
    </row>
    <row r="63" spans="1:2" x14ac:dyDescent="0.2">
      <c r="A63" s="1067"/>
      <c r="B63" s="258" t="str">
        <f>COVER!A17</f>
        <v>Clinton CUSD 15</v>
      </c>
    </row>
    <row r="64" spans="1:2" x14ac:dyDescent="0.2">
      <c r="B64" s="1068">
        <f>COVER!A13</f>
        <v>17020015026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T43" sqref="T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1610</v>
      </c>
    </row>
    <row r="22" spans="1:5" x14ac:dyDescent="0.2">
      <c r="A22" s="168"/>
      <c r="B22" s="162" t="s">
        <v>1850</v>
      </c>
      <c r="C22" s="162" t="s">
        <v>1169</v>
      </c>
      <c r="D22" s="167" t="s">
        <v>1852</v>
      </c>
      <c r="E22" s="1829" t="s">
        <v>1611</v>
      </c>
    </row>
    <row r="23" spans="1:5" x14ac:dyDescent="0.2">
      <c r="A23" s="168"/>
      <c r="B23" s="162" t="s">
        <v>1851</v>
      </c>
      <c r="D23" s="167" t="s">
        <v>637</v>
      </c>
      <c r="E23" s="1829" t="s">
        <v>959</v>
      </c>
    </row>
    <row r="24" spans="1:5" x14ac:dyDescent="0.2">
      <c r="A24" s="168" t="s">
        <v>1609</v>
      </c>
      <c r="C24" s="162" t="s">
        <v>1169</v>
      </c>
      <c r="D24" s="167" t="s">
        <v>1393</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1366</v>
      </c>
    </row>
    <row r="29" spans="1:5" x14ac:dyDescent="0.2">
      <c r="A29" s="168" t="s">
        <v>1868</v>
      </c>
      <c r="D29" s="169" t="s">
        <v>1394</v>
      </c>
      <c r="E29" s="170" t="s">
        <v>1375</v>
      </c>
    </row>
    <row r="30" spans="1:5" x14ac:dyDescent="0.2">
      <c r="A30" s="173" t="s">
        <v>1869</v>
      </c>
      <c r="C30" s="162" t="s">
        <v>1169</v>
      </c>
      <c r="D30" s="169" t="s">
        <v>40</v>
      </c>
      <c r="E30" s="170" t="s">
        <v>982</v>
      </c>
    </row>
    <row r="31" spans="1:5" x14ac:dyDescent="0.2">
      <c r="A31" s="168" t="s">
        <v>1521</v>
      </c>
      <c r="C31" s="162" t="s">
        <v>1169</v>
      </c>
      <c r="D31" s="167"/>
      <c r="E31" s="171"/>
    </row>
    <row r="32" spans="1:5" x14ac:dyDescent="0.2">
      <c r="B32" s="167" t="s">
        <v>1870</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2" t="s">
        <v>1771</v>
      </c>
    </row>
    <row r="60" spans="1:3" x14ac:dyDescent="0.2">
      <c r="A60" s="196"/>
      <c r="B60" s="1482" t="s">
        <v>1772</v>
      </c>
    </row>
    <row r="61" spans="1:3" ht="6" customHeight="1" x14ac:dyDescent="0.2">
      <c r="A61" s="197"/>
      <c r="B61" s="189"/>
    </row>
    <row r="62" spans="1:3" x14ac:dyDescent="0.2">
      <c r="A62" s="169" t="s">
        <v>1616</v>
      </c>
      <c r="B62" s="198" t="s">
        <v>1768</v>
      </c>
    </row>
    <row r="63" spans="1:3" x14ac:dyDescent="0.2">
      <c r="A63" s="188"/>
      <c r="B63" s="169" t="s">
        <v>1783</v>
      </c>
    </row>
    <row r="64" spans="1:3" x14ac:dyDescent="0.2">
      <c r="A64" s="195"/>
      <c r="B64" s="1484"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3" t="s">
        <v>1619</v>
      </c>
    </row>
    <row r="72" spans="1:9" ht="9" customHeight="1" x14ac:dyDescent="0.2">
      <c r="A72" s="192"/>
      <c r="B72" s="199"/>
    </row>
    <row r="73" spans="1:9" x14ac:dyDescent="0.2">
      <c r="A73" s="189" t="s">
        <v>1620</v>
      </c>
      <c r="B73" s="169" t="s">
        <v>1779</v>
      </c>
    </row>
    <row r="74" spans="1:9" x14ac:dyDescent="0.2">
      <c r="A74" s="189"/>
      <c r="B74" s="169" t="s">
        <v>1778</v>
      </c>
    </row>
    <row r="75" spans="1:9" ht="8.25" customHeight="1" x14ac:dyDescent="0.2">
      <c r="A75" s="189"/>
      <c r="B75" s="189"/>
    </row>
    <row r="76" spans="1:9" ht="12.2" customHeight="1" x14ac:dyDescent="0.2">
      <c r="A76" s="189" t="s">
        <v>1621</v>
      </c>
      <c r="B76" s="198" t="s">
        <v>1780</v>
      </c>
    </row>
    <row r="77" spans="1:9" ht="12.2" customHeight="1" x14ac:dyDescent="0.2">
      <c r="A77" s="190"/>
      <c r="B77" s="169" t="s">
        <v>1622</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A20" sqref="A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6" sqref="C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51" t="s">
        <v>1685</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47625</xdr:colOff>
                <xdr:row>0</xdr:row>
                <xdr:rowOff>123825</xdr:rowOff>
              </from>
              <to>
                <xdr:col>1</xdr:col>
                <xdr:colOff>962025</xdr:colOff>
                <xdr:row>5</xdr:row>
                <xdr:rowOff>0</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1</xdr:col>
                <xdr:colOff>1085850</xdr:colOff>
                <xdr:row>0</xdr:row>
                <xdr:rowOff>142875</xdr:rowOff>
              </from>
              <to>
                <xdr:col>1</xdr:col>
                <xdr:colOff>1990725</xdr:colOff>
                <xdr:row>5</xdr:row>
                <xdr:rowOff>9525</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7" r:id="rId8">
          <objectPr defaultSize="0" r:id="rId9">
            <anchor moveWithCells="1">
              <from>
                <xdr:col>1</xdr:col>
                <xdr:colOff>2076450</xdr:colOff>
                <xdr:row>0</xdr:row>
                <xdr:rowOff>142875</xdr:rowOff>
              </from>
              <to>
                <xdr:col>1</xdr:col>
                <xdr:colOff>2990850</xdr:colOff>
                <xdr:row>5</xdr:row>
                <xdr:rowOff>19050</xdr:rowOff>
              </to>
            </anchor>
          </objectPr>
        </oleObject>
      </mc:Choice>
      <mc:Fallback>
        <oleObject progId="Acrobat Document" dvAspect="DVASPECT_ICON" shapeId="52227" r:id="rId8"/>
      </mc:Fallback>
    </mc:AlternateContent>
    <mc:AlternateContent xmlns:mc="http://schemas.openxmlformats.org/markup-compatibility/2006">
      <mc:Choice Requires="x14">
        <oleObject progId="Acrobat Document" dvAspect="DVASPECT_ICON" shapeId="52228" r:id="rId10">
          <objectPr defaultSize="0" r:id="rId11">
            <anchor moveWithCells="1">
              <from>
                <xdr:col>1</xdr:col>
                <xdr:colOff>3086100</xdr:colOff>
                <xdr:row>0</xdr:row>
                <xdr:rowOff>152400</xdr:rowOff>
              </from>
              <to>
                <xdr:col>2</xdr:col>
                <xdr:colOff>9525</xdr:colOff>
                <xdr:row>5</xdr:row>
                <xdr:rowOff>28575</xdr:rowOff>
              </to>
            </anchor>
          </objectPr>
        </oleObject>
      </mc:Choice>
      <mc:Fallback>
        <oleObject progId="Acrobat Document" dvAspect="DVASPECT_ICON" shapeId="52228" r:id="rId10"/>
      </mc:Fallback>
    </mc:AlternateContent>
    <mc:AlternateContent xmlns:mc="http://schemas.openxmlformats.org/markup-compatibility/2006">
      <mc:Choice Requires="x14">
        <oleObject progId="Acrobat Document" dvAspect="DVASPECT_ICON" shapeId="52229" r:id="rId12">
          <objectPr defaultSize="0" r:id="rId13">
            <anchor moveWithCells="1">
              <from>
                <xdr:col>1</xdr:col>
                <xdr:colOff>47625</xdr:colOff>
                <xdr:row>5</xdr:row>
                <xdr:rowOff>85725</xdr:rowOff>
              </from>
              <to>
                <xdr:col>1</xdr:col>
                <xdr:colOff>962025</xdr:colOff>
                <xdr:row>9</xdr:row>
                <xdr:rowOff>123825</xdr:rowOff>
              </to>
            </anchor>
          </objectPr>
        </oleObject>
      </mc:Choice>
      <mc:Fallback>
        <oleObject progId="Acrobat Document" dvAspect="DVASPECT_ICON" shapeId="52229" r:id="rId12"/>
      </mc:Fallback>
    </mc:AlternateContent>
    <mc:AlternateContent xmlns:mc="http://schemas.openxmlformats.org/markup-compatibility/2006">
      <mc:Choice Requires="x14">
        <oleObject progId="Acrobat Document" dvAspect="DVASPECT_ICON" shapeId="52230" r:id="rId14">
          <objectPr defaultSize="0" r:id="rId15">
            <anchor moveWithCells="1">
              <from>
                <xdr:col>1</xdr:col>
                <xdr:colOff>1085850</xdr:colOff>
                <xdr:row>5</xdr:row>
                <xdr:rowOff>85725</xdr:rowOff>
              </from>
              <to>
                <xdr:col>1</xdr:col>
                <xdr:colOff>1990725</xdr:colOff>
                <xdr:row>9</xdr:row>
                <xdr:rowOff>123825</xdr:rowOff>
              </to>
            </anchor>
          </objectPr>
        </oleObject>
      </mc:Choice>
      <mc:Fallback>
        <oleObject progId="Acrobat Document" dvAspect="DVASPECT_ICON" shapeId="52230" r:id="rId14"/>
      </mc:Fallback>
    </mc:AlternateContent>
    <mc:AlternateContent xmlns:mc="http://schemas.openxmlformats.org/markup-compatibility/2006">
      <mc:Choice Requires="x14">
        <oleObject progId="Acrobat Document" dvAspect="DVASPECT_ICON" shapeId="52231" r:id="rId16">
          <objectPr defaultSize="0" r:id="rId17">
            <anchor moveWithCells="1">
              <from>
                <xdr:col>1</xdr:col>
                <xdr:colOff>2085975</xdr:colOff>
                <xdr:row>5</xdr:row>
                <xdr:rowOff>85725</xdr:rowOff>
              </from>
              <to>
                <xdr:col>1</xdr:col>
                <xdr:colOff>3000375</xdr:colOff>
                <xdr:row>9</xdr:row>
                <xdr:rowOff>114300</xdr:rowOff>
              </to>
            </anchor>
          </objectPr>
        </oleObject>
      </mc:Choice>
      <mc:Fallback>
        <oleObject progId="Acrobat Document" dvAspect="DVASPECT_ICON" shapeId="52231" r:id="rId16"/>
      </mc:Fallback>
    </mc:AlternateContent>
    <mc:AlternateContent xmlns:mc="http://schemas.openxmlformats.org/markup-compatibility/2006">
      <mc:Choice Requires="x14">
        <oleObject progId="Acrobat Document" dvAspect="DVASPECT_ICON" shapeId="52232" r:id="rId18">
          <objectPr defaultSize="0" r:id="rId19">
            <anchor moveWithCells="1">
              <from>
                <xdr:col>1</xdr:col>
                <xdr:colOff>3095625</xdr:colOff>
                <xdr:row>5</xdr:row>
                <xdr:rowOff>114300</xdr:rowOff>
              </from>
              <to>
                <xdr:col>2</xdr:col>
                <xdr:colOff>19050</xdr:colOff>
                <xdr:row>9</xdr:row>
                <xdr:rowOff>142875</xdr:rowOff>
              </to>
            </anchor>
          </objectPr>
        </oleObject>
      </mc:Choice>
      <mc:Fallback>
        <oleObject progId="Acrobat Document" dvAspect="DVASPECT_ICON" shapeId="52232"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0" sqref="A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1980</v>
      </c>
      <c r="B2" s="2363"/>
      <c r="C2" s="2363"/>
      <c r="D2" s="2363"/>
      <c r="E2" s="2363"/>
      <c r="F2" s="2364"/>
      <c r="G2" s="1072"/>
      <c r="H2" s="1072"/>
    </row>
    <row r="3" spans="1:8" ht="57" customHeight="1" x14ac:dyDescent="0.2">
      <c r="A3" s="2365" t="s">
        <v>1686</v>
      </c>
      <c r="B3" s="2366"/>
      <c r="C3" s="2366"/>
      <c r="D3" s="2366"/>
      <c r="E3" s="2366"/>
      <c r="F3" s="2367"/>
      <c r="G3" s="1072"/>
      <c r="H3" s="1072"/>
    </row>
    <row r="4" spans="1:8" ht="14.25" customHeight="1" x14ac:dyDescent="0.2">
      <c r="A4" s="2371" t="s">
        <v>1981</v>
      </c>
      <c r="B4" s="2372"/>
      <c r="C4" s="2372"/>
      <c r="D4" s="2372"/>
      <c r="E4" s="2372"/>
      <c r="F4" s="2373"/>
      <c r="G4" s="1072"/>
      <c r="H4" s="1072"/>
    </row>
    <row r="5" spans="1:8" ht="14.25" customHeight="1" x14ac:dyDescent="0.2">
      <c r="A5" s="2374" t="s">
        <v>1977</v>
      </c>
      <c r="B5" s="2375"/>
      <c r="C5" s="2375"/>
      <c r="D5" s="2375"/>
      <c r="E5" s="2375"/>
      <c r="F5" s="2376"/>
      <c r="G5" s="1072"/>
      <c r="H5" s="1072"/>
    </row>
    <row r="6" spans="1:8" s="1073" customFormat="1" ht="41.25" customHeight="1" x14ac:dyDescent="0.2">
      <c r="A6" s="2368" t="s">
        <v>1691</v>
      </c>
      <c r="B6" s="2369"/>
      <c r="C6" s="2369"/>
      <c r="D6" s="2369"/>
      <c r="E6" s="2369"/>
      <c r="F6" s="2370"/>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8">
        <f>'Acct Summary 7-8'!C8</f>
        <v>14714236</v>
      </c>
      <c r="C8" s="1808">
        <f>'Acct Summary 7-8'!D8</f>
        <v>2296460</v>
      </c>
      <c r="D8" s="1808">
        <f>'Acct Summary 7-8'!F8</f>
        <v>1346366</v>
      </c>
      <c r="E8" s="1808">
        <f>'Acct Summary 7-8'!I8</f>
        <v>236970</v>
      </c>
      <c r="F8" s="1808">
        <f>SUM(B8:E8)</f>
        <v>18594032</v>
      </c>
    </row>
    <row r="9" spans="1:8" s="1077" customFormat="1" ht="14.25" customHeight="1" thickBot="1" x14ac:dyDescent="0.25">
      <c r="A9" s="1076" t="s">
        <v>1369</v>
      </c>
      <c r="B9" s="1809">
        <f>'Acct Summary 7-8'!C17</f>
        <v>15647948</v>
      </c>
      <c r="C9" s="1809">
        <f>'Acct Summary 7-8'!D17</f>
        <v>1712309</v>
      </c>
      <c r="D9" s="1809">
        <f>'Acct Summary 7-8'!F17</f>
        <v>940957</v>
      </c>
      <c r="E9" s="1808"/>
      <c r="F9" s="1808">
        <f>SUM(B9:E9)</f>
        <v>18301214</v>
      </c>
    </row>
    <row r="10" spans="1:8" s="1077" customFormat="1" ht="14.25" thickTop="1" thickBot="1" x14ac:dyDescent="0.25">
      <c r="A10" s="1078" t="s">
        <v>1370</v>
      </c>
      <c r="B10" s="1810">
        <f>(B8-B9)</f>
        <v>-933712</v>
      </c>
      <c r="C10" s="1810">
        <f>(C8-C9)</f>
        <v>584151</v>
      </c>
      <c r="D10" s="1810">
        <f>(D8-D9)</f>
        <v>405409</v>
      </c>
      <c r="E10" s="1809">
        <f>(E8-E9)</f>
        <v>236970</v>
      </c>
      <c r="F10" s="1811">
        <f>SUM(F8-F9)</f>
        <v>292818</v>
      </c>
    </row>
    <row r="11" spans="1:8" s="1077" customFormat="1" ht="14.25" thickTop="1" thickBot="1" x14ac:dyDescent="0.25">
      <c r="A11" s="1079" t="s">
        <v>1978</v>
      </c>
      <c r="B11" s="1812">
        <f>'Acct Summary 7-8'!C81</f>
        <v>11269025</v>
      </c>
      <c r="C11" s="1812">
        <f>'Acct Summary 7-8'!D81</f>
        <v>4283324</v>
      </c>
      <c r="D11" s="1812">
        <f>'Acct Summary 7-8'!F81</f>
        <v>3505920</v>
      </c>
      <c r="E11" s="1812">
        <f>'Acct Summary 7-8'!I81</f>
        <v>1989790</v>
      </c>
      <c r="F11" s="1813">
        <f>SUM(B11:E11)</f>
        <v>21048059</v>
      </c>
    </row>
    <row r="12" spans="1:8" ht="16.5" customHeight="1" thickTop="1" x14ac:dyDescent="0.2">
      <c r="A12" s="1080"/>
      <c r="B12" s="1081"/>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2"/>
      <c r="B13" s="1083"/>
      <c r="C13" s="2356"/>
      <c r="D13" s="2357"/>
      <c r="E13" s="2357"/>
      <c r="F13" s="2358"/>
      <c r="H13" s="1072"/>
    </row>
    <row r="14" spans="1:8" ht="19.5" customHeight="1" x14ac:dyDescent="0.2">
      <c r="A14" s="1082"/>
      <c r="B14" s="1083"/>
      <c r="C14" s="2356"/>
      <c r="D14" s="2357"/>
      <c r="E14" s="2357"/>
      <c r="F14" s="2358"/>
      <c r="H14" s="1072"/>
    </row>
    <row r="15" spans="1:8" ht="17.25" customHeight="1" x14ac:dyDescent="0.2">
      <c r="A15" s="1082"/>
      <c r="B15" s="1083"/>
      <c r="C15" s="2359"/>
      <c r="D15" s="2360"/>
      <c r="E15" s="2360"/>
      <c r="F15" s="2361"/>
      <c r="H15" s="1072"/>
    </row>
    <row r="16" spans="1:8" s="310" customFormat="1" ht="51.75" hidden="1" customHeight="1" x14ac:dyDescent="0.2">
      <c r="A16" s="2355" t="s">
        <v>1687</v>
      </c>
      <c r="B16" s="2355"/>
      <c r="C16" s="2355"/>
      <c r="D16" s="2355"/>
      <c r="E16" s="2355"/>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Normal="100" workbookViewId="0">
      <selection activeCell="A20" sqref="A2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89"/>
      <c r="B2" s="1890"/>
      <c r="C2" s="1891"/>
      <c r="D2" s="1892"/>
    </row>
    <row r="3" spans="1:4" ht="36" customHeight="1" x14ac:dyDescent="0.2">
      <c r="A3" s="2377" t="s">
        <v>665</v>
      </c>
      <c r="B3" s="2378"/>
      <c r="C3" s="2378"/>
      <c r="D3" s="2379"/>
    </row>
    <row r="4" spans="1:4" x14ac:dyDescent="0.2">
      <c r="A4" s="1150" t="s">
        <v>1692</v>
      </c>
      <c r="B4" s="1151"/>
      <c r="C4" s="1152"/>
      <c r="D4" s="1153"/>
    </row>
    <row r="5" spans="1:4" ht="21" customHeight="1" x14ac:dyDescent="0.2">
      <c r="A5" s="1146"/>
      <c r="B5" s="1147">
        <v>1</v>
      </c>
      <c r="C5" s="1148" t="s">
        <v>1830</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8" t="s">
        <v>1504</v>
      </c>
      <c r="D7" s="2389"/>
    </row>
    <row r="8" spans="1:4" s="666" customFormat="1" ht="12.75" x14ac:dyDescent="0.2">
      <c r="A8" s="1136"/>
      <c r="B8" s="1091"/>
      <c r="C8" s="1094" t="s">
        <v>1503</v>
      </c>
      <c r="D8" s="1095"/>
    </row>
    <row r="9" spans="1:4" s="666" customFormat="1" ht="14.25" customHeight="1" x14ac:dyDescent="0.2">
      <c r="A9" s="1136"/>
      <c r="B9" s="1091">
        <f>B7+1</f>
        <v>4</v>
      </c>
      <c r="C9" s="1092" t="s">
        <v>1907</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80" t="s">
        <v>1008</v>
      </c>
      <c r="B15" s="2381"/>
      <c r="C15" s="2381"/>
      <c r="D15" s="2382"/>
    </row>
    <row r="16" spans="1:4" s="666" customFormat="1" ht="24" customHeight="1" x14ac:dyDescent="0.2">
      <c r="A16" s="2383" t="s">
        <v>663</v>
      </c>
      <c r="B16" s="2384"/>
      <c r="C16" s="2384"/>
      <c r="D16" s="2385"/>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92" t="s">
        <v>314</v>
      </c>
      <c r="D21" s="2393"/>
    </row>
    <row r="22" spans="1:10" ht="12.75" x14ac:dyDescent="0.2">
      <c r="A22" s="1137"/>
      <c r="B22" s="1138">
        <v>2</v>
      </c>
      <c r="C22" s="2390" t="s">
        <v>1524</v>
      </c>
      <c r="D22" s="2391"/>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94" t="s">
        <v>536</v>
      </c>
      <c r="D43" s="2395"/>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86" t="s">
        <v>784</v>
      </c>
      <c r="D56" s="2387"/>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1908</v>
      </c>
      <c r="D66" s="1123"/>
    </row>
    <row r="67" spans="1:4" x14ac:dyDescent="0.2">
      <c r="A67" s="1117"/>
      <c r="B67" s="1138"/>
      <c r="C67" s="1145" t="s">
        <v>1021</v>
      </c>
      <c r="D67" s="1123"/>
    </row>
    <row r="68" spans="1:4" x14ac:dyDescent="0.2">
      <c r="A68" s="1098"/>
      <c r="B68" s="1108"/>
      <c r="C68" s="1100" t="s">
        <v>1909</v>
      </c>
      <c r="D68" s="1122" t="str">
        <f>IF('Short-Term Long-Term Debt 24'!F49=SUM(,'Acct Summary 7-8'!C33:K33),"OK","ERROR!")</f>
        <v>OK</v>
      </c>
    </row>
    <row r="69" spans="1:4" x14ac:dyDescent="0.2">
      <c r="A69" s="1098"/>
      <c r="B69" s="1108"/>
      <c r="C69" s="1100" t="s">
        <v>1910</v>
      </c>
      <c r="D69" s="1122" t="str">
        <f>IF('Expenditures 15-22'!H170&lt;&gt;'Short-Term Long-Term Debt 24'!H49,"ERROR!","OK")</f>
        <v>ERROR!</v>
      </c>
    </row>
    <row r="70" spans="1:4" x14ac:dyDescent="0.2">
      <c r="A70" s="1096"/>
      <c r="B70" s="1118">
        <f>B66+1</f>
        <v>9</v>
      </c>
      <c r="C70" s="2386" t="s">
        <v>1696</v>
      </c>
      <c r="D70" s="2387"/>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1911</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1912</v>
      </c>
      <c r="D78" s="1122" t="str">
        <f>IF(ISNUMBER('Acct Summary 7-8'!C9),"OK","ENTRY IS REQUIRED!")</f>
        <v>OK</v>
      </c>
    </row>
    <row r="79" spans="1:4" x14ac:dyDescent="0.2">
      <c r="A79" s="1117"/>
      <c r="B79" s="1118">
        <f>B74+1+1</f>
        <v>12</v>
      </c>
      <c r="C79" s="1128" t="s">
        <v>1897</v>
      </c>
      <c r="D79" s="1129" t="str">
        <f>IF(OR(COVER!$B$6="X",'PCTC-OEPP 27-28'!F78&gt;0),"OK","PLEASE ENTER 9 MO ADA.")</f>
        <v>OK</v>
      </c>
    </row>
    <row r="80" spans="1:4" x14ac:dyDescent="0.2">
      <c r="A80" s="1096"/>
      <c r="B80" s="1118">
        <v>13</v>
      </c>
      <c r="C80" s="1128" t="s">
        <v>1913</v>
      </c>
      <c r="D80" s="1129" t="str">
        <f>IF('Contracts Paid in CY 29'!D39&gt;0,"OK","PLEASE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17020015026</v>
      </c>
    </row>
    <row r="3" spans="1:2" x14ac:dyDescent="0.2">
      <c r="A3" t="s">
        <v>956</v>
      </c>
      <c r="B3" s="138" t="str">
        <f>COVER!A15</f>
        <v>DEWITT</v>
      </c>
    </row>
    <row r="4" spans="1:2" x14ac:dyDescent="0.2">
      <c r="A4" t="s">
        <v>1007</v>
      </c>
      <c r="B4" s="138" t="str">
        <f>COVER!A17</f>
        <v>Clinton CUSD 15</v>
      </c>
    </row>
    <row r="5" spans="1:2" x14ac:dyDescent="0.2">
      <c r="A5" t="s">
        <v>704</v>
      </c>
      <c r="B5" s="138" t="str">
        <f>COVER!A38</f>
        <v>CURT NETTLES</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10920393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11371496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102471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102471</v>
      </c>
      <c r="C91" s="2" t="s">
        <v>573</v>
      </c>
      <c r="D91" s="2" t="str">
        <f t="shared" si="0"/>
        <v>Error?</v>
      </c>
    </row>
    <row r="92" spans="1:4" x14ac:dyDescent="0.2">
      <c r="A92" s="5">
        <v>31</v>
      </c>
      <c r="B92" s="138">
        <f>'Assets-Liab 5-6'!C39</f>
        <v>11269025</v>
      </c>
      <c r="D92" s="2" t="str">
        <f t="shared" si="0"/>
        <v>Error?</v>
      </c>
    </row>
    <row r="93" spans="1:4" x14ac:dyDescent="0.2">
      <c r="A93" s="5">
        <v>32</v>
      </c>
      <c r="B93" s="138">
        <f>'Assets-Liab 5-6'!C41</f>
        <v>11371496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1399802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4283324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4283324</v>
      </c>
      <c r="D123" s="2" t="str">
        <f t="shared" si="0"/>
        <v>Error?</v>
      </c>
    </row>
    <row r="124" spans="1:4" x14ac:dyDescent="0.2">
      <c r="A124" s="5">
        <v>63</v>
      </c>
      <c r="B124" s="138">
        <f>'Assets-Liab 5-6'!D41</f>
        <v>4283324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22864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22864</v>
      </c>
      <c r="D140" s="2" t="str">
        <f t="shared" si="1"/>
        <v>Error?</v>
      </c>
    </row>
    <row r="141" spans="1:4" x14ac:dyDescent="0.2">
      <c r="A141" s="5">
        <v>80</v>
      </c>
      <c r="B141" s="138">
        <f>'Assets-Liab 5-6'!E41</f>
        <v>22864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2735132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v>
      </c>
      <c r="D156" s="2" t="str">
        <f t="shared" si="1"/>
        <v>Error?</v>
      </c>
    </row>
    <row r="157" spans="1:4" x14ac:dyDescent="0.2">
      <c r="A157" s="5">
        <v>96</v>
      </c>
      <c r="B157" s="138">
        <f>'Assets-Liab 5-6'!F13</f>
        <v>3505920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3505920</v>
      </c>
      <c r="D170" s="2" t="str">
        <f t="shared" si="1"/>
        <v>Error?</v>
      </c>
    </row>
    <row r="171" spans="1:4" x14ac:dyDescent="0.2">
      <c r="A171" s="5">
        <v>110</v>
      </c>
      <c r="B171" s="138">
        <f>'Assets-Liab 5-6'!F41</f>
        <v>3505920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460937</v>
      </c>
      <c r="D177" s="2" t="str">
        <f t="shared" si="1"/>
        <v>Error?</v>
      </c>
    </row>
    <row r="178" spans="1:4" x14ac:dyDescent="0.2">
      <c r="A178" s="10">
        <v>117</v>
      </c>
      <c r="D178" s="2" t="str">
        <f t="shared" si="1"/>
        <v>OK</v>
      </c>
    </row>
    <row r="179" spans="1:4" x14ac:dyDescent="0.2">
      <c r="A179" s="5">
        <v>118</v>
      </c>
      <c r="B179" s="138">
        <f>'Assets-Liab 5-6'!G12</f>
        <v>4897</v>
      </c>
      <c r="D179" s="2" t="str">
        <f t="shared" si="1"/>
        <v>Error?</v>
      </c>
    </row>
    <row r="180" spans="1:4" x14ac:dyDescent="0.2">
      <c r="A180" s="5">
        <v>119</v>
      </c>
      <c r="B180" s="138">
        <f>'Assets-Liab 5-6'!G13</f>
        <v>1207372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1207372</v>
      </c>
      <c r="D189" s="2" t="str">
        <f t="shared" si="1"/>
        <v>Error?</v>
      </c>
    </row>
    <row r="190" spans="1:4" x14ac:dyDescent="0.2">
      <c r="A190" s="5">
        <v>129</v>
      </c>
      <c r="B190" s="138">
        <f>'Assets-Liab 5-6'!G41</f>
        <v>1207372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908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908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536629</v>
      </c>
      <c r="D273" s="2" t="str">
        <f t="shared" si="3"/>
        <v>Error?</v>
      </c>
    </row>
    <row r="274" spans="1:4" x14ac:dyDescent="0.2">
      <c r="A274" s="5">
        <v>213</v>
      </c>
      <c r="B274" s="138">
        <f>'Assets-Liab 5-6'!M17</f>
        <v>55553827</v>
      </c>
      <c r="D274" s="2" t="str">
        <f t="shared" si="3"/>
        <v>Error?</v>
      </c>
    </row>
    <row r="275" spans="1:4" x14ac:dyDescent="0.2">
      <c r="A275" s="5">
        <v>214</v>
      </c>
      <c r="B275" s="138">
        <f>'Assets-Liab 5-6'!M18</f>
        <v>3302203</v>
      </c>
      <c r="D275" s="2" t="str">
        <f t="shared" si="3"/>
        <v>Error?</v>
      </c>
    </row>
    <row r="276" spans="1:4" x14ac:dyDescent="0.2">
      <c r="A276" s="5">
        <v>215</v>
      </c>
      <c r="B276" s="138">
        <f>'Assets-Liab 5-6'!M19</f>
        <v>6789567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66182226</v>
      </c>
      <c r="C279" s="2" t="s">
        <v>573</v>
      </c>
      <c r="D279" s="2" t="str">
        <f t="shared" si="3"/>
        <v>Error?</v>
      </c>
    </row>
    <row r="280" spans="1:4" x14ac:dyDescent="0.2">
      <c r="A280" s="5">
        <v>219</v>
      </c>
      <c r="B280" s="138">
        <f>'Assets-Liab 5-6'!M40</f>
        <v>66182226</v>
      </c>
      <c r="D280" s="2" t="str">
        <f t="shared" si="3"/>
        <v>Error?</v>
      </c>
    </row>
    <row r="281" spans="1:4" x14ac:dyDescent="0.2">
      <c r="A281" s="5">
        <v>220</v>
      </c>
      <c r="B281" s="138">
        <f>'Assets-Liab 5-6'!M41</f>
        <v>66182226</v>
      </c>
      <c r="C281" s="2" t="s">
        <v>573</v>
      </c>
      <c r="D281" s="2" t="str">
        <f t="shared" si="3"/>
        <v>Error?</v>
      </c>
    </row>
    <row r="282" spans="1:4" x14ac:dyDescent="0.2">
      <c r="A282" s="5">
        <v>221</v>
      </c>
      <c r="B282" s="138">
        <f>'Assets-Liab 5-6'!N21</f>
        <v>22864</v>
      </c>
      <c r="D282" s="2" t="str">
        <f t="shared" si="3"/>
        <v>Error?</v>
      </c>
    </row>
    <row r="283" spans="1:4" x14ac:dyDescent="0.2">
      <c r="A283" s="5">
        <v>222</v>
      </c>
      <c r="B283" s="138">
        <f>'Assets-Liab 5-6'!N22</f>
        <v>14179708</v>
      </c>
      <c r="D283" s="2" t="str">
        <f t="shared" si="3"/>
        <v>Error?</v>
      </c>
    </row>
    <row r="284" spans="1:4" x14ac:dyDescent="0.2">
      <c r="A284" s="5">
        <v>223</v>
      </c>
      <c r="B284" s="138">
        <f>'Assets-Liab 5-6'!N23</f>
        <v>14202572</v>
      </c>
      <c r="C284" s="2" t="s">
        <v>573</v>
      </c>
      <c r="D284" s="2" t="str">
        <f t="shared" si="3"/>
        <v>Error?</v>
      </c>
    </row>
    <row r="285" spans="1:4" x14ac:dyDescent="0.2">
      <c r="A285" s="5">
        <v>224</v>
      </c>
      <c r="B285" s="138">
        <f>'Assets-Liab 5-6'!N36</f>
        <v>14202572</v>
      </c>
      <c r="D285" s="2" t="str">
        <f t="shared" si="3"/>
        <v>Error?</v>
      </c>
    </row>
    <row r="286" spans="1:4" x14ac:dyDescent="0.2">
      <c r="A286" s="10">
        <v>225</v>
      </c>
      <c r="D286" s="2" t="str">
        <f t="shared" si="3"/>
        <v>OK</v>
      </c>
    </row>
    <row r="287" spans="1:4" x14ac:dyDescent="0.2">
      <c r="A287" s="5">
        <v>226</v>
      </c>
      <c r="B287" s="138">
        <f>'Assets-Liab 5-6'!N37</f>
        <v>14202572</v>
      </c>
      <c r="C287" s="2" t="s">
        <v>573</v>
      </c>
      <c r="D287" s="2" t="str">
        <f t="shared" si="3"/>
        <v>Error?</v>
      </c>
    </row>
    <row r="288" spans="1:4" x14ac:dyDescent="0.2">
      <c r="A288" s="5">
        <v>227</v>
      </c>
      <c r="B288" s="138">
        <f>'Assets-Liab 5-6'!N41</f>
        <v>14202572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5580109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264052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8658832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208962</v>
      </c>
      <c r="D722" s="2" t="str">
        <f t="shared" si="10"/>
        <v>Error?</v>
      </c>
    </row>
    <row r="723" spans="1:4" x14ac:dyDescent="0.2">
      <c r="A723" s="5">
        <v>662</v>
      </c>
      <c r="B723" s="138">
        <f>'Expenditures 15-22'!C38</f>
        <v>81092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157047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447101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251802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251802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181824</v>
      </c>
      <c r="D733" s="2" t="str">
        <f t="shared" si="10"/>
        <v>Error?</v>
      </c>
    </row>
    <row r="734" spans="1:4" x14ac:dyDescent="0.2">
      <c r="A734" s="5">
        <v>673</v>
      </c>
      <c r="B734" s="138">
        <f>'Expenditures 15-22'!C53</f>
        <v>181824</v>
      </c>
      <c r="C734" s="2" t="s">
        <v>573</v>
      </c>
      <c r="D734" s="2" t="str">
        <f t="shared" si="10"/>
        <v>Error?</v>
      </c>
    </row>
    <row r="735" spans="1:4" x14ac:dyDescent="0.2">
      <c r="A735" s="5">
        <v>674</v>
      </c>
      <c r="B735" s="138">
        <f>'Expenditures 15-22'!C55</f>
        <v>687633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687633</v>
      </c>
      <c r="C737" s="2" t="s">
        <v>573</v>
      </c>
      <c r="D737" s="2" t="str">
        <f t="shared" si="10"/>
        <v>Error?</v>
      </c>
    </row>
    <row r="738" spans="1:4" x14ac:dyDescent="0.2">
      <c r="A738" s="5">
        <v>677</v>
      </c>
      <c r="B738" s="138">
        <f>'Expenditures 15-22'!C59</f>
        <v>76000</v>
      </c>
      <c r="D738" s="2" t="str">
        <f t="shared" si="10"/>
        <v>Error?</v>
      </c>
    </row>
    <row r="739" spans="1:4" x14ac:dyDescent="0.2">
      <c r="A739" s="5">
        <v>678</v>
      </c>
      <c r="B739" s="138">
        <f>'Expenditures 15-22'!C60</f>
        <v>140238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277653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493891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2062251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10721083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791170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9435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1395626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36301</v>
      </c>
      <c r="D780" s="2" t="str">
        <f t="shared" si="11"/>
        <v>Error?</v>
      </c>
    </row>
    <row r="781" spans="1:4" x14ac:dyDescent="0.2">
      <c r="A781" s="5">
        <v>720</v>
      </c>
      <c r="B781" s="138">
        <f>'Expenditures 15-22'!D38</f>
        <v>7498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23210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67009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43737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43737</v>
      </c>
      <c r="C789" s="2" t="s">
        <v>573</v>
      </c>
      <c r="D789" s="2" t="str">
        <f t="shared" si="11"/>
        <v>Error?</v>
      </c>
    </row>
    <row r="790" spans="1:4" x14ac:dyDescent="0.2">
      <c r="A790" s="5">
        <v>729</v>
      </c>
      <c r="B790" s="138">
        <f>'Expenditures 15-22'!D49</f>
        <v>31100</v>
      </c>
      <c r="D790" s="2" t="str">
        <f t="shared" si="11"/>
        <v>Error?</v>
      </c>
    </row>
    <row r="791" spans="1:4" x14ac:dyDescent="0.2">
      <c r="A791" s="5">
        <v>730</v>
      </c>
      <c r="B791" s="138">
        <f>'Expenditures 15-22'!D50</f>
        <v>38567</v>
      </c>
      <c r="D791" s="2" t="str">
        <f t="shared" si="11"/>
        <v>Error?</v>
      </c>
    </row>
    <row r="792" spans="1:4" x14ac:dyDescent="0.2">
      <c r="A792" s="5">
        <v>731</v>
      </c>
      <c r="B792" s="138">
        <f>'Expenditures 15-22'!D53</f>
        <v>69667</v>
      </c>
      <c r="C792" s="2" t="s">
        <v>573</v>
      </c>
      <c r="D792" s="2" t="str">
        <f t="shared" si="11"/>
        <v>Error?</v>
      </c>
    </row>
    <row r="793" spans="1:4" x14ac:dyDescent="0.2">
      <c r="A793" s="5">
        <v>732</v>
      </c>
      <c r="B793" s="138">
        <f>'Expenditures 15-22'!D55</f>
        <v>94553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94553</v>
      </c>
      <c r="C795" s="2" t="s">
        <v>573</v>
      </c>
      <c r="D795" s="2" t="str">
        <f t="shared" si="11"/>
        <v>Error?</v>
      </c>
    </row>
    <row r="796" spans="1:4" x14ac:dyDescent="0.2">
      <c r="A796" s="5">
        <v>735</v>
      </c>
      <c r="B796" s="138">
        <f>'Expenditures 15-22'!D59</f>
        <v>6437</v>
      </c>
      <c r="D796" s="2" t="str">
        <f t="shared" si="11"/>
        <v>Error?</v>
      </c>
    </row>
    <row r="797" spans="1:4" x14ac:dyDescent="0.2">
      <c r="A797" s="5">
        <v>736</v>
      </c>
      <c r="B797" s="138">
        <f>'Expenditures 15-22'!D60</f>
        <v>17730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47113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71280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27179</v>
      </c>
      <c r="D812" s="2" t="str">
        <f t="shared" si="11"/>
        <v>Error?</v>
      </c>
    </row>
    <row r="813" spans="1:4" x14ac:dyDescent="0.2">
      <c r="A813" s="5">
        <v>752</v>
      </c>
      <c r="B813" s="138">
        <f>'Expenditures 15-22'!D74</f>
        <v>373425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1769051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130799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34983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167639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83</v>
      </c>
      <c r="D838" s="2" t="str">
        <f t="shared" si="12"/>
        <v>Error?</v>
      </c>
    </row>
    <row r="839" spans="1:4" x14ac:dyDescent="0.2">
      <c r="A839" s="5">
        <v>778</v>
      </c>
      <c r="B839" s="138">
        <f>'Expenditures 15-22'!E38</f>
        <v>1128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1296</v>
      </c>
      <c r="C843" s="2" t="s">
        <v>573</v>
      </c>
      <c r="D843" s="2" t="str">
        <f t="shared" si="12"/>
        <v>Error?</v>
      </c>
    </row>
    <row r="844" spans="1:4" x14ac:dyDescent="0.2">
      <c r="A844" s="5">
        <v>783</v>
      </c>
      <c r="B844" s="138">
        <f>'Expenditures 15-22'!E44</f>
        <v>35507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15377</v>
      </c>
      <c r="D846" s="2" t="str">
        <f t="shared" si="12"/>
        <v>Error?</v>
      </c>
    </row>
    <row r="847" spans="1:4" x14ac:dyDescent="0.2">
      <c r="A847" s="5">
        <v>786</v>
      </c>
      <c r="B847" s="138">
        <f>'Expenditures 15-22'!E47</f>
        <v>50884</v>
      </c>
      <c r="C847" s="2" t="s">
        <v>573</v>
      </c>
      <c r="D847" s="2" t="str">
        <f t="shared" si="12"/>
        <v>Error?</v>
      </c>
    </row>
    <row r="848" spans="1:4" x14ac:dyDescent="0.2">
      <c r="A848" s="5">
        <v>787</v>
      </c>
      <c r="B848" s="138">
        <f>'Expenditures 15-22'!E49</f>
        <v>55536</v>
      </c>
      <c r="D848" s="2" t="str">
        <f t="shared" si="12"/>
        <v>Error?</v>
      </c>
    </row>
    <row r="849" spans="1:4" x14ac:dyDescent="0.2">
      <c r="A849" s="5">
        <v>788</v>
      </c>
      <c r="B849" s="138">
        <f>'Expenditures 15-22'!E50</f>
        <v>8400</v>
      </c>
      <c r="D849" s="2" t="str">
        <f t="shared" si="12"/>
        <v>Error?</v>
      </c>
    </row>
    <row r="850" spans="1:4" x14ac:dyDescent="0.2">
      <c r="A850" s="5">
        <v>789</v>
      </c>
      <c r="B850" s="138">
        <f>'Expenditures 15-22'!E53</f>
        <v>63936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53708</v>
      </c>
      <c r="D855" s="2" t="str">
        <f t="shared" si="12"/>
        <v>Error?</v>
      </c>
    </row>
    <row r="856" spans="1:4" x14ac:dyDescent="0.2">
      <c r="A856" s="5">
        <v>795</v>
      </c>
      <c r="B856" s="138">
        <f>'Expenditures 15-22'!E61</f>
        <v>100197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157299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13726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13726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287141</v>
      </c>
      <c r="C871" s="2" t="s">
        <v>573</v>
      </c>
      <c r="D871" s="2" t="str">
        <f t="shared" si="12"/>
        <v>Error?</v>
      </c>
    </row>
    <row r="872" spans="1:4" x14ac:dyDescent="0.2">
      <c r="A872" s="5">
        <v>811</v>
      </c>
      <c r="B872" s="138">
        <f>'Expenditures 15-22'!E75</f>
        <v>322</v>
      </c>
      <c r="D872" s="2" t="str">
        <f t="shared" si="12"/>
        <v>Error?</v>
      </c>
    </row>
    <row r="873" spans="1:4" x14ac:dyDescent="0.2">
      <c r="A873" s="5">
        <v>812</v>
      </c>
      <c r="B873" s="138">
        <f>'Expenditures 15-22'!E114</f>
        <v>949621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394552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5396</v>
      </c>
      <c r="D891" s="2" t="str">
        <f t="shared" si="12"/>
        <v>Error?</v>
      </c>
    </row>
    <row r="892" spans="1:4" x14ac:dyDescent="0.2">
      <c r="A892" s="5">
        <v>831</v>
      </c>
      <c r="B892" s="138">
        <f>'Expenditures 15-22'!F14</f>
        <v>76103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492675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507</v>
      </c>
      <c r="D896" s="2" t="str">
        <f t="shared" si="13"/>
        <v>Error?</v>
      </c>
    </row>
    <row r="897" spans="1:4" x14ac:dyDescent="0.2">
      <c r="A897" s="5">
        <v>836</v>
      </c>
      <c r="B897" s="138">
        <f>'Expenditures 15-22'!F38</f>
        <v>2722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487</v>
      </c>
      <c r="D899" s="2" t="str">
        <f t="shared" si="13"/>
        <v>Error?</v>
      </c>
    </row>
    <row r="900" spans="1:4" x14ac:dyDescent="0.2">
      <c r="A900" s="5">
        <v>839</v>
      </c>
      <c r="B900" s="138">
        <f>'Expenditures 15-22'!F41</f>
        <v>6878</v>
      </c>
      <c r="D900" s="2" t="str">
        <f t="shared" si="13"/>
        <v>Error?</v>
      </c>
    </row>
    <row r="901" spans="1:4" x14ac:dyDescent="0.2">
      <c r="A901" s="5">
        <v>840</v>
      </c>
      <c r="B901" s="138">
        <f>'Expenditures 15-22'!F42</f>
        <v>10594</v>
      </c>
      <c r="C901" s="2" t="s">
        <v>573</v>
      </c>
      <c r="D901" s="2" t="str">
        <f t="shared" si="13"/>
        <v>Error?</v>
      </c>
    </row>
    <row r="902" spans="1:4" x14ac:dyDescent="0.2">
      <c r="A902" s="5">
        <v>841</v>
      </c>
      <c r="B902" s="138">
        <f>'Expenditures 15-22'!F44</f>
        <v>13721</v>
      </c>
      <c r="D902" s="2" t="str">
        <f t="shared" si="13"/>
        <v>Error?</v>
      </c>
    </row>
    <row r="903" spans="1:4" x14ac:dyDescent="0.2">
      <c r="A903" s="5">
        <v>842</v>
      </c>
      <c r="B903" s="138">
        <f>'Expenditures 15-22'!F45</f>
        <v>19877</v>
      </c>
      <c r="D903" s="2" t="str">
        <f t="shared" si="13"/>
        <v>Error?</v>
      </c>
    </row>
    <row r="904" spans="1:4" x14ac:dyDescent="0.2">
      <c r="A904" s="5">
        <v>843</v>
      </c>
      <c r="B904" s="138">
        <f>'Expenditures 15-22'!F46</f>
        <v>367</v>
      </c>
      <c r="D904" s="2" t="str">
        <f t="shared" si="13"/>
        <v>Error?</v>
      </c>
    </row>
    <row r="905" spans="1:4" x14ac:dyDescent="0.2">
      <c r="A905" s="5">
        <v>844</v>
      </c>
      <c r="B905" s="138">
        <f>'Expenditures 15-22'!F47</f>
        <v>33965</v>
      </c>
      <c r="C905" s="2" t="s">
        <v>573</v>
      </c>
      <c r="D905" s="2" t="str">
        <f t="shared" si="13"/>
        <v>Error?</v>
      </c>
    </row>
    <row r="906" spans="1:4" x14ac:dyDescent="0.2">
      <c r="A906" s="5">
        <v>845</v>
      </c>
      <c r="B906" s="138">
        <f>'Expenditures 15-22'!F49</f>
        <v>3171</v>
      </c>
      <c r="D906" s="2" t="str">
        <f t="shared" si="13"/>
        <v>Error?</v>
      </c>
    </row>
    <row r="907" spans="1:4" x14ac:dyDescent="0.2">
      <c r="A907" s="5">
        <v>846</v>
      </c>
      <c r="B907" s="138">
        <f>'Expenditures 15-22'!F50</f>
        <v>328</v>
      </c>
      <c r="D907" s="2" t="str">
        <f t="shared" si="13"/>
        <v>Error?</v>
      </c>
    </row>
    <row r="908" spans="1:4" x14ac:dyDescent="0.2">
      <c r="A908" s="5">
        <v>847</v>
      </c>
      <c r="B908" s="138">
        <f>'Expenditures 15-22'!F53</f>
        <v>3499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5922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479586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485508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1811</v>
      </c>
      <c r="D925" s="2" t="str">
        <f t="shared" si="13"/>
        <v>Error?</v>
      </c>
    </row>
    <row r="926" spans="1:4" x14ac:dyDescent="0.2">
      <c r="A926" s="10">
        <v>865</v>
      </c>
      <c r="D926" s="2" t="str">
        <f t="shared" si="13"/>
        <v>OK</v>
      </c>
    </row>
    <row r="927" spans="1:4" x14ac:dyDescent="0.2">
      <c r="A927" s="5">
        <v>866</v>
      </c>
      <c r="B927" s="138">
        <f>'Expenditures 15-22'!F72</f>
        <v>1811</v>
      </c>
      <c r="C927" s="2" t="s">
        <v>573</v>
      </c>
      <c r="D927" s="2" t="str">
        <f t="shared" si="13"/>
        <v>Error?</v>
      </c>
    </row>
    <row r="928" spans="1:4" x14ac:dyDescent="0.2">
      <c r="A928" s="5">
        <v>867</v>
      </c>
      <c r="B928" s="138">
        <f>'Expenditures 15-22'!F73</f>
        <v>351</v>
      </c>
      <c r="D928" s="2" t="str">
        <f t="shared" si="13"/>
        <v>Error?</v>
      </c>
    </row>
    <row r="929" spans="1:4" x14ac:dyDescent="0.2">
      <c r="A929" s="5">
        <v>868</v>
      </c>
      <c r="B929" s="138">
        <f>'Expenditures 15-22'!F74</f>
        <v>535728</v>
      </c>
      <c r="C929" s="2" t="s">
        <v>573</v>
      </c>
      <c r="D929" s="2" t="str">
        <f t="shared" si="13"/>
        <v>Error?</v>
      </c>
    </row>
    <row r="930" spans="1:4" x14ac:dyDescent="0.2">
      <c r="A930" s="5">
        <v>869</v>
      </c>
      <c r="B930" s="138">
        <f>'Expenditures 15-22'!F75</f>
        <v>2777</v>
      </c>
      <c r="D930" s="2" t="str">
        <f t="shared" si="13"/>
        <v>Error?</v>
      </c>
    </row>
    <row r="931" spans="1:4" x14ac:dyDescent="0.2">
      <c r="A931" s="5">
        <v>870</v>
      </c>
      <c r="B931" s="138">
        <f>'Expenditures 15-22'!F114</f>
        <v>1031180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264059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3362</v>
      </c>
      <c r="D949" s="2" t="str">
        <f t="shared" si="13"/>
        <v>Error?</v>
      </c>
    </row>
    <row r="950" spans="1:4" x14ac:dyDescent="0.2">
      <c r="A950" s="5">
        <v>889</v>
      </c>
      <c r="B950" s="138">
        <f>'Expenditures 15-22'!G14</f>
        <v>10351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280629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4228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4228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1024</v>
      </c>
      <c r="D965" s="2" t="str">
        <f t="shared" si="14"/>
        <v>Error?</v>
      </c>
    </row>
    <row r="966" spans="1:4" x14ac:dyDescent="0.2">
      <c r="A966" s="5">
        <v>905</v>
      </c>
      <c r="B966" s="138">
        <f>'Expenditures 15-22'!G53</f>
        <v>1024</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2496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9577</v>
      </c>
      <c r="D973" s="2" t="str">
        <f t="shared" si="14"/>
        <v>Error?</v>
      </c>
    </row>
    <row r="974" spans="1:4" x14ac:dyDescent="0.2">
      <c r="A974" s="5">
        <v>913</v>
      </c>
      <c r="B974" s="138">
        <f>'Expenditures 15-22'!G63</f>
        <v>10657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22730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27982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308611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715556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16705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16705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12916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12916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29621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123225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868402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7161799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8758</v>
      </c>
      <c r="C1105" s="2" t="s">
        <v>573</v>
      </c>
      <c r="D1105" s="2" t="str">
        <f t="shared" si="16"/>
        <v>Error?</v>
      </c>
    </row>
    <row r="1106" spans="1:4" x14ac:dyDescent="0.2">
      <c r="A1106" s="5">
        <v>1045</v>
      </c>
      <c r="B1106" s="138">
        <f>'Expenditures 15-22'!K14</f>
        <v>394924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11710957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245853</v>
      </c>
      <c r="C1110" s="2" t="s">
        <v>573</v>
      </c>
      <c r="D1110" s="2" t="str">
        <f t="shared" si="16"/>
        <v>Error?</v>
      </c>
    </row>
    <row r="1111" spans="1:4" x14ac:dyDescent="0.2">
      <c r="A1111" s="5">
        <v>1050</v>
      </c>
      <c r="B1111" s="138">
        <f>'Expenditures 15-22'!K38</f>
        <v>92440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180829</v>
      </c>
      <c r="C1113" s="2" t="s">
        <v>573</v>
      </c>
      <c r="D1113" s="2" t="str">
        <f t="shared" si="16"/>
        <v>Error?</v>
      </c>
    </row>
    <row r="1114" spans="1:4" x14ac:dyDescent="0.2">
      <c r="A1114" s="5">
        <v>1053</v>
      </c>
      <c r="B1114" s="138">
        <f>'Expenditures 15-22'!K41</f>
        <v>6878</v>
      </c>
      <c r="C1114" s="2" t="s">
        <v>573</v>
      </c>
      <c r="D1114" s="2" t="str">
        <f t="shared" si="16"/>
        <v>Error?</v>
      </c>
    </row>
    <row r="1115" spans="1:4" x14ac:dyDescent="0.2">
      <c r="A1115" s="5">
        <v>1054</v>
      </c>
      <c r="B1115" s="138">
        <f>'Expenditures 15-22'!K42</f>
        <v>526000</v>
      </c>
      <c r="C1115" s="2" t="s">
        <v>573</v>
      </c>
      <c r="D1115" s="2" t="str">
        <f t="shared" si="16"/>
        <v>Error?</v>
      </c>
    </row>
    <row r="1116" spans="1:4" x14ac:dyDescent="0.2">
      <c r="A1116" s="5">
        <v>1055</v>
      </c>
      <c r="B1116" s="138">
        <f>'Expenditures 15-22'!K44</f>
        <v>53456</v>
      </c>
      <c r="C1116" s="2" t="s">
        <v>573</v>
      </c>
      <c r="D1116" s="2" t="str">
        <f t="shared" si="16"/>
        <v>Error?</v>
      </c>
    </row>
    <row r="1117" spans="1:4" x14ac:dyDescent="0.2">
      <c r="A1117" s="5">
        <v>1056</v>
      </c>
      <c r="B1117" s="138">
        <f>'Expenditures 15-22'!K45</f>
        <v>315416</v>
      </c>
      <c r="C1117" s="2" t="s">
        <v>573</v>
      </c>
      <c r="D1117" s="2" t="str">
        <f t="shared" si="16"/>
        <v>Error?</v>
      </c>
    </row>
    <row r="1118" spans="1:4" x14ac:dyDescent="0.2">
      <c r="A1118" s="5">
        <v>1057</v>
      </c>
      <c r="B1118" s="138">
        <f>'Expenditures 15-22'!K46</f>
        <v>15744</v>
      </c>
      <c r="C1118" s="2" t="s">
        <v>573</v>
      </c>
      <c r="D1118" s="2" t="str">
        <f t="shared" si="16"/>
        <v>Error?</v>
      </c>
    </row>
    <row r="1119" spans="1:4" x14ac:dyDescent="0.2">
      <c r="A1119" s="5">
        <v>1058</v>
      </c>
      <c r="B1119" s="138">
        <f>'Expenditures 15-22'!K47</f>
        <v>384616</v>
      </c>
      <c r="C1119" s="2" t="s">
        <v>573</v>
      </c>
      <c r="D1119" s="2" t="str">
        <f t="shared" si="16"/>
        <v>Error?</v>
      </c>
    </row>
    <row r="1120" spans="1:4" x14ac:dyDescent="0.2">
      <c r="A1120" s="5">
        <v>1059</v>
      </c>
      <c r="B1120" s="138">
        <f>'Expenditures 15-22'!K49</f>
        <v>106512</v>
      </c>
      <c r="C1120" s="2" t="s">
        <v>573</v>
      </c>
      <c r="D1120" s="2" t="str">
        <f t="shared" si="16"/>
        <v>Error?</v>
      </c>
    </row>
    <row r="1121" spans="1:4" x14ac:dyDescent="0.2">
      <c r="A1121" s="5">
        <v>1060</v>
      </c>
      <c r="B1121" s="138">
        <f>'Expenditures 15-22'!K50</f>
        <v>230143</v>
      </c>
      <c r="C1121" s="2" t="s">
        <v>573</v>
      </c>
      <c r="D1121" s="2" t="str">
        <f t="shared" si="16"/>
        <v>Error?</v>
      </c>
    </row>
    <row r="1122" spans="1:4" x14ac:dyDescent="0.2">
      <c r="A1122" s="5">
        <v>1061</v>
      </c>
      <c r="B1122" s="138">
        <f>'Expenditures 15-22'!K53</f>
        <v>336655</v>
      </c>
      <c r="C1122" s="2" t="s">
        <v>573</v>
      </c>
      <c r="D1122" s="2" t="str">
        <f t="shared" si="16"/>
        <v>Error?</v>
      </c>
    </row>
    <row r="1123" spans="1:4" x14ac:dyDescent="0.2">
      <c r="A1123" s="5">
        <v>1062</v>
      </c>
      <c r="B1123" s="138">
        <f>'Expenditures 15-22'!K55</f>
        <v>782186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782186</v>
      </c>
      <c r="C1125" s="2" t="s">
        <v>573</v>
      </c>
      <c r="D1125" s="2" t="str">
        <f t="shared" si="16"/>
        <v>Error?</v>
      </c>
    </row>
    <row r="1126" spans="1:4" x14ac:dyDescent="0.2">
      <c r="A1126" s="5">
        <v>1065</v>
      </c>
      <c r="B1126" s="138">
        <f>'Expenditures 15-22'!K59</f>
        <v>82437</v>
      </c>
      <c r="C1126" s="2" t="s">
        <v>573</v>
      </c>
      <c r="D1126" s="2" t="str">
        <f t="shared" si="16"/>
        <v>Error?</v>
      </c>
    </row>
    <row r="1127" spans="1:4" x14ac:dyDescent="0.2">
      <c r="A1127" s="5">
        <v>1066</v>
      </c>
      <c r="B1127" s="138">
        <f>'Expenditures 15-22'!K60</f>
        <v>233010</v>
      </c>
      <c r="C1127" s="2" t="s">
        <v>573</v>
      </c>
      <c r="D1127" s="2" t="str">
        <f t="shared" si="16"/>
        <v>Error?</v>
      </c>
    </row>
    <row r="1128" spans="1:4" x14ac:dyDescent="0.2">
      <c r="A1128" s="5">
        <v>1067</v>
      </c>
      <c r="B1128" s="138">
        <f>'Expenditures 15-22'!K61</f>
        <v>100197</v>
      </c>
      <c r="C1128" s="2" t="s">
        <v>573</v>
      </c>
      <c r="D1128" s="2" t="str">
        <f t="shared" si="16"/>
        <v>Error?</v>
      </c>
    </row>
    <row r="1129" spans="1:4" x14ac:dyDescent="0.2">
      <c r="A1129" s="5">
        <v>1068</v>
      </c>
      <c r="B1129" s="138">
        <f>'Expenditures 15-22'!K62</f>
        <v>9577</v>
      </c>
      <c r="C1129" s="2" t="s">
        <v>573</v>
      </c>
      <c r="D1129" s="2" t="str">
        <f t="shared" si="16"/>
        <v>Error?</v>
      </c>
    </row>
    <row r="1130" spans="1:4" x14ac:dyDescent="0.2">
      <c r="A1130" s="5">
        <v>1069</v>
      </c>
      <c r="B1130" s="138">
        <f>'Expenditures 15-22'!K63</f>
        <v>818403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1243624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13726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1811</v>
      </c>
      <c r="C1139" s="2" t="s">
        <v>573</v>
      </c>
      <c r="D1139" s="2" t="str">
        <f t="shared" si="16"/>
        <v>Error?</v>
      </c>
    </row>
    <row r="1140" spans="1:4" x14ac:dyDescent="0.2">
      <c r="A1140" s="10">
        <v>1079</v>
      </c>
      <c r="D1140" s="2" t="str">
        <f t="shared" si="16"/>
        <v>OK</v>
      </c>
    </row>
    <row r="1141" spans="1:4" x14ac:dyDescent="0.2">
      <c r="A1141" s="5">
        <v>1080</v>
      </c>
      <c r="B1141" s="138">
        <f>'Expenditures 15-22'!K72</f>
        <v>15537</v>
      </c>
      <c r="C1141" s="2" t="s">
        <v>573</v>
      </c>
      <c r="D1141" s="2" t="str">
        <f t="shared" si="16"/>
        <v>Error?</v>
      </c>
    </row>
    <row r="1142" spans="1:4" x14ac:dyDescent="0.2">
      <c r="A1142" s="5">
        <v>1081</v>
      </c>
      <c r="B1142" s="138">
        <f>'Expenditures 15-22'!K73</f>
        <v>27530</v>
      </c>
      <c r="C1142" s="2" t="s">
        <v>573</v>
      </c>
      <c r="D1142" s="2" t="str">
        <f t="shared" si="16"/>
        <v>Error?</v>
      </c>
    </row>
    <row r="1143" spans="1:4" x14ac:dyDescent="0.2">
      <c r="A1143" s="5">
        <v>1082</v>
      </c>
      <c r="B1143" s="138">
        <f>'Expenditures 15-22'!K74</f>
        <v>3316148</v>
      </c>
      <c r="C1143" s="2" t="s">
        <v>573</v>
      </c>
      <c r="D1143" s="2" t="str">
        <f t="shared" si="16"/>
        <v>Error?</v>
      </c>
    </row>
    <row r="1144" spans="1:4" x14ac:dyDescent="0.2">
      <c r="A1144" s="5">
        <v>1083</v>
      </c>
      <c r="B1144" s="138">
        <f>'Expenditures 15-22'!K75</f>
        <v>3099</v>
      </c>
      <c r="C1144" s="2" t="s">
        <v>573</v>
      </c>
      <c r="D1144" s="2" t="str">
        <f t="shared" si="16"/>
        <v>Error?</v>
      </c>
    </row>
    <row r="1145" spans="1:4" x14ac:dyDescent="0.2">
      <c r="A1145" s="5">
        <v>1084</v>
      </c>
      <c r="B1145" s="138">
        <f>'Expenditures 15-22'!K102</f>
        <v>617744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15647948</v>
      </c>
      <c r="C1152" s="2" t="s">
        <v>573</v>
      </c>
      <c r="D1152" s="2" t="str">
        <f t="shared" si="17"/>
        <v>Error?</v>
      </c>
    </row>
    <row r="1153" spans="1:4" x14ac:dyDescent="0.2">
      <c r="A1153" s="5">
        <v>1092</v>
      </c>
      <c r="B1153" s="138">
        <f>'Expenditures 15-22'!K115</f>
        <v>-933712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666092</v>
      </c>
      <c r="D1221" s="2" t="str">
        <f t="shared" si="18"/>
        <v>Error?</v>
      </c>
    </row>
    <row r="1222" spans="1:4" x14ac:dyDescent="0.2">
      <c r="A1222" s="10">
        <v>1161</v>
      </c>
      <c r="D1222" s="2" t="str">
        <f t="shared" si="18"/>
        <v>OK</v>
      </c>
    </row>
    <row r="1223" spans="1:4" x14ac:dyDescent="0.2">
      <c r="A1223" s="5">
        <v>1162</v>
      </c>
      <c r="B1223" s="138">
        <f>'Expenditures 15-22'!C127</f>
        <v>666092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666092</v>
      </c>
      <c r="C1225" s="2" t="s">
        <v>573</v>
      </c>
      <c r="D1225" s="2" t="str">
        <f t="shared" si="18"/>
        <v>Error?</v>
      </c>
    </row>
    <row r="1226" spans="1:4" x14ac:dyDescent="0.2">
      <c r="A1226" s="5">
        <v>1165</v>
      </c>
      <c r="B1226" s="138">
        <f>'Expenditures 15-22'!C151</f>
        <v>666092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128008</v>
      </c>
      <c r="D1229" s="2" t="str">
        <f t="shared" si="18"/>
        <v>Error?</v>
      </c>
    </row>
    <row r="1230" spans="1:4" x14ac:dyDescent="0.2">
      <c r="A1230" s="10">
        <v>1169</v>
      </c>
      <c r="D1230" s="2" t="str">
        <f t="shared" si="18"/>
        <v>OK</v>
      </c>
    </row>
    <row r="1231" spans="1:4" x14ac:dyDescent="0.2">
      <c r="A1231" s="5">
        <v>1170</v>
      </c>
      <c r="B1231" s="138">
        <f>'Expenditures 15-22'!D127</f>
        <v>128008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128008</v>
      </c>
      <c r="C1233" s="2" t="s">
        <v>573</v>
      </c>
      <c r="D1233" s="2" t="str">
        <f t="shared" si="18"/>
        <v>Error?</v>
      </c>
    </row>
    <row r="1234" spans="1:4" x14ac:dyDescent="0.2">
      <c r="A1234" s="5">
        <v>1173</v>
      </c>
      <c r="B1234" s="138">
        <f>'Expenditures 15-22'!D151</f>
        <v>128008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129497</v>
      </c>
      <c r="D1237" s="2" t="str">
        <f t="shared" si="18"/>
        <v>Error?</v>
      </c>
    </row>
    <row r="1238" spans="1:4" x14ac:dyDescent="0.2">
      <c r="A1238" s="10">
        <v>1177</v>
      </c>
      <c r="D1238" s="2" t="str">
        <f t="shared" si="18"/>
        <v>OK</v>
      </c>
    </row>
    <row r="1239" spans="1:4" x14ac:dyDescent="0.2">
      <c r="A1239" s="5">
        <v>1178</v>
      </c>
      <c r="B1239" s="138">
        <f>'Expenditures 15-22'!E127</f>
        <v>129497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129497</v>
      </c>
      <c r="C1241" s="2" t="s">
        <v>573</v>
      </c>
      <c r="D1241" s="2" t="str">
        <f t="shared" si="18"/>
        <v>Error?</v>
      </c>
    </row>
    <row r="1242" spans="1:4" x14ac:dyDescent="0.2">
      <c r="A1242" s="5">
        <v>1181</v>
      </c>
      <c r="B1242" s="138">
        <f>'Expenditures 15-22'!E151</f>
        <v>129497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594533</v>
      </c>
      <c r="D1245" s="2" t="str">
        <f t="shared" si="18"/>
        <v>Error?</v>
      </c>
    </row>
    <row r="1246" spans="1:4" x14ac:dyDescent="0.2">
      <c r="A1246" s="10">
        <v>1185</v>
      </c>
      <c r="D1246" s="2" t="str">
        <f t="shared" si="18"/>
        <v>OK</v>
      </c>
    </row>
    <row r="1247" spans="1:4" x14ac:dyDescent="0.2">
      <c r="A1247" s="5">
        <v>1186</v>
      </c>
      <c r="B1247" s="138">
        <f>'Expenditures 15-22'!F127</f>
        <v>594533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594533</v>
      </c>
      <c r="C1249" s="2" t="s">
        <v>573</v>
      </c>
      <c r="D1249" s="2" t="str">
        <f t="shared" si="18"/>
        <v>Error?</v>
      </c>
    </row>
    <row r="1250" spans="1:4" x14ac:dyDescent="0.2">
      <c r="A1250" s="5">
        <v>1189</v>
      </c>
      <c r="B1250" s="138">
        <f>'Expenditures 15-22'!F151</f>
        <v>594533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194164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194164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194164</v>
      </c>
      <c r="C1258" s="2" t="s">
        <v>573</v>
      </c>
      <c r="D1258" s="2" t="str">
        <f t="shared" si="18"/>
        <v>Error?</v>
      </c>
    </row>
    <row r="1259" spans="1:4" x14ac:dyDescent="0.2">
      <c r="A1259" s="5">
        <v>1198</v>
      </c>
      <c r="B1259" s="138">
        <f>'Expenditures 15-22'!G151</f>
        <v>194164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15</v>
      </c>
      <c r="D1262" s="2" t="str">
        <f t="shared" si="18"/>
        <v>Error?</v>
      </c>
    </row>
    <row r="1263" spans="1:4" x14ac:dyDescent="0.2">
      <c r="A1263" s="10">
        <v>1202</v>
      </c>
      <c r="D1263" s="2" t="str">
        <f t="shared" si="18"/>
        <v>OK</v>
      </c>
    </row>
    <row r="1264" spans="1:4" x14ac:dyDescent="0.2">
      <c r="A1264" s="5">
        <v>1203</v>
      </c>
      <c r="B1264" s="138">
        <f>'Expenditures 15-22'!H127</f>
        <v>15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1712309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1712309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1712309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1712309</v>
      </c>
      <c r="C1288" s="2" t="s">
        <v>573</v>
      </c>
      <c r="D1288" s="2" t="str">
        <f t="shared" si="19"/>
        <v>Error?</v>
      </c>
    </row>
    <row r="1289" spans="1:4" x14ac:dyDescent="0.2">
      <c r="A1289" s="5">
        <v>1228</v>
      </c>
      <c r="B1289" s="138">
        <f>'Expenditures 15-22'!K152</f>
        <v>584151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1400</v>
      </c>
      <c r="D1307" s="2" t="str">
        <f t="shared" si="19"/>
        <v>Error?</v>
      </c>
    </row>
    <row r="1308" spans="1:4" x14ac:dyDescent="0.2">
      <c r="A1308" s="5">
        <v>1247</v>
      </c>
      <c r="B1308" s="138">
        <f>'Expenditures 15-22'!E172</f>
        <v>1400</v>
      </c>
      <c r="C1308" s="2" t="s">
        <v>573</v>
      </c>
      <c r="D1308" s="2" t="str">
        <f t="shared" si="19"/>
        <v>Error?</v>
      </c>
    </row>
    <row r="1309" spans="1:4" x14ac:dyDescent="0.2">
      <c r="A1309" s="5">
        <v>1248</v>
      </c>
      <c r="B1309" s="138">
        <f>'Expenditures 15-22'!E174</f>
        <v>1400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496758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1827644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2324402</v>
      </c>
      <c r="C1317" s="2" t="s">
        <v>573</v>
      </c>
      <c r="D1317" s="2" t="str">
        <f t="shared" si="19"/>
        <v>Error?</v>
      </c>
    </row>
    <row r="1318" spans="1:4" x14ac:dyDescent="0.2">
      <c r="A1318" s="5">
        <v>1257</v>
      </c>
      <c r="B1318" s="138">
        <f>'Expenditures 15-22'!H174</f>
        <v>2324402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496758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1827644</v>
      </c>
      <c r="C1329" s="2" t="s">
        <v>573</v>
      </c>
      <c r="D1329" s="2" t="str">
        <f t="shared" si="19"/>
        <v>Error?</v>
      </c>
    </row>
    <row r="1330" spans="1:4" x14ac:dyDescent="0.2">
      <c r="A1330" s="5">
        <v>1269</v>
      </c>
      <c r="B1330" s="138">
        <f>'Expenditures 15-22'!K171</f>
        <v>1400</v>
      </c>
      <c r="C1330" s="2" t="s">
        <v>573</v>
      </c>
      <c r="D1330" s="2" t="str">
        <f t="shared" si="19"/>
        <v>Error?</v>
      </c>
    </row>
    <row r="1331" spans="1:4" x14ac:dyDescent="0.2">
      <c r="A1331" s="5">
        <v>1270</v>
      </c>
      <c r="B1331" s="138">
        <f>'Expenditures 15-22'!K172</f>
        <v>2325802</v>
      </c>
      <c r="C1331" s="2" t="s">
        <v>573</v>
      </c>
      <c r="D1331" s="2" t="str">
        <f t="shared" si="19"/>
        <v>Error?</v>
      </c>
    </row>
    <row r="1332" spans="1:4" x14ac:dyDescent="0.2">
      <c r="A1332" s="5">
        <v>1271</v>
      </c>
      <c r="B1332" s="138">
        <f>'Expenditures 15-22'!K174</f>
        <v>2325802</v>
      </c>
      <c r="C1332" s="2" t="s">
        <v>573</v>
      </c>
      <c r="D1332" s="2" t="str">
        <f t="shared" si="19"/>
        <v>Error?</v>
      </c>
    </row>
    <row r="1333" spans="1:4" x14ac:dyDescent="0.2">
      <c r="A1333" s="5">
        <v>1272</v>
      </c>
      <c r="B1333" s="138">
        <f>'Expenditures 15-22'!K175</f>
        <v>-177358</v>
      </c>
      <c r="C1333" s="2" t="s">
        <v>573</v>
      </c>
      <c r="D1333" s="2" t="str">
        <f t="shared" si="19"/>
        <v>Error?</v>
      </c>
    </row>
    <row r="1334" spans="1:4" x14ac:dyDescent="0.2">
      <c r="A1334" s="10">
        <v>1273</v>
      </c>
      <c r="D1334" s="2" t="str">
        <f t="shared" si="19"/>
        <v>OK</v>
      </c>
    </row>
    <row r="1335" spans="1:4" x14ac:dyDescent="0.2">
      <c r="A1335" s="5">
        <v>1274</v>
      </c>
      <c r="B1335" s="138">
        <f>'Expenditures 15-22'!C182</f>
        <v>669571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669571</v>
      </c>
      <c r="C1339" s="2" t="s">
        <v>573</v>
      </c>
      <c r="D1339" s="2" t="str">
        <f t="shared" si="19"/>
        <v>Error?</v>
      </c>
    </row>
    <row r="1340" spans="1:4" x14ac:dyDescent="0.2">
      <c r="A1340" s="5">
        <v>1279</v>
      </c>
      <c r="B1340" s="138">
        <f>'Expenditures 15-22'!C210</f>
        <v>669571</v>
      </c>
      <c r="C1340" s="2" t="s">
        <v>573</v>
      </c>
      <c r="D1340" s="2" t="str">
        <f t="shared" si="19"/>
        <v>Error?</v>
      </c>
    </row>
    <row r="1341" spans="1:4" x14ac:dyDescent="0.2">
      <c r="A1341" s="5">
        <v>1280</v>
      </c>
      <c r="B1341" s="138">
        <f>'Expenditures 15-22'!D182</f>
        <v>88436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88436</v>
      </c>
      <c r="C1345" s="2" t="s">
        <v>573</v>
      </c>
      <c r="D1345" s="2" t="str">
        <f t="shared" si="20"/>
        <v>Error?</v>
      </c>
    </row>
    <row r="1346" spans="1:4" x14ac:dyDescent="0.2">
      <c r="A1346" s="5">
        <v>1285</v>
      </c>
      <c r="B1346" s="138">
        <f>'Expenditures 15-22'!D210</f>
        <v>88436</v>
      </c>
      <c r="C1346" s="2" t="s">
        <v>573</v>
      </c>
      <c r="D1346" s="2" t="str">
        <f t="shared" si="20"/>
        <v>Error?</v>
      </c>
    </row>
    <row r="1347" spans="1:4" x14ac:dyDescent="0.2">
      <c r="A1347" s="5">
        <v>1286</v>
      </c>
      <c r="B1347" s="138">
        <f>'Expenditures 15-22'!E182</f>
        <v>10168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10168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10168</v>
      </c>
      <c r="C1353" s="2" t="s">
        <v>573</v>
      </c>
      <c r="D1353" s="2" t="str">
        <f t="shared" si="20"/>
        <v>Error?</v>
      </c>
    </row>
    <row r="1354" spans="1:4" x14ac:dyDescent="0.2">
      <c r="A1354" s="5">
        <v>1293</v>
      </c>
      <c r="B1354" s="138">
        <f>'Expenditures 15-22'!F182</f>
        <v>160780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160780</v>
      </c>
      <c r="C1358" s="2" t="s">
        <v>573</v>
      </c>
      <c r="D1358" s="2" t="str">
        <f t="shared" si="20"/>
        <v>Error?</v>
      </c>
    </row>
    <row r="1359" spans="1:4" x14ac:dyDescent="0.2">
      <c r="A1359" s="5">
        <v>1298</v>
      </c>
      <c r="B1359" s="138">
        <f>'Expenditures 15-22'!F210</f>
        <v>160780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2414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2414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9588</v>
      </c>
      <c r="C1375" s="2" t="s">
        <v>573</v>
      </c>
      <c r="D1375" s="2" t="str">
        <f t="shared" si="20"/>
        <v>Error?</v>
      </c>
    </row>
    <row r="1376" spans="1:4" x14ac:dyDescent="0.2">
      <c r="A1376" s="5">
        <v>1315</v>
      </c>
      <c r="B1376" s="138">
        <f>'Expenditures 15-22'!H210</f>
        <v>12002</v>
      </c>
      <c r="C1376" s="2" t="s">
        <v>573</v>
      </c>
      <c r="D1376" s="2" t="str">
        <f t="shared" si="20"/>
        <v>Error?</v>
      </c>
    </row>
    <row r="1377" spans="1:4" x14ac:dyDescent="0.2">
      <c r="A1377" s="5">
        <v>1316</v>
      </c>
      <c r="B1377" s="138">
        <f>'Expenditures 15-22'!K182</f>
        <v>931369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931369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9588</v>
      </c>
      <c r="C1387" s="2" t="s">
        <v>573</v>
      </c>
      <c r="D1387" s="2" t="str">
        <f t="shared" si="20"/>
        <v>Error?</v>
      </c>
    </row>
    <row r="1388" spans="1:4" x14ac:dyDescent="0.2">
      <c r="A1388" s="5">
        <v>1327</v>
      </c>
      <c r="B1388" s="138">
        <f>'Expenditures 15-22'!K210</f>
        <v>940957</v>
      </c>
      <c r="C1388" s="2" t="s">
        <v>573</v>
      </c>
      <c r="D1388" s="2" t="str">
        <f t="shared" si="20"/>
        <v>Error?</v>
      </c>
    </row>
    <row r="1389" spans="1:4" x14ac:dyDescent="0.2">
      <c r="A1389" s="5">
        <v>1328</v>
      </c>
      <c r="B1389" s="138">
        <f>'Expenditures 15-22'!K211</f>
        <v>405409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12016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242973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5305</v>
      </c>
      <c r="D1412" s="2" t="str">
        <f t="shared" si="21"/>
        <v>Error?</v>
      </c>
    </row>
    <row r="1413" spans="1:4" x14ac:dyDescent="0.2">
      <c r="A1413" s="5">
        <v>1352</v>
      </c>
      <c r="B1413" s="138">
        <f>'Expenditures 15-22'!D234</f>
        <v>9427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2274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17006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21253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21253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8483</v>
      </c>
      <c r="D1423" s="2" t="str">
        <f t="shared" si="21"/>
        <v>Error?</v>
      </c>
    </row>
    <row r="1424" spans="1:4" x14ac:dyDescent="0.2">
      <c r="A1424" s="5">
        <v>1363</v>
      </c>
      <c r="B1424" s="138">
        <f>'Expenditures 15-22'!D257</f>
        <v>41049</v>
      </c>
      <c r="C1424" s="2" t="s">
        <v>573</v>
      </c>
      <c r="D1424" s="2" t="str">
        <f t="shared" si="21"/>
        <v>Error?</v>
      </c>
    </row>
    <row r="1425" spans="1:4" x14ac:dyDescent="0.2">
      <c r="A1425" s="5">
        <v>1364</v>
      </c>
      <c r="B1425" s="138">
        <f>'Expenditures 15-22'!D259</f>
        <v>31411</v>
      </c>
      <c r="D1425" s="2" t="str">
        <f t="shared" si="21"/>
        <v>Error?</v>
      </c>
    </row>
    <row r="1426" spans="1:4" x14ac:dyDescent="0.2">
      <c r="A1426" s="5">
        <v>1365</v>
      </c>
      <c r="B1426" s="138">
        <f>'Expenditures 15-22'!D260</f>
        <v>157</v>
      </c>
      <c r="D1426" s="2" t="str">
        <f t="shared" si="21"/>
        <v>Error?</v>
      </c>
    </row>
    <row r="1427" spans="1:4" x14ac:dyDescent="0.2">
      <c r="A1427" s="5">
        <v>1366</v>
      </c>
      <c r="B1427" s="138">
        <f>'Expenditures 15-22'!D261</f>
        <v>31568</v>
      </c>
      <c r="C1427" s="2" t="s">
        <v>573</v>
      </c>
      <c r="D1427" s="2" t="str">
        <f t="shared" si="21"/>
        <v>Error?</v>
      </c>
    </row>
    <row r="1428" spans="1:4" x14ac:dyDescent="0.2">
      <c r="A1428" s="5">
        <v>1367</v>
      </c>
      <c r="B1428" s="138">
        <f>'Expenditures 15-22'!D263</f>
        <v>1165</v>
      </c>
      <c r="D1428" s="2" t="str">
        <f t="shared" si="21"/>
        <v>Error?</v>
      </c>
    </row>
    <row r="1429" spans="1:4" x14ac:dyDescent="0.2">
      <c r="A1429" s="5">
        <v>1368</v>
      </c>
      <c r="B1429" s="138">
        <f>'Expenditures 15-22'!D264</f>
        <v>18549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87553</v>
      </c>
      <c r="D1431" s="2" t="str">
        <f t="shared" si="21"/>
        <v>Error?</v>
      </c>
    </row>
    <row r="1432" spans="1:4" x14ac:dyDescent="0.2">
      <c r="A1432" s="5">
        <v>1371</v>
      </c>
      <c r="B1432" s="138">
        <f>'Expenditures 15-22'!D267</f>
        <v>83578</v>
      </c>
      <c r="D1432" s="2" t="str">
        <f t="shared" si="21"/>
        <v>Error?</v>
      </c>
    </row>
    <row r="1433" spans="1:4" x14ac:dyDescent="0.2">
      <c r="A1433" s="5">
        <v>1372</v>
      </c>
      <c r="B1433" s="138">
        <f>'Expenditures 15-22'!D268</f>
        <v>36574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227419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338295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581268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12016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242973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5305</v>
      </c>
      <c r="C1476" s="2" t="s">
        <v>573</v>
      </c>
      <c r="D1476" s="2" t="str">
        <f t="shared" si="22"/>
        <v>Error?</v>
      </c>
    </row>
    <row r="1477" spans="1:4" x14ac:dyDescent="0.2">
      <c r="A1477" s="5">
        <v>1416</v>
      </c>
      <c r="B1477" s="138">
        <f>'Expenditures 15-22'!K234</f>
        <v>9427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2274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17006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21253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21253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8483</v>
      </c>
      <c r="C1487" s="2" t="s">
        <v>573</v>
      </c>
      <c r="D1487" s="2" t="str">
        <f t="shared" si="22"/>
        <v>Error?</v>
      </c>
    </row>
    <row r="1488" spans="1:4" x14ac:dyDescent="0.2">
      <c r="A1488" s="5">
        <v>1427</v>
      </c>
      <c r="B1488" s="138">
        <f>'Expenditures 15-22'!K257</f>
        <v>41049</v>
      </c>
      <c r="C1488" s="2" t="s">
        <v>573</v>
      </c>
      <c r="D1488" s="2" t="str">
        <f t="shared" si="22"/>
        <v>Error?</v>
      </c>
    </row>
    <row r="1489" spans="1:4" x14ac:dyDescent="0.2">
      <c r="A1489" s="5">
        <v>1428</v>
      </c>
      <c r="B1489" s="138">
        <f>'Expenditures 15-22'!K259</f>
        <v>31411</v>
      </c>
      <c r="C1489" s="2" t="s">
        <v>573</v>
      </c>
      <c r="D1489" s="2" t="str">
        <f t="shared" si="22"/>
        <v>Error?</v>
      </c>
    </row>
    <row r="1490" spans="1:4" x14ac:dyDescent="0.2">
      <c r="A1490" s="5">
        <v>1429</v>
      </c>
      <c r="B1490" s="138">
        <f>'Expenditures 15-22'!K260</f>
        <v>157</v>
      </c>
      <c r="C1490" s="2" t="s">
        <v>573</v>
      </c>
      <c r="D1490" s="2" t="str">
        <f t="shared" si="22"/>
        <v>Error?</v>
      </c>
    </row>
    <row r="1491" spans="1:4" x14ac:dyDescent="0.2">
      <c r="A1491" s="5">
        <v>1430</v>
      </c>
      <c r="B1491" s="138">
        <f>'Expenditures 15-22'!K261</f>
        <v>31568</v>
      </c>
      <c r="C1491" s="2" t="s">
        <v>573</v>
      </c>
      <c r="D1491" s="2" t="str">
        <f t="shared" si="22"/>
        <v>Error?</v>
      </c>
    </row>
    <row r="1492" spans="1:4" x14ac:dyDescent="0.2">
      <c r="A1492" s="5">
        <v>1431</v>
      </c>
      <c r="B1492" s="138">
        <f>'Expenditures 15-22'!K263</f>
        <v>1165</v>
      </c>
      <c r="C1492" s="2" t="s">
        <v>573</v>
      </c>
      <c r="D1492" s="2" t="str">
        <f t="shared" si="22"/>
        <v>Error?</v>
      </c>
    </row>
    <row r="1493" spans="1:4" x14ac:dyDescent="0.2">
      <c r="A1493" s="5">
        <v>1432</v>
      </c>
      <c r="B1493" s="138">
        <f>'Expenditures 15-22'!K264</f>
        <v>18549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87553</v>
      </c>
      <c r="C1495" s="2" t="s">
        <v>573</v>
      </c>
      <c r="D1495" s="2" t="str">
        <f t="shared" si="22"/>
        <v>Error?</v>
      </c>
    </row>
    <row r="1496" spans="1:4" x14ac:dyDescent="0.2">
      <c r="A1496" s="5">
        <v>1435</v>
      </c>
      <c r="B1496" s="138">
        <f>'Expenditures 15-22'!K267</f>
        <v>83578</v>
      </c>
      <c r="C1496" s="2" t="s">
        <v>573</v>
      </c>
      <c r="D1496" s="2" t="str">
        <f t="shared" si="22"/>
        <v>Error?</v>
      </c>
    </row>
    <row r="1497" spans="1:4" x14ac:dyDescent="0.2">
      <c r="A1497" s="5">
        <v>1436</v>
      </c>
      <c r="B1497" s="138">
        <f>'Expenditures 15-22'!K268</f>
        <v>36574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227419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338295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581268</v>
      </c>
      <c r="C1517" s="2" t="s">
        <v>573</v>
      </c>
      <c r="D1517" s="2" t="str">
        <f t="shared" si="22"/>
        <v>Error?</v>
      </c>
    </row>
    <row r="1518" spans="1:4" x14ac:dyDescent="0.2">
      <c r="A1518" s="5">
        <v>1457</v>
      </c>
      <c r="B1518" s="138">
        <f>'Expenditures 15-22'!K296</f>
        <v>89194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11272635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11269025</v>
      </c>
      <c r="C1630" s="2" t="s">
        <v>573</v>
      </c>
      <c r="D1630" s="2" t="str">
        <f t="shared" si="24"/>
        <v>Error?</v>
      </c>
    </row>
    <row r="1631" spans="1:4" x14ac:dyDescent="0.2">
      <c r="A1631" s="5">
        <v>1570</v>
      </c>
      <c r="B1631" s="138">
        <f>'Acct Summary 7-8'!D79</f>
        <v>3699173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4283324</v>
      </c>
      <c r="C1644" s="2" t="s">
        <v>573</v>
      </c>
      <c r="D1644" s="2" t="str">
        <f t="shared" si="24"/>
        <v>Error?</v>
      </c>
    </row>
    <row r="1645" spans="1:4" x14ac:dyDescent="0.2">
      <c r="A1645" s="5">
        <v>1584</v>
      </c>
      <c r="B1645" s="138">
        <f>'Acct Summary 7-8'!E79</f>
        <v>25304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22864</v>
      </c>
      <c r="C1658" s="2" t="s">
        <v>573</v>
      </c>
      <c r="D1658" s="2" t="str">
        <f t="shared" si="24"/>
        <v>Error?</v>
      </c>
    </row>
    <row r="1659" spans="1:4" x14ac:dyDescent="0.2">
      <c r="A1659" s="5">
        <v>1598</v>
      </c>
      <c r="B1659" s="138">
        <f>'Acct Summary 7-8'!F79</f>
        <v>3100011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3505920</v>
      </c>
      <c r="C1672" s="2" t="s">
        <v>573</v>
      </c>
      <c r="D1672" s="2" t="str">
        <f t="shared" si="25"/>
        <v>Error?</v>
      </c>
    </row>
    <row r="1673" spans="1:4" x14ac:dyDescent="0.2">
      <c r="A1673" s="5">
        <v>1612</v>
      </c>
      <c r="B1673" s="138">
        <f>'Acct Summary 7-8'!G79</f>
        <v>1118178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1207372</v>
      </c>
      <c r="C1686" s="2" t="s">
        <v>573</v>
      </c>
      <c r="D1686" s="2" t="str">
        <f t="shared" si="25"/>
        <v>Error?</v>
      </c>
    </row>
    <row r="1687" spans="1:4" x14ac:dyDescent="0.2">
      <c r="A1687" s="5">
        <v>1626</v>
      </c>
      <c r="B1687" s="138">
        <f>'Acct Summary 7-8'!H79</f>
        <v>908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908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8374601</v>
      </c>
      <c r="C1744" s="2" t="s">
        <v>573</v>
      </c>
      <c r="D1744" s="2" t="str">
        <f t="shared" si="26"/>
        <v>Error?</v>
      </c>
    </row>
    <row r="1745" spans="1:5" x14ac:dyDescent="0.2">
      <c r="A1745" s="5">
        <v>1684</v>
      </c>
      <c r="B1745" s="138">
        <f>'Tax Sched 23'!B5</f>
        <v>2275722</v>
      </c>
      <c r="C1745" s="2" t="s">
        <v>573</v>
      </c>
      <c r="D1745" s="2" t="str">
        <f t="shared" si="26"/>
        <v>Error?</v>
      </c>
    </row>
    <row r="1746" spans="1:5" x14ac:dyDescent="0.2">
      <c r="A1746" s="5">
        <v>1685</v>
      </c>
      <c r="B1746" s="138">
        <f>'Tax Sched 23'!B6</f>
        <v>2148165</v>
      </c>
      <c r="C1746" s="2" t="s">
        <v>573</v>
      </c>
      <c r="D1746" s="2" t="str">
        <f t="shared" si="26"/>
        <v>Error?</v>
      </c>
    </row>
    <row r="1747" spans="1:5" x14ac:dyDescent="0.2">
      <c r="A1747" s="5">
        <v>1686</v>
      </c>
      <c r="B1747" s="138">
        <f>'Tax Sched 23'!B7</f>
        <v>910260</v>
      </c>
      <c r="C1747" s="2" t="s">
        <v>573</v>
      </c>
      <c r="D1747" s="2" t="str">
        <f t="shared" si="26"/>
        <v>Error?</v>
      </c>
    </row>
    <row r="1748" spans="1:5" x14ac:dyDescent="0.2">
      <c r="A1748" s="5">
        <v>1687</v>
      </c>
      <c r="B1748" s="138">
        <f>'Tax Sched 23'!B8</f>
        <v>309804</v>
      </c>
      <c r="C1748" s="2" t="s">
        <v>573</v>
      </c>
      <c r="D1748" s="2" t="str">
        <f t="shared" si="26"/>
        <v>Error?</v>
      </c>
    </row>
    <row r="1749" spans="1:5" x14ac:dyDescent="0.2">
      <c r="A1749" s="5">
        <v>1688</v>
      </c>
      <c r="B1749" s="138">
        <f>'Tax Sched 23'!B10</f>
        <v>227600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1224276</v>
      </c>
      <c r="C1752" s="2" t="s">
        <v>573</v>
      </c>
      <c r="D1752" s="2" t="str">
        <f t="shared" si="26"/>
        <v>Error?</v>
      </c>
    </row>
    <row r="1753" spans="1:5" x14ac:dyDescent="0.2">
      <c r="A1753" s="5">
        <v>1692</v>
      </c>
      <c r="B1753" s="138">
        <f>'Tax Sched 23'!B12</f>
        <v>227600</v>
      </c>
      <c r="C1753" s="2" t="s">
        <v>573</v>
      </c>
      <c r="D1753" s="2" t="str">
        <f t="shared" si="26"/>
        <v>Error?</v>
      </c>
    </row>
    <row r="1754" spans="1:5" x14ac:dyDescent="0.2">
      <c r="A1754" s="5">
        <v>1693</v>
      </c>
      <c r="B1754" s="138">
        <f>'Tax Sched 23'!B14</f>
        <v>182037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16417469</v>
      </c>
      <c r="C1759" s="2" t="s">
        <v>573</v>
      </c>
      <c r="D1759" s="2" t="str">
        <f t="shared" si="26"/>
        <v>Error?</v>
      </c>
    </row>
    <row r="1760" spans="1:5" x14ac:dyDescent="0.2">
      <c r="A1760" s="5">
        <v>1699</v>
      </c>
      <c r="B1760" s="138">
        <f>'Tax Sched 23'!D4</f>
        <v>8374601</v>
      </c>
      <c r="C1760" s="2" t="s">
        <v>573</v>
      </c>
      <c r="D1760" s="2" t="str">
        <f t="shared" si="26"/>
        <v>Error?</v>
      </c>
    </row>
    <row r="1761" spans="1:5" x14ac:dyDescent="0.2">
      <c r="A1761" s="5">
        <v>1700</v>
      </c>
      <c r="B1761" s="138">
        <f>'Tax Sched 23'!D5</f>
        <v>2275722</v>
      </c>
      <c r="C1761" s="2" t="s">
        <v>573</v>
      </c>
      <c r="D1761" s="2" t="str">
        <f t="shared" si="26"/>
        <v>Error?</v>
      </c>
    </row>
    <row r="1762" spans="1:5" s="8" customFormat="1" x14ac:dyDescent="0.2">
      <c r="A1762" s="5">
        <v>1701</v>
      </c>
      <c r="B1762" s="138">
        <f>'Tax Sched 23'!D6</f>
        <v>2148165</v>
      </c>
      <c r="C1762" s="2" t="s">
        <v>573</v>
      </c>
      <c r="D1762" s="2" t="str">
        <f t="shared" si="26"/>
        <v>Error?</v>
      </c>
      <c r="E1762" s="9"/>
    </row>
    <row r="1763" spans="1:5" x14ac:dyDescent="0.2">
      <c r="A1763" s="5">
        <v>1702</v>
      </c>
      <c r="B1763" s="138">
        <f>'Tax Sched 23'!D7</f>
        <v>910260</v>
      </c>
      <c r="C1763" s="2" t="s">
        <v>573</v>
      </c>
      <c r="D1763" s="2" t="str">
        <f t="shared" si="26"/>
        <v>Error?</v>
      </c>
    </row>
    <row r="1764" spans="1:5" x14ac:dyDescent="0.2">
      <c r="A1764" s="5">
        <v>1703</v>
      </c>
      <c r="B1764" s="138">
        <f>'Tax Sched 23'!D8</f>
        <v>309804</v>
      </c>
      <c r="C1764" s="2" t="s">
        <v>573</v>
      </c>
      <c r="D1764" s="2" t="str">
        <f t="shared" si="26"/>
        <v>Error?</v>
      </c>
    </row>
    <row r="1765" spans="1:5" x14ac:dyDescent="0.2">
      <c r="A1765" s="5">
        <v>1704</v>
      </c>
      <c r="B1765" s="138">
        <f>'Tax Sched 23'!D10</f>
        <v>227600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1224276</v>
      </c>
      <c r="C1768" s="2" t="s">
        <v>573</v>
      </c>
      <c r="D1768" s="2" t="str">
        <f t="shared" si="26"/>
        <v>Error?</v>
      </c>
    </row>
    <row r="1769" spans="1:5" x14ac:dyDescent="0.2">
      <c r="A1769" s="5">
        <v>1708</v>
      </c>
      <c r="B1769" s="138">
        <f>'Tax Sched 23'!D12</f>
        <v>227600</v>
      </c>
      <c r="C1769" s="2" t="s">
        <v>573</v>
      </c>
      <c r="D1769" s="2" t="str">
        <f t="shared" si="26"/>
        <v>Error?</v>
      </c>
    </row>
    <row r="1770" spans="1:5" x14ac:dyDescent="0.2">
      <c r="A1770" s="5">
        <v>1709</v>
      </c>
      <c r="B1770" s="138">
        <f>'Tax Sched 23'!D14</f>
        <v>182037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16417469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8595772</v>
      </c>
      <c r="C1792" s="2" t="s">
        <v>573</v>
      </c>
      <c r="D1792" s="2" t="str">
        <f t="shared" si="27"/>
        <v>Error?</v>
      </c>
    </row>
    <row r="1793" spans="1:4" x14ac:dyDescent="0.2">
      <c r="A1793" s="5">
        <v>1732</v>
      </c>
      <c r="B1793" s="138">
        <f>'Tax Sched 23'!F5</f>
        <v>2335807</v>
      </c>
      <c r="C1793" s="2" t="s">
        <v>573</v>
      </c>
      <c r="D1793" s="2" t="str">
        <f t="shared" si="27"/>
        <v>Error?</v>
      </c>
    </row>
    <row r="1794" spans="1:4" x14ac:dyDescent="0.2">
      <c r="A1794" s="5">
        <v>1733</v>
      </c>
      <c r="B1794" s="138">
        <f>'Tax Sched 23'!F6</f>
        <v>2174037</v>
      </c>
      <c r="C1794" s="2" t="s">
        <v>573</v>
      </c>
      <c r="D1794" s="2" t="str">
        <f t="shared" si="27"/>
        <v>Error?</v>
      </c>
    </row>
    <row r="1795" spans="1:4" x14ac:dyDescent="0.2">
      <c r="A1795" s="5">
        <v>1734</v>
      </c>
      <c r="B1795" s="138">
        <f>'Tax Sched 23'!F7</f>
        <v>934323</v>
      </c>
      <c r="C1795" s="2" t="s">
        <v>573</v>
      </c>
      <c r="D1795" s="2" t="str">
        <f t="shared" si="27"/>
        <v>Error?</v>
      </c>
    </row>
    <row r="1796" spans="1:4" x14ac:dyDescent="0.2">
      <c r="A1796" s="5">
        <v>1735</v>
      </c>
      <c r="B1796" s="138">
        <f>'Tax Sched 23'!F8</f>
        <v>331264</v>
      </c>
      <c r="C1796" s="2" t="s">
        <v>573</v>
      </c>
      <c r="D1796" s="2" t="str">
        <f t="shared" si="27"/>
        <v>Error?</v>
      </c>
    </row>
    <row r="1797" spans="1:4" x14ac:dyDescent="0.2">
      <c r="A1797" s="5">
        <v>1736</v>
      </c>
      <c r="B1797" s="138">
        <f>'Tax Sched 23'!F10</f>
        <v>233581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1258019</v>
      </c>
      <c r="C1800" s="2" t="s">
        <v>573</v>
      </c>
      <c r="D1800" s="2" t="str">
        <f t="shared" si="27"/>
        <v>Error?</v>
      </c>
    </row>
    <row r="1801" spans="1:4" x14ac:dyDescent="0.2">
      <c r="A1801" s="5">
        <v>1740</v>
      </c>
      <c r="B1801" s="138">
        <f>'Tax Sched 23'!F12</f>
        <v>233581</v>
      </c>
      <c r="C1801" s="2" t="s">
        <v>573</v>
      </c>
      <c r="D1801" s="2" t="str">
        <f t="shared" si="27"/>
        <v>Error?</v>
      </c>
    </row>
    <row r="1802" spans="1:4" x14ac:dyDescent="0.2">
      <c r="A1802" s="5">
        <v>1741</v>
      </c>
      <c r="B1802" s="138">
        <f>'Tax Sched 23'!F14</f>
        <v>186865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16790082</v>
      </c>
      <c r="C1807" s="2" t="s">
        <v>573</v>
      </c>
      <c r="D1807" s="2" t="str">
        <f t="shared" si="27"/>
        <v>Error?</v>
      </c>
    </row>
    <row r="1808" spans="1:4" x14ac:dyDescent="0.2">
      <c r="A1808" s="5">
        <v>1747</v>
      </c>
      <c r="B1808" s="138">
        <f>'Tax Sched 23'!E4</f>
        <v>8595772</v>
      </c>
      <c r="D1808" s="2" t="str">
        <f t="shared" si="27"/>
        <v>Error?</v>
      </c>
    </row>
    <row r="1809" spans="1:4" x14ac:dyDescent="0.2">
      <c r="A1809" s="5">
        <v>1748</v>
      </c>
      <c r="B1809" s="138">
        <f>'Tax Sched 23'!E5</f>
        <v>2335807</v>
      </c>
      <c r="D1809" s="2" t="str">
        <f t="shared" si="27"/>
        <v>Error?</v>
      </c>
    </row>
    <row r="1810" spans="1:4" x14ac:dyDescent="0.2">
      <c r="A1810" s="5">
        <v>1749</v>
      </c>
      <c r="B1810" s="138">
        <f>'Tax Sched 23'!E6</f>
        <v>2174037</v>
      </c>
      <c r="D1810" s="2" t="str">
        <f t="shared" si="27"/>
        <v>Error?</v>
      </c>
    </row>
    <row r="1811" spans="1:4" x14ac:dyDescent="0.2">
      <c r="A1811" s="5">
        <v>1750</v>
      </c>
      <c r="B1811" s="138">
        <f>'Tax Sched 23'!E7</f>
        <v>934323</v>
      </c>
      <c r="D1811" s="2" t="str">
        <f t="shared" si="27"/>
        <v>Error?</v>
      </c>
    </row>
    <row r="1812" spans="1:4" x14ac:dyDescent="0.2">
      <c r="A1812" s="5">
        <v>1751</v>
      </c>
      <c r="B1812" s="138">
        <f>'Tax Sched 23'!E8</f>
        <v>331264</v>
      </c>
      <c r="D1812" s="2" t="str">
        <f t="shared" si="27"/>
        <v>Error?</v>
      </c>
    </row>
    <row r="1813" spans="1:4" x14ac:dyDescent="0.2">
      <c r="A1813" s="5">
        <v>1752</v>
      </c>
      <c r="B1813" s="138">
        <f>'Tax Sched 23'!E10</f>
        <v>233581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1258019</v>
      </c>
      <c r="D1816" s="2" t="str">
        <f t="shared" si="27"/>
        <v>Error?</v>
      </c>
    </row>
    <row r="1817" spans="1:4" x14ac:dyDescent="0.2">
      <c r="A1817" s="5">
        <v>1756</v>
      </c>
      <c r="B1817" s="138">
        <f>'Tax Sched 23'!E12</f>
        <v>233581</v>
      </c>
      <c r="D1817" s="2" t="str">
        <f t="shared" si="27"/>
        <v>Error?</v>
      </c>
    </row>
    <row r="1818" spans="1:4" x14ac:dyDescent="0.2">
      <c r="A1818" s="5">
        <v>1757</v>
      </c>
      <c r="B1818" s="138">
        <f>'Tax Sched 23'!E14</f>
        <v>186865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16790082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16037274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182037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182037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182037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536629</v>
      </c>
      <c r="D2008" s="2" t="str">
        <f t="shared" si="30"/>
        <v>Error?</v>
      </c>
    </row>
    <row r="2009" spans="1:4" x14ac:dyDescent="0.2">
      <c r="A2009" s="5">
        <v>1948</v>
      </c>
      <c r="B2009" s="138">
        <f>'Cap Outlay Deprec 26'!C8</f>
        <v>55510356</v>
      </c>
      <c r="D2009" s="2" t="str">
        <f t="shared" si="30"/>
        <v>Error?</v>
      </c>
    </row>
    <row r="2010" spans="1:4" x14ac:dyDescent="0.2">
      <c r="A2010" s="5">
        <v>1949</v>
      </c>
      <c r="B2010" s="138">
        <f>'Cap Outlay Deprec 26'!C10</f>
        <v>3243388</v>
      </c>
      <c r="D2010" s="2" t="str">
        <f t="shared" si="30"/>
        <v>Error?</v>
      </c>
    </row>
    <row r="2011" spans="1:4" x14ac:dyDescent="0.2">
      <c r="A2011" s="5">
        <v>1950</v>
      </c>
      <c r="B2011" s="138">
        <f>'Cap Outlay Deprec 26'!C12</f>
        <v>5325272</v>
      </c>
      <c r="D2011" s="2" t="str">
        <f t="shared" si="30"/>
        <v>Error?</v>
      </c>
    </row>
    <row r="2012" spans="1:4" x14ac:dyDescent="0.2">
      <c r="A2012" s="5">
        <v>1951</v>
      </c>
      <c r="B2012" s="138">
        <f>'Cap Outlay Deprec 26'!C13</f>
        <v>1489300</v>
      </c>
      <c r="D2012" s="2" t="str">
        <f t="shared" si="30"/>
        <v>Error?</v>
      </c>
    </row>
    <row r="2013" spans="1:4" x14ac:dyDescent="0.2">
      <c r="A2013" s="5">
        <v>1952</v>
      </c>
      <c r="B2013" s="138">
        <f>'Cap Outlay Deprec 26'!C16</f>
        <v>66108580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39836</v>
      </c>
      <c r="D2015" s="2" t="str">
        <f t="shared" si="30"/>
        <v>Error?</v>
      </c>
    </row>
    <row r="2016" spans="1:4" x14ac:dyDescent="0.2">
      <c r="A2016" s="5">
        <v>1955</v>
      </c>
      <c r="B2016" s="138">
        <f>'Cap Outlay Deprec 26'!D10</f>
        <v>58815</v>
      </c>
      <c r="D2016" s="2" t="str">
        <f t="shared" si="30"/>
        <v>Error?</v>
      </c>
    </row>
    <row r="2017" spans="1:4" x14ac:dyDescent="0.2">
      <c r="A2017" s="5">
        <v>1956</v>
      </c>
      <c r="B2017" s="138">
        <f>'Cap Outlay Deprec 26'!D12</f>
        <v>404123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502774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429128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429128</v>
      </c>
      <c r="C2025" s="2" t="s">
        <v>573</v>
      </c>
      <c r="D2025" s="2" t="str">
        <f t="shared" si="30"/>
        <v>Error?</v>
      </c>
    </row>
    <row r="2026" spans="1:4" x14ac:dyDescent="0.2">
      <c r="A2026" s="5">
        <v>1965</v>
      </c>
      <c r="B2026" s="138">
        <f>'Cap Outlay Deprec 26'!F5</f>
        <v>536629</v>
      </c>
      <c r="C2026" s="2" t="s">
        <v>573</v>
      </c>
      <c r="D2026" s="2" t="str">
        <f t="shared" si="30"/>
        <v>Error?</v>
      </c>
    </row>
    <row r="2027" spans="1:4" x14ac:dyDescent="0.2">
      <c r="A2027" s="5">
        <v>1966</v>
      </c>
      <c r="B2027" s="138">
        <f>'Cap Outlay Deprec 26'!F8</f>
        <v>55550192</v>
      </c>
      <c r="C2027" s="2" t="s">
        <v>573</v>
      </c>
      <c r="D2027" s="2" t="str">
        <f t="shared" si="30"/>
        <v>Error?</v>
      </c>
    </row>
    <row r="2028" spans="1:4" x14ac:dyDescent="0.2">
      <c r="A2028" s="5">
        <v>1967</v>
      </c>
      <c r="B2028" s="138">
        <f>'Cap Outlay Deprec 26'!F10</f>
        <v>3302203</v>
      </c>
      <c r="C2028" s="2" t="s">
        <v>573</v>
      </c>
      <c r="D2028" s="2" t="str">
        <f t="shared" si="30"/>
        <v>Error?</v>
      </c>
    </row>
    <row r="2029" spans="1:4" x14ac:dyDescent="0.2">
      <c r="A2029" s="5">
        <v>1968</v>
      </c>
      <c r="B2029" s="138">
        <f>'Cap Outlay Deprec 26'!F12</f>
        <v>5300267</v>
      </c>
      <c r="C2029" s="2" t="s">
        <v>573</v>
      </c>
      <c r="D2029" s="2" t="str">
        <f t="shared" si="30"/>
        <v>Error?</v>
      </c>
    </row>
    <row r="2030" spans="1:4" x14ac:dyDescent="0.2">
      <c r="A2030" s="5">
        <v>1969</v>
      </c>
      <c r="B2030" s="138">
        <f>'Cap Outlay Deprec 26'!F13</f>
        <v>1489300</v>
      </c>
      <c r="C2030" s="2" t="s">
        <v>573</v>
      </c>
      <c r="D2030" s="2" t="str">
        <f t="shared" si="30"/>
        <v>Error?</v>
      </c>
    </row>
    <row r="2031" spans="1:4" x14ac:dyDescent="0.2">
      <c r="A2031" s="5">
        <v>1970</v>
      </c>
      <c r="B2031" s="138">
        <f>'Cap Outlay Deprec 26'!F16</f>
        <v>66182226</v>
      </c>
      <c r="C2031" s="2" t="s">
        <v>573</v>
      </c>
      <c r="D2031" s="2" t="str">
        <f t="shared" si="30"/>
        <v>Error?</v>
      </c>
    </row>
    <row r="2032" spans="1:4" x14ac:dyDescent="0.2">
      <c r="A2032" s="10">
        <v>1971</v>
      </c>
      <c r="D2032" s="2" t="str">
        <f t="shared" si="30"/>
        <v>OK</v>
      </c>
    </row>
    <row r="2033" spans="1:4" x14ac:dyDescent="0.2">
      <c r="A2033" s="5">
        <v>1972</v>
      </c>
      <c r="B2033" s="138">
        <f>'Cap Outlay Deprec 26'!H8</f>
        <v>18021095</v>
      </c>
      <c r="D2033" s="2" t="str">
        <f t="shared" si="30"/>
        <v>Error?</v>
      </c>
    </row>
    <row r="2034" spans="1:4" x14ac:dyDescent="0.2">
      <c r="A2034" s="5">
        <v>1973</v>
      </c>
      <c r="B2034" s="138">
        <f>'Cap Outlay Deprec 26'!H10</f>
        <v>1991461</v>
      </c>
      <c r="D2034" s="2" t="str">
        <f t="shared" si="30"/>
        <v>Error?</v>
      </c>
    </row>
    <row r="2035" spans="1:4" x14ac:dyDescent="0.2">
      <c r="A2035" s="5">
        <v>1974</v>
      </c>
      <c r="B2035" s="138">
        <f>'Cap Outlay Deprec 26'!H12</f>
        <v>2752932</v>
      </c>
      <c r="D2035" s="2" t="str">
        <f t="shared" si="30"/>
        <v>Error?</v>
      </c>
    </row>
    <row r="2036" spans="1:4" x14ac:dyDescent="0.2">
      <c r="A2036" s="5">
        <v>1975</v>
      </c>
      <c r="B2036" s="138">
        <f>'Cap Outlay Deprec 26'!H13</f>
        <v>808237</v>
      </c>
      <c r="D2036" s="2" t="str">
        <f t="shared" si="30"/>
        <v>Error?</v>
      </c>
    </row>
    <row r="2037" spans="1:4" x14ac:dyDescent="0.2">
      <c r="A2037" s="5">
        <v>1976</v>
      </c>
      <c r="B2037" s="138">
        <f>'Cap Outlay Deprec 26'!H16</f>
        <v>23574271</v>
      </c>
      <c r="C2037" s="2" t="s">
        <v>573</v>
      </c>
      <c r="D2037" s="2" t="str">
        <f t="shared" si="30"/>
        <v>Error?</v>
      </c>
    </row>
    <row r="2038" spans="1:4" x14ac:dyDescent="0.2">
      <c r="A2038" s="10">
        <v>1977</v>
      </c>
      <c r="D2038" s="2" t="str">
        <f t="shared" si="30"/>
        <v>OK</v>
      </c>
    </row>
    <row r="2039" spans="1:4" x14ac:dyDescent="0.2">
      <c r="A2039" s="5">
        <v>1978</v>
      </c>
      <c r="B2039" s="138">
        <f>'Cap Outlay Deprec 26'!I8</f>
        <v>1005134</v>
      </c>
      <c r="D2039" s="2" t="str">
        <f t="shared" si="30"/>
        <v>Error?</v>
      </c>
    </row>
    <row r="2040" spans="1:4" x14ac:dyDescent="0.2">
      <c r="A2040" s="5">
        <v>1979</v>
      </c>
      <c r="B2040" s="138">
        <f>'Cap Outlay Deprec 26'!I10</f>
        <v>106159</v>
      </c>
      <c r="D2040" s="2" t="str">
        <f t="shared" si="30"/>
        <v>Error?</v>
      </c>
    </row>
    <row r="2041" spans="1:4" x14ac:dyDescent="0.2">
      <c r="A2041" s="5">
        <v>1980</v>
      </c>
      <c r="B2041" s="138">
        <f>'Cap Outlay Deprec 26'!I12</f>
        <v>529937</v>
      </c>
      <c r="D2041" s="2" t="str">
        <f t="shared" si="30"/>
        <v>Error?</v>
      </c>
    </row>
    <row r="2042" spans="1:4" x14ac:dyDescent="0.2">
      <c r="A2042" s="5">
        <v>1981</v>
      </c>
      <c r="B2042" s="138">
        <f>'Cap Outlay Deprec 26'!I13</f>
        <v>211358</v>
      </c>
      <c r="D2042" s="2" t="str">
        <f t="shared" si="30"/>
        <v>Error?</v>
      </c>
    </row>
    <row r="2043" spans="1:4" x14ac:dyDescent="0.2">
      <c r="A2043" s="5">
        <v>1982</v>
      </c>
      <c r="B2043" s="138">
        <f>'Cap Outlay Deprec 26'!I16</f>
        <v>1852770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429128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429128</v>
      </c>
      <c r="C2049" s="2" t="s">
        <v>573</v>
      </c>
      <c r="D2049" s="2" t="str">
        <f t="shared" si="31"/>
        <v>Error?</v>
      </c>
    </row>
    <row r="2050" spans="1:4" x14ac:dyDescent="0.2">
      <c r="A2050" s="10">
        <v>1989</v>
      </c>
      <c r="D2050" s="2" t="str">
        <f t="shared" si="31"/>
        <v>OK</v>
      </c>
    </row>
    <row r="2051" spans="1:4" x14ac:dyDescent="0.2">
      <c r="A2051" s="5">
        <v>1990</v>
      </c>
      <c r="B2051" s="138">
        <f>'Cap Outlay Deprec 26'!K8</f>
        <v>19026229</v>
      </c>
      <c r="C2051" s="2" t="s">
        <v>573</v>
      </c>
      <c r="D2051" s="2" t="str">
        <f t="shared" si="31"/>
        <v>Error?</v>
      </c>
    </row>
    <row r="2052" spans="1:4" x14ac:dyDescent="0.2">
      <c r="A2052" s="5">
        <v>1991</v>
      </c>
      <c r="B2052" s="138">
        <f>'Cap Outlay Deprec 26'!K10</f>
        <v>2097620</v>
      </c>
      <c r="C2052" s="2" t="s">
        <v>573</v>
      </c>
      <c r="D2052" s="2" t="str">
        <f t="shared" si="31"/>
        <v>Error?</v>
      </c>
    </row>
    <row r="2053" spans="1:4" x14ac:dyDescent="0.2">
      <c r="A2053" s="5">
        <v>1992</v>
      </c>
      <c r="B2053" s="138">
        <f>'Cap Outlay Deprec 26'!K12</f>
        <v>2853741</v>
      </c>
      <c r="C2053" s="2" t="s">
        <v>573</v>
      </c>
      <c r="D2053" s="2" t="str">
        <f t="shared" si="31"/>
        <v>Error?</v>
      </c>
    </row>
    <row r="2054" spans="1:4" x14ac:dyDescent="0.2">
      <c r="A2054" s="5">
        <v>1993</v>
      </c>
      <c r="B2054" s="138">
        <f>'Cap Outlay Deprec 26'!K13</f>
        <v>1019595</v>
      </c>
      <c r="C2054" s="2" t="s">
        <v>573</v>
      </c>
      <c r="D2054" s="2" t="str">
        <f t="shared" si="31"/>
        <v>Error?</v>
      </c>
    </row>
    <row r="2055" spans="1:4" x14ac:dyDescent="0.2">
      <c r="A2055" s="5">
        <v>1994</v>
      </c>
      <c r="B2055" s="138">
        <f>'Cap Outlay Deprec 26'!K16</f>
        <v>24997913</v>
      </c>
      <c r="C2055" s="2" t="s">
        <v>573</v>
      </c>
      <c r="D2055" s="2" t="str">
        <f t="shared" si="31"/>
        <v>Error?</v>
      </c>
    </row>
    <row r="2056" spans="1:4" x14ac:dyDescent="0.2">
      <c r="A2056" s="5">
        <v>1995</v>
      </c>
      <c r="B2056" s="138">
        <f>'Cap Outlay Deprec 26'!L5</f>
        <v>536629</v>
      </c>
      <c r="C2056" s="2" t="s">
        <v>573</v>
      </c>
      <c r="D2056" s="2" t="str">
        <f t="shared" si="31"/>
        <v>Error?</v>
      </c>
    </row>
    <row r="2057" spans="1:4" x14ac:dyDescent="0.2">
      <c r="A2057" s="5">
        <v>1996</v>
      </c>
      <c r="B2057" s="138">
        <f>'Cap Outlay Deprec 26'!L8</f>
        <v>36523963</v>
      </c>
      <c r="C2057" s="2" t="s">
        <v>573</v>
      </c>
      <c r="D2057" s="2" t="str">
        <f t="shared" si="31"/>
        <v>Error?</v>
      </c>
    </row>
    <row r="2058" spans="1:4" x14ac:dyDescent="0.2">
      <c r="A2058" s="5">
        <v>1997</v>
      </c>
      <c r="B2058" s="138">
        <f>'Cap Outlay Deprec 26'!L10</f>
        <v>1204583</v>
      </c>
      <c r="C2058" s="2" t="s">
        <v>573</v>
      </c>
      <c r="D2058" s="2" t="str">
        <f t="shared" si="31"/>
        <v>Error?</v>
      </c>
    </row>
    <row r="2059" spans="1:4" x14ac:dyDescent="0.2">
      <c r="A2059" s="5">
        <v>1998</v>
      </c>
      <c r="B2059" s="138">
        <f>'Cap Outlay Deprec 26'!L12</f>
        <v>2446526</v>
      </c>
      <c r="C2059" s="2" t="s">
        <v>573</v>
      </c>
      <c r="D2059" s="2" t="str">
        <f t="shared" si="31"/>
        <v>Error?</v>
      </c>
    </row>
    <row r="2060" spans="1:4" x14ac:dyDescent="0.2">
      <c r="A2060" s="5">
        <v>1999</v>
      </c>
      <c r="B2060" s="138">
        <f>'Cap Outlay Deprec 26'!L13</f>
        <v>469705</v>
      </c>
      <c r="C2060" s="2" t="s">
        <v>573</v>
      </c>
      <c r="D2060" s="2" t="str">
        <f t="shared" si="31"/>
        <v>Error?</v>
      </c>
    </row>
    <row r="2061" spans="1:4" x14ac:dyDescent="0.2">
      <c r="A2061" s="5">
        <v>2000</v>
      </c>
      <c r="B2061" s="138">
        <f>'Cap Outlay Deprec 26'!L16</f>
        <v>41184313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3755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498274</v>
      </c>
      <c r="C2088" s="2" t="s">
        <v>573</v>
      </c>
      <c r="D2088" s="2" t="str">
        <f t="shared" si="31"/>
        <v>Error?</v>
      </c>
    </row>
    <row r="2089" spans="1:4" x14ac:dyDescent="0.2">
      <c r="A2089" s="5">
        <v>2028</v>
      </c>
      <c r="B2089" s="138">
        <f>'Expenditures 15-22'!K92</f>
        <v>119470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1105000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908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10513877</v>
      </c>
      <c r="C2551" s="2" t="s">
        <v>573</v>
      </c>
      <c r="D2551" s="2" t="str">
        <f t="shared" si="38"/>
        <v>Error?</v>
      </c>
    </row>
    <row r="2552" spans="1:4" x14ac:dyDescent="0.2">
      <c r="A2552" s="10">
        <v>2491</v>
      </c>
      <c r="D2552" s="2" t="str">
        <f t="shared" si="38"/>
        <v>OK</v>
      </c>
    </row>
    <row r="2553" spans="1:4" x14ac:dyDescent="0.2">
      <c r="A2553" s="5">
        <v>2492</v>
      </c>
      <c r="B2553" s="138">
        <f>'Acct Summary 7-8'!C6</f>
        <v>2868458</v>
      </c>
      <c r="C2553" s="2" t="s">
        <v>573</v>
      </c>
      <c r="D2553" s="2" t="str">
        <f t="shared" si="38"/>
        <v>Error?</v>
      </c>
    </row>
    <row r="2554" spans="1:4" x14ac:dyDescent="0.2">
      <c r="A2554" s="5">
        <v>2493</v>
      </c>
      <c r="B2554" s="138">
        <f>'Acct Summary 7-8'!C7</f>
        <v>1331901</v>
      </c>
      <c r="C2554" s="2" t="s">
        <v>573</v>
      </c>
      <c r="D2554" s="2" t="str">
        <f t="shared" si="38"/>
        <v>Error?</v>
      </c>
    </row>
    <row r="2555" spans="1:4" x14ac:dyDescent="0.2">
      <c r="A2555" s="5">
        <v>2494</v>
      </c>
      <c r="B2555" s="138">
        <f>'Acct Summary 7-8'!C8</f>
        <v>14714236</v>
      </c>
      <c r="C2555" s="2" t="s">
        <v>573</v>
      </c>
      <c r="D2555" s="2" t="str">
        <f t="shared" si="38"/>
        <v>Error?</v>
      </c>
    </row>
    <row r="2556" spans="1:4" x14ac:dyDescent="0.2">
      <c r="A2556" s="5">
        <v>2495</v>
      </c>
      <c r="B2556" s="138">
        <f>'Acct Summary 7-8'!C12</f>
        <v>11710957</v>
      </c>
      <c r="C2556" s="2" t="s">
        <v>573</v>
      </c>
      <c r="D2556" s="2" t="str">
        <f t="shared" si="38"/>
        <v>Error?</v>
      </c>
    </row>
    <row r="2557" spans="1:4" x14ac:dyDescent="0.2">
      <c r="A2557" s="5">
        <v>2496</v>
      </c>
      <c r="B2557" s="138">
        <f>'Acct Summary 7-8'!C13</f>
        <v>3316148</v>
      </c>
      <c r="C2557" s="2" t="s">
        <v>573</v>
      </c>
      <c r="D2557" s="2" t="str">
        <f t="shared" si="38"/>
        <v>Error?</v>
      </c>
    </row>
    <row r="2558" spans="1:4" x14ac:dyDescent="0.2">
      <c r="A2558" s="5">
        <v>2497</v>
      </c>
      <c r="B2558" s="138">
        <f>'Acct Summary 7-8'!C14</f>
        <v>3099</v>
      </c>
      <c r="C2558" s="2" t="s">
        <v>573</v>
      </c>
      <c r="D2558" s="2" t="str">
        <f t="shared" si="38"/>
        <v>Error?</v>
      </c>
    </row>
    <row r="2559" spans="1:4" x14ac:dyDescent="0.2">
      <c r="A2559" s="5">
        <v>2498</v>
      </c>
      <c r="B2559" s="138">
        <f>'Acct Summary 7-8'!C15</f>
        <v>617744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15647948</v>
      </c>
      <c r="C2561" s="2" t="s">
        <v>573</v>
      </c>
      <c r="D2561" s="2" t="str">
        <f t="shared" si="39"/>
        <v>Error?</v>
      </c>
    </row>
    <row r="2562" spans="1:4" x14ac:dyDescent="0.2">
      <c r="A2562" s="5">
        <v>2501</v>
      </c>
      <c r="B2562" s="138">
        <f>'Acct Summary 7-8'!C20</f>
        <v>-933712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2296460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2296460</v>
      </c>
      <c r="C2568" s="2" t="s">
        <v>573</v>
      </c>
      <c r="D2568" s="2" t="str">
        <f t="shared" si="39"/>
        <v>Error?</v>
      </c>
    </row>
    <row r="2569" spans="1:4" x14ac:dyDescent="0.2">
      <c r="A2569" s="5">
        <v>2508</v>
      </c>
      <c r="B2569" s="138">
        <f>'Acct Summary 7-8'!D13</f>
        <v>1712309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1712309</v>
      </c>
      <c r="C2573" s="2" t="s">
        <v>573</v>
      </c>
      <c r="D2573" s="2" t="str">
        <f t="shared" si="39"/>
        <v>Error?</v>
      </c>
    </row>
    <row r="2574" spans="1:4" x14ac:dyDescent="0.2">
      <c r="A2574" s="5">
        <v>2513</v>
      </c>
      <c r="B2574" s="138">
        <f>'Acct Summary 7-8'!D20</f>
        <v>584151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919464</v>
      </c>
      <c r="C2591" s="2" t="s">
        <v>573</v>
      </c>
      <c r="D2591" s="2" t="str">
        <f t="shared" si="39"/>
        <v>Error?</v>
      </c>
    </row>
    <row r="2592" spans="1:4" x14ac:dyDescent="0.2">
      <c r="A2592" s="10">
        <v>2531</v>
      </c>
      <c r="D2592" s="2" t="str">
        <f t="shared" si="39"/>
        <v>OK</v>
      </c>
    </row>
    <row r="2593" spans="1:4" x14ac:dyDescent="0.2">
      <c r="A2593" s="5">
        <v>2532</v>
      </c>
      <c r="B2593" s="138">
        <f>'Acct Summary 7-8'!F6</f>
        <v>426902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1346366</v>
      </c>
      <c r="C2595" s="2" t="s">
        <v>573</v>
      </c>
      <c r="D2595" s="2" t="str">
        <f t="shared" si="39"/>
        <v>Error?</v>
      </c>
    </row>
    <row r="2596" spans="1:4" x14ac:dyDescent="0.2">
      <c r="A2596" s="5">
        <v>2535</v>
      </c>
      <c r="B2596" s="138">
        <f>'Acct Summary 7-8'!F13</f>
        <v>931369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9588</v>
      </c>
      <c r="C2599" s="2" t="s">
        <v>573</v>
      </c>
      <c r="D2599" s="2" t="str">
        <f t="shared" si="39"/>
        <v>Error?</v>
      </c>
    </row>
    <row r="2600" spans="1:4" x14ac:dyDescent="0.2">
      <c r="A2600" s="5">
        <v>2539</v>
      </c>
      <c r="B2600" s="138">
        <f>'Acct Summary 7-8'!F17</f>
        <v>940957</v>
      </c>
      <c r="C2600" s="2" t="s">
        <v>573</v>
      </c>
      <c r="D2600" s="2" t="str">
        <f t="shared" si="39"/>
        <v>Error?</v>
      </c>
    </row>
    <row r="2601" spans="1:4" x14ac:dyDescent="0.2">
      <c r="A2601" s="5">
        <v>2540</v>
      </c>
      <c r="B2601" s="138">
        <f>'Acct Summary 7-8'!F20</f>
        <v>405409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670462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670462</v>
      </c>
      <c r="C2606" s="2" t="s">
        <v>573</v>
      </c>
      <c r="D2606" s="2" t="str">
        <f t="shared" si="39"/>
        <v>Error?</v>
      </c>
    </row>
    <row r="2607" spans="1:4" x14ac:dyDescent="0.2">
      <c r="A2607" s="5">
        <v>2546</v>
      </c>
      <c r="B2607" s="138">
        <f>'Acct Summary 7-8'!G12</f>
        <v>242973</v>
      </c>
      <c r="C2607" s="2" t="s">
        <v>573</v>
      </c>
      <c r="D2607" s="2" t="str">
        <f t="shared" si="39"/>
        <v>Error?</v>
      </c>
    </row>
    <row r="2608" spans="1:4" x14ac:dyDescent="0.2">
      <c r="A2608" s="5">
        <v>2547</v>
      </c>
      <c r="B2608" s="138">
        <f>'Acct Summary 7-8'!G13</f>
        <v>338295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581268</v>
      </c>
      <c r="C2612" s="2" t="s">
        <v>573</v>
      </c>
      <c r="D2612" s="2" t="str">
        <f t="shared" si="39"/>
        <v>Error?</v>
      </c>
    </row>
    <row r="2613" spans="1:4" x14ac:dyDescent="0.2">
      <c r="A2613" s="5">
        <v>2552</v>
      </c>
      <c r="B2613" s="138">
        <f>'Acct Summary 7-8'!G20</f>
        <v>89194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2148444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2148444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2325802</v>
      </c>
      <c r="C2634" s="2" t="s">
        <v>573</v>
      </c>
      <c r="D2634" s="2" t="str">
        <f t="shared" si="40"/>
        <v>Error?</v>
      </c>
    </row>
    <row r="2635" spans="1:4" x14ac:dyDescent="0.2">
      <c r="A2635" s="5">
        <v>2574</v>
      </c>
      <c r="B2635" s="138">
        <f>'Acct Summary 7-8'!E17</f>
        <v>2325802</v>
      </c>
      <c r="C2635" s="2" t="s">
        <v>573</v>
      </c>
      <c r="D2635" s="2" t="str">
        <f t="shared" si="40"/>
        <v>Error?</v>
      </c>
    </row>
    <row r="2636" spans="1:4" x14ac:dyDescent="0.2">
      <c r="A2636" s="5">
        <v>2575</v>
      </c>
      <c r="B2636" s="138">
        <f>'Acct Summary 7-8'!E20</f>
        <v>-177358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494519</v>
      </c>
      <c r="C2789" s="2" t="s">
        <v>573</v>
      </c>
      <c r="D2789" s="2" t="str">
        <f t="shared" si="42"/>
        <v>Error?</v>
      </c>
    </row>
    <row r="2790" spans="1:4" x14ac:dyDescent="0.2">
      <c r="A2790" s="5">
        <v>2729</v>
      </c>
      <c r="B2790" s="138">
        <f>'Expenditures 15-22'!E102</f>
        <v>494519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1659656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1989790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60438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277123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1989790</v>
      </c>
      <c r="D2912" s="2" t="str">
        <f t="shared" si="44"/>
        <v>Error?</v>
      </c>
    </row>
    <row r="2913" spans="1:4" x14ac:dyDescent="0.2">
      <c r="A2913" s="5">
        <v>2852</v>
      </c>
      <c r="B2913" s="138">
        <f>'Assets-Liab 5-6'!I41</f>
        <v>1989790</v>
      </c>
      <c r="C2913" s="2" t="s">
        <v>573</v>
      </c>
      <c r="D2913" s="2" t="str">
        <f t="shared" si="44"/>
        <v>Error?</v>
      </c>
    </row>
    <row r="2914" spans="1:4" x14ac:dyDescent="0.2">
      <c r="A2914" s="5">
        <v>2853</v>
      </c>
      <c r="B2914" s="138">
        <f>'Assets-Liab 5-6'!L33</f>
        <v>277123</v>
      </c>
      <c r="D2914" s="2" t="str">
        <f t="shared" si="44"/>
        <v>Error?</v>
      </c>
    </row>
    <row r="2915" spans="1:4" x14ac:dyDescent="0.2">
      <c r="A2915" s="10">
        <v>2854</v>
      </c>
      <c r="D2915" s="2" t="str">
        <f t="shared" si="44"/>
        <v>OK</v>
      </c>
    </row>
    <row r="2916" spans="1:4" x14ac:dyDescent="0.2">
      <c r="A2916" s="5">
        <v>2855</v>
      </c>
      <c r="B2916" s="138">
        <f>'Assets-Liab 5-6'!L34</f>
        <v>277123</v>
      </c>
      <c r="C2916" s="2" t="s">
        <v>573</v>
      </c>
      <c r="D2916" s="2" t="str">
        <f t="shared" si="44"/>
        <v>Error?</v>
      </c>
    </row>
    <row r="2917" spans="1:4" x14ac:dyDescent="0.2">
      <c r="A2917" s="5">
        <v>2856</v>
      </c>
      <c r="B2917" s="138">
        <f>'Assets-Liab 5-6'!L41</f>
        <v>277123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480869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13650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3755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480869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13650</v>
      </c>
      <c r="C2977" s="2" t="s">
        <v>573</v>
      </c>
      <c r="D2977" s="2" t="str">
        <f t="shared" si="45"/>
        <v>Error?</v>
      </c>
    </row>
    <row r="2978" spans="1:4" x14ac:dyDescent="0.2">
      <c r="A2978" s="5">
        <v>2917</v>
      </c>
      <c r="B2978" s="138">
        <f>'Expenditures 15-22'!K83</f>
        <v>3755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326891</v>
      </c>
      <c r="D3055" s="2" t="str">
        <f t="shared" si="46"/>
        <v>Error?</v>
      </c>
    </row>
    <row r="3056" spans="1:4" x14ac:dyDescent="0.2">
      <c r="A3056" s="5">
        <v>2995</v>
      </c>
      <c r="B3056" s="138">
        <f>'Expenditures 15-22'!D10</f>
        <v>87317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414208</v>
      </c>
      <c r="C3062" s="2" t="s">
        <v>573</v>
      </c>
      <c r="D3062" s="2" t="str">
        <f t="shared" si="46"/>
        <v>Error?</v>
      </c>
    </row>
    <row r="3063" spans="1:4" x14ac:dyDescent="0.2">
      <c r="A3063" s="10">
        <v>3002</v>
      </c>
      <c r="D3063" s="2" t="str">
        <f t="shared" si="46"/>
        <v>OK</v>
      </c>
    </row>
    <row r="3064" spans="1:4" x14ac:dyDescent="0.2">
      <c r="A3064" s="5">
        <v>3003</v>
      </c>
      <c r="B3064" s="138">
        <f>'Expenditures 15-22'!D219</f>
        <v>11278</v>
      </c>
      <c r="D3064" s="2" t="str">
        <f t="shared" si="46"/>
        <v>Error?</v>
      </c>
    </row>
    <row r="3065" spans="1:4" x14ac:dyDescent="0.2">
      <c r="A3065" s="5">
        <v>3004</v>
      </c>
      <c r="B3065" s="138">
        <f>'Expenditures 15-22'!K219</f>
        <v>11278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236970</v>
      </c>
      <c r="C3225" s="2" t="s">
        <v>573</v>
      </c>
      <c r="D3225" s="2" t="str">
        <f t="shared" si="49"/>
        <v>Error?</v>
      </c>
    </row>
    <row r="3226" spans="1:4" x14ac:dyDescent="0.2">
      <c r="A3226" s="5">
        <v>3165</v>
      </c>
      <c r="B3226" s="138">
        <f>'Acct Summary 7-8'!I8</f>
        <v>236970</v>
      </c>
      <c r="C3226" s="2" t="s">
        <v>573</v>
      </c>
      <c r="D3226" s="2" t="str">
        <f t="shared" si="49"/>
        <v>Error?</v>
      </c>
    </row>
    <row r="3227" spans="1:4" x14ac:dyDescent="0.2">
      <c r="A3227" s="5">
        <v>3166</v>
      </c>
      <c r="B3227" s="138">
        <f>'Acct Summary 7-8'!I20</f>
        <v>236970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1105020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174918</v>
      </c>
      <c r="C3231" s="2" t="s">
        <v>573</v>
      </c>
      <c r="D3231" s="2" t="str">
        <f t="shared" si="49"/>
        <v>Error?</v>
      </c>
    </row>
    <row r="3232" spans="1:4" x14ac:dyDescent="0.2">
      <c r="A3232" s="5">
        <v>3171</v>
      </c>
      <c r="B3232" s="138">
        <f>'Acct Summary 7-8'!C77</f>
        <v>930102</v>
      </c>
      <c r="C3232" s="2" t="s">
        <v>573</v>
      </c>
      <c r="D3232" s="2" t="str">
        <f t="shared" si="49"/>
        <v>Error?</v>
      </c>
    </row>
    <row r="3233" spans="1:4" x14ac:dyDescent="0.2">
      <c r="A3233" s="5">
        <v>3172</v>
      </c>
      <c r="B3233" s="138">
        <f>'Acct Summary 7-8'!C78</f>
        <v>-3610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584151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500</v>
      </c>
      <c r="C3255" s="2" t="s">
        <v>573</v>
      </c>
      <c r="D3255" s="2" t="str">
        <f t="shared" si="49"/>
        <v>Error?</v>
      </c>
    </row>
    <row r="3256" spans="1:4" x14ac:dyDescent="0.2">
      <c r="A3256" s="5">
        <v>3195</v>
      </c>
      <c r="B3256" s="138">
        <f>'Acct Summary 7-8'!F78</f>
        <v>405909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89194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174918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174918</v>
      </c>
      <c r="C3277" s="2" t="s">
        <v>573</v>
      </c>
      <c r="D3277" s="2" t="str">
        <f t="shared" si="50"/>
        <v>Error?</v>
      </c>
    </row>
    <row r="3278" spans="1:4" x14ac:dyDescent="0.2">
      <c r="A3278" s="5">
        <v>3217</v>
      </c>
      <c r="B3278" s="138">
        <f>'Acct Summary 7-8'!E78</f>
        <v>-2440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1105000</v>
      </c>
      <c r="C3318" s="2" t="s">
        <v>573</v>
      </c>
      <c r="D3318" s="2" t="str">
        <f t="shared" si="50"/>
        <v>Error?</v>
      </c>
    </row>
    <row r="3319" spans="1:4" x14ac:dyDescent="0.2">
      <c r="A3319" s="5">
        <v>3258</v>
      </c>
      <c r="B3319" s="138">
        <f>'Acct Summary 7-8'!I77</f>
        <v>-1105000</v>
      </c>
      <c r="C3319" s="2" t="s">
        <v>573</v>
      </c>
      <c r="D3319" s="2" t="str">
        <f t="shared" si="50"/>
        <v>Error?</v>
      </c>
    </row>
    <row r="3320" spans="1:4" x14ac:dyDescent="0.2">
      <c r="A3320" s="5">
        <v>3259</v>
      </c>
      <c r="B3320" s="138">
        <f>'Acct Summary 7-8'!I78</f>
        <v>-868030</v>
      </c>
      <c r="C3320" s="2" t="s">
        <v>573</v>
      </c>
      <c r="D3320" s="2" t="str">
        <f t="shared" si="50"/>
        <v>Error?</v>
      </c>
    </row>
    <row r="3321" spans="1:4" x14ac:dyDescent="0.2">
      <c r="A3321" s="5">
        <v>3260</v>
      </c>
      <c r="B3321" s="138">
        <f>'Acct Summary 7-8'!I79</f>
        <v>2857820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1989790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1971826</v>
      </c>
      <c r="D3366" s="2" t="str">
        <f t="shared" si="51"/>
        <v>Error?</v>
      </c>
    </row>
    <row r="3367" spans="1:4" x14ac:dyDescent="0.2">
      <c r="A3367" s="5">
        <v>3306</v>
      </c>
      <c r="B3367" s="138">
        <f>'Expenditures 15-22'!C19</f>
        <v>109556</v>
      </c>
      <c r="D3367" s="2" t="str">
        <f t="shared" si="51"/>
        <v>Error?</v>
      </c>
    </row>
    <row r="3368" spans="1:4" x14ac:dyDescent="0.2">
      <c r="A3368" s="5">
        <v>3307</v>
      </c>
      <c r="B3368" s="138">
        <f>'Expenditures 15-22'!D8</f>
        <v>418924</v>
      </c>
      <c r="D3368" s="2" t="str">
        <f t="shared" si="51"/>
        <v>Error?</v>
      </c>
    </row>
    <row r="3369" spans="1:4" x14ac:dyDescent="0.2">
      <c r="A3369" s="5">
        <v>3308</v>
      </c>
      <c r="B3369" s="138">
        <f>'Expenditures 15-22'!D19</f>
        <v>15365</v>
      </c>
      <c r="D3369" s="2" t="str">
        <f t="shared" si="51"/>
        <v>Error?</v>
      </c>
    </row>
    <row r="3370" spans="1:4" x14ac:dyDescent="0.2">
      <c r="A3370" s="5">
        <v>3309</v>
      </c>
      <c r="B3370" s="138">
        <f>'Expenditures 15-22'!E8</f>
        <v>936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5591</v>
      </c>
      <c r="D3372" s="2" t="str">
        <f t="shared" si="51"/>
        <v>Error?</v>
      </c>
    </row>
    <row r="3373" spans="1:4" x14ac:dyDescent="0.2">
      <c r="A3373" s="5">
        <v>3312</v>
      </c>
      <c r="B3373" s="138">
        <f>'Expenditures 15-22'!F19</f>
        <v>249</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2397277</v>
      </c>
      <c r="C3380" s="2" t="s">
        <v>573</v>
      </c>
      <c r="D3380" s="2" t="str">
        <f t="shared" si="51"/>
        <v>Error?</v>
      </c>
    </row>
    <row r="3381" spans="1:4" x14ac:dyDescent="0.2">
      <c r="A3381" s="5">
        <v>3320</v>
      </c>
      <c r="B3381" s="138">
        <f>'Expenditures 15-22'!K19</f>
        <v>125170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92252</v>
      </c>
      <c r="D3387" s="2" t="str">
        <f t="shared" si="51"/>
        <v>Error?</v>
      </c>
    </row>
    <row r="3388" spans="1:4" x14ac:dyDescent="0.2">
      <c r="A3388" s="5">
        <v>3327</v>
      </c>
      <c r="B3388" s="138">
        <f>'Expenditures 15-22'!D217</f>
        <v>109622</v>
      </c>
      <c r="D3388" s="2" t="str">
        <f t="shared" si="51"/>
        <v>Error?</v>
      </c>
    </row>
    <row r="3389" spans="1:4" x14ac:dyDescent="0.2">
      <c r="A3389" s="5">
        <v>3328</v>
      </c>
      <c r="B3389" s="138">
        <f>'Expenditures 15-22'!D228</f>
        <v>1504</v>
      </c>
      <c r="D3389" s="2" t="str">
        <f t="shared" si="51"/>
        <v>Error?</v>
      </c>
    </row>
    <row r="3390" spans="1:4" x14ac:dyDescent="0.2">
      <c r="A3390" s="5">
        <v>3329</v>
      </c>
      <c r="B3390" s="138">
        <f>'Expenditures 15-22'!K215</f>
        <v>92252</v>
      </c>
      <c r="C3390" s="2" t="s">
        <v>573</v>
      </c>
      <c r="D3390" s="2" t="str">
        <f t="shared" si="51"/>
        <v>Error?</v>
      </c>
    </row>
    <row r="3391" spans="1:4" x14ac:dyDescent="0.2">
      <c r="A3391" s="5">
        <v>3330</v>
      </c>
      <c r="B3391" s="138">
        <f>'Expenditures 15-22'!K217</f>
        <v>109622</v>
      </c>
      <c r="C3391" s="2" t="s">
        <v>573</v>
      </c>
      <c r="D3391" s="2" t="str">
        <f t="shared" ref="D3391:D3454" si="52">IF(ISBLANK(B3391),"OK",IF(A3391-B3391=0,"OK","Error?"))</f>
        <v>Error?</v>
      </c>
    </row>
    <row r="3392" spans="1:4" x14ac:dyDescent="0.2">
      <c r="A3392" s="5">
        <v>3331</v>
      </c>
      <c r="B3392" s="138">
        <f>'Expenditures 15-22'!K228</f>
        <v>1504</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451103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2883522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22864</v>
      </c>
      <c r="D3417" s="2" t="str">
        <f t="shared" si="52"/>
        <v>Error?</v>
      </c>
    </row>
    <row r="3418" spans="1:4" x14ac:dyDescent="0.2">
      <c r="A3418" s="10">
        <v>3357</v>
      </c>
      <c r="D3418" s="2" t="str">
        <f t="shared" si="52"/>
        <v>OK</v>
      </c>
    </row>
    <row r="3419" spans="1:4" x14ac:dyDescent="0.2">
      <c r="A3419" s="5">
        <v>3358</v>
      </c>
      <c r="B3419" s="138">
        <f>'Assets-Liab 5-6'!F4</f>
        <v>770787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741538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908</v>
      </c>
      <c r="D3425" s="2" t="str">
        <f t="shared" si="52"/>
        <v>Error?</v>
      </c>
    </row>
    <row r="3426" spans="1:4" x14ac:dyDescent="0.2">
      <c r="A3426" s="10">
        <v>3365</v>
      </c>
      <c r="D3426" s="2" t="str">
        <f t="shared" si="52"/>
        <v>OK</v>
      </c>
    </row>
    <row r="3427" spans="1:4" x14ac:dyDescent="0.2">
      <c r="A3427" s="5">
        <v>3366</v>
      </c>
      <c r="B3427" s="138">
        <f>'Assets-Liab 5-6'!I4</f>
        <v>330134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216685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309804</v>
      </c>
      <c r="C3446" s="2" t="s">
        <v>573</v>
      </c>
      <c r="D3446" s="2" t="str">
        <f t="shared" si="52"/>
        <v>Error?</v>
      </c>
    </row>
    <row r="3447" spans="1:4" x14ac:dyDescent="0.2">
      <c r="A3447" s="5">
        <v>3386</v>
      </c>
      <c r="B3447" s="138">
        <f>'Tax Sched 23'!D16</f>
        <v>309804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282166</v>
      </c>
      <c r="C3449" s="2" t="s">
        <v>573</v>
      </c>
      <c r="D3449" s="2" t="str">
        <f t="shared" si="52"/>
        <v>Error?</v>
      </c>
    </row>
    <row r="3450" spans="1:4" x14ac:dyDescent="0.2">
      <c r="A3450" s="5">
        <v>3389</v>
      </c>
      <c r="B3450" s="138">
        <f>'Tax Sched 23'!E16</f>
        <v>282166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1209145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124794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1333939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1333939</v>
      </c>
      <c r="D3567" s="2" t="str">
        <f t="shared" si="54"/>
        <v>Error?</v>
      </c>
    </row>
    <row r="3568" spans="1:4" x14ac:dyDescent="0.2">
      <c r="A3568" s="5">
        <v>3507</v>
      </c>
      <c r="B3568" s="138">
        <f>'Assets-Liab 5-6'!K41</f>
        <v>1333939</v>
      </c>
      <c r="C3568" s="2" t="s">
        <v>573</v>
      </c>
      <c r="D3568" s="2" t="str">
        <f t="shared" si="54"/>
        <v>Error?</v>
      </c>
    </row>
    <row r="3569" spans="1:4" x14ac:dyDescent="0.2">
      <c r="A3569" s="5">
        <v>3508</v>
      </c>
      <c r="B3569" s="138">
        <f>'Acct Summary 7-8'!K4</f>
        <v>229953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229953</v>
      </c>
      <c r="C3571" s="2" t="s">
        <v>573</v>
      </c>
      <c r="D3571" s="2" t="str">
        <f t="shared" si="54"/>
        <v>Error?</v>
      </c>
    </row>
    <row r="3572" spans="1:4" x14ac:dyDescent="0.2">
      <c r="A3572" s="5">
        <v>3511</v>
      </c>
      <c r="B3572" s="138">
        <f>'Acct Summary 7-8'!K13</f>
        <v>10967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10967</v>
      </c>
      <c r="C3575" s="2" t="s">
        <v>573</v>
      </c>
      <c r="D3575" s="2" t="str">
        <f t="shared" si="54"/>
        <v>Error?</v>
      </c>
    </row>
    <row r="3576" spans="1:4" x14ac:dyDescent="0.2">
      <c r="A3576" s="5">
        <v>3515</v>
      </c>
      <c r="B3576" s="138">
        <f>'Acct Summary 7-8'!K20</f>
        <v>218986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218986</v>
      </c>
      <c r="C3588" s="2" t="s">
        <v>573</v>
      </c>
      <c r="D3588" s="2" t="str">
        <f t="shared" si="55"/>
        <v>Error?</v>
      </c>
    </row>
    <row r="3589" spans="1:4" x14ac:dyDescent="0.2">
      <c r="A3589" s="5">
        <v>3528</v>
      </c>
      <c r="B3589" s="138">
        <f>'Acct Summary 7-8'!K79</f>
        <v>1114953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1333939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10967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10967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10967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10967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10967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10967</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10967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218986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227600</v>
      </c>
      <c r="C3725" s="2" t="s">
        <v>573</v>
      </c>
      <c r="D3725" s="2" t="str">
        <f t="shared" si="57"/>
        <v>Error?</v>
      </c>
    </row>
    <row r="3726" spans="1:4" x14ac:dyDescent="0.2">
      <c r="A3726" s="5">
        <v>3665</v>
      </c>
      <c r="B3726" s="138">
        <f>'Tax Sched 23'!D13</f>
        <v>227600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233581</v>
      </c>
      <c r="C3728" s="2" t="s">
        <v>573</v>
      </c>
      <c r="D3728" s="2" t="str">
        <f t="shared" si="57"/>
        <v>Error?</v>
      </c>
    </row>
    <row r="3729" spans="1:4" x14ac:dyDescent="0.2">
      <c r="A3729" s="5">
        <v>3668</v>
      </c>
      <c r="B3729" s="138">
        <f>'Tax Sched 23'!E13</f>
        <v>233581</v>
      </c>
      <c r="D3729" s="2" t="str">
        <f t="shared" si="57"/>
        <v>Error?</v>
      </c>
    </row>
    <row r="3730" spans="1:4" x14ac:dyDescent="0.2">
      <c r="A3730" s="5">
        <v>3669</v>
      </c>
      <c r="B3730" s="138">
        <f>'ICR Computation 30'!E10</f>
        <v>478780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-8914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-8914</v>
      </c>
      <c r="D4111" s="2" t="str">
        <f t="shared" si="63"/>
        <v>Error?</v>
      </c>
    </row>
    <row r="4112" spans="1:4" x14ac:dyDescent="0.2">
      <c r="A4112" s="10">
        <v>4051</v>
      </c>
      <c r="D4112" s="2" t="str">
        <f t="shared" si="63"/>
        <v>OK</v>
      </c>
    </row>
    <row r="4113" spans="1:4" x14ac:dyDescent="0.2">
      <c r="A4113" s="5">
        <v>4052</v>
      </c>
      <c r="B4113" s="138">
        <f>'Acct Summary 7-8'!C9</f>
        <v>6177088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20891324</v>
      </c>
      <c r="C4122" s="2" t="s">
        <v>573</v>
      </c>
      <c r="D4122" s="2" t="str">
        <f t="shared" si="63"/>
        <v>Error?</v>
      </c>
    </row>
    <row r="4123" spans="1:4" x14ac:dyDescent="0.2">
      <c r="A4123" s="5">
        <v>4062</v>
      </c>
      <c r="B4123" s="138">
        <f>'Acct Summary 7-8'!D10</f>
        <v>2296460</v>
      </c>
      <c r="C4123" s="2" t="s">
        <v>573</v>
      </c>
      <c r="D4123" s="2" t="str">
        <f t="shared" si="63"/>
        <v>Error?</v>
      </c>
    </row>
    <row r="4124" spans="1:4" x14ac:dyDescent="0.2">
      <c r="A4124" s="5">
        <v>4063</v>
      </c>
      <c r="B4124" s="138">
        <f>'Acct Summary 7-8'!E10</f>
        <v>2148444</v>
      </c>
      <c r="C4124" s="2" t="s">
        <v>573</v>
      </c>
      <c r="D4124" s="2" t="str">
        <f t="shared" si="63"/>
        <v>Error?</v>
      </c>
    </row>
    <row r="4125" spans="1:4" x14ac:dyDescent="0.2">
      <c r="A4125" s="5">
        <v>4064</v>
      </c>
      <c r="B4125" s="138">
        <f>'Acct Summary 7-8'!F10</f>
        <v>1346366</v>
      </c>
      <c r="C4125" s="2" t="s">
        <v>573</v>
      </c>
      <c r="D4125" s="2" t="str">
        <f t="shared" si="63"/>
        <v>Error?</v>
      </c>
    </row>
    <row r="4126" spans="1:4" x14ac:dyDescent="0.2">
      <c r="A4126" s="5">
        <v>4065</v>
      </c>
      <c r="B4126" s="138">
        <f>'Acct Summary 7-8'!G10</f>
        <v>670462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236970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229953</v>
      </c>
      <c r="C4130" s="2" t="s">
        <v>573</v>
      </c>
      <c r="D4130" s="2" t="str">
        <f t="shared" si="63"/>
        <v>Error?</v>
      </c>
    </row>
    <row r="4131" spans="1:4" x14ac:dyDescent="0.2">
      <c r="A4131" s="5">
        <v>4070</v>
      </c>
      <c r="B4131" s="138">
        <f>'Acct Summary 7-8'!C18</f>
        <v>6177088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21825036</v>
      </c>
      <c r="C4136" s="2" t="s">
        <v>573</v>
      </c>
      <c r="D4136" s="2" t="str">
        <f t="shared" si="63"/>
        <v>Error?</v>
      </c>
    </row>
    <row r="4137" spans="1:4" x14ac:dyDescent="0.2">
      <c r="A4137" s="5">
        <v>4076</v>
      </c>
      <c r="B4137" s="138">
        <f>'Acct Summary 7-8'!D19</f>
        <v>1712309</v>
      </c>
      <c r="C4137" s="2" t="s">
        <v>573</v>
      </c>
      <c r="D4137" s="2" t="str">
        <f t="shared" si="63"/>
        <v>Error?</v>
      </c>
    </row>
    <row r="4138" spans="1:4" x14ac:dyDescent="0.2">
      <c r="A4138" s="5">
        <v>4077</v>
      </c>
      <c r="B4138" s="138">
        <f>'Acct Summary 7-8'!E19</f>
        <v>2325802</v>
      </c>
      <c r="C4138" s="2" t="s">
        <v>573</v>
      </c>
      <c r="D4138" s="2" t="str">
        <f t="shared" si="63"/>
        <v>Error?</v>
      </c>
    </row>
    <row r="4139" spans="1:4" x14ac:dyDescent="0.2">
      <c r="A4139" s="5">
        <v>4078</v>
      </c>
      <c r="B4139" s="138">
        <f>'Acct Summary 7-8'!F19</f>
        <v>940957</v>
      </c>
      <c r="C4139" s="2" t="s">
        <v>573</v>
      </c>
      <c r="D4139" s="2" t="str">
        <f t="shared" si="63"/>
        <v>Error?</v>
      </c>
    </row>
    <row r="4140" spans="1:4" x14ac:dyDescent="0.2">
      <c r="A4140" s="5">
        <v>4079</v>
      </c>
      <c r="B4140" s="138">
        <f>'Acct Summary 7-8'!G19</f>
        <v>581268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10967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14202572</v>
      </c>
      <c r="C4171" s="2" t="s">
        <v>573</v>
      </c>
      <c r="D4171" s="2" t="str">
        <f t="shared" si="64"/>
        <v>Error?</v>
      </c>
    </row>
    <row r="4172" spans="1:4" x14ac:dyDescent="0.2">
      <c r="A4172" s="5">
        <v>4111</v>
      </c>
      <c r="B4172" s="138">
        <f>'Short-Term Long-Term Debt 24'!J49</f>
        <v>14179708</v>
      </c>
      <c r="C4172" s="2" t="s">
        <v>573</v>
      </c>
      <c r="D4172" s="2" t="str">
        <f t="shared" si="64"/>
        <v>Error?</v>
      </c>
    </row>
    <row r="4173" spans="1:4" x14ac:dyDescent="0.2">
      <c r="A4173" s="5">
        <v>4112</v>
      </c>
      <c r="B4173" s="138">
        <f>'Short-Term Long-Term Debt 24'!H49</f>
        <v>1834702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7058</v>
      </c>
      <c r="D4210" s="2" t="str">
        <f t="shared" si="64"/>
        <v>Error?</v>
      </c>
    </row>
    <row r="4211" spans="1:4" x14ac:dyDescent="0.2">
      <c r="A4211" s="5">
        <v>4150</v>
      </c>
      <c r="B4211" s="138">
        <f>'Expenditures 15-22'!K206</f>
        <v>7058</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21048059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23400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72494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32048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57825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t="str">
        <f>'Revenues 9-14'!F168</f>
        <v xml:space="preserve"> </v>
      </c>
      <c r="D4795" s="2" t="e">
        <f t="shared" si="73"/>
        <v>#VALUE!</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467161492</v>
      </c>
      <c r="D4995" s="2" t="str">
        <f t="shared" si="77"/>
        <v>Error?</v>
      </c>
    </row>
    <row r="4996" spans="1:4" x14ac:dyDescent="0.2">
      <c r="A4996" s="12">
        <v>4935</v>
      </c>
      <c r="B4996" s="138">
        <f>'FP Info 3'!H31</f>
        <v>64468285.896000005</v>
      </c>
      <c r="D4996" s="2" t="str">
        <f t="shared" si="77"/>
        <v>Error?</v>
      </c>
    </row>
    <row r="4997" spans="1:4" x14ac:dyDescent="0.2">
      <c r="A4997" s="12">
        <v>4936</v>
      </c>
      <c r="B4997" s="138">
        <f>'FP Info 3'!H37</f>
        <v>14202572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227600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8374601</v>
      </c>
      <c r="D5061" s="2" t="str">
        <f t="shared" si="78"/>
        <v>Error?</v>
      </c>
    </row>
    <row r="5062" spans="1:4" x14ac:dyDescent="0.2">
      <c r="A5062" s="10">
        <v>5001</v>
      </c>
      <c r="D5062" s="2" t="str">
        <f t="shared" si="78"/>
        <v>OK</v>
      </c>
    </row>
    <row r="5063" spans="1:4" x14ac:dyDescent="0.2">
      <c r="A5063" s="5">
        <v>5002</v>
      </c>
      <c r="B5063" s="138">
        <f>'Revenues 9-14'!C7</f>
        <v>182037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8784238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1036562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1036562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15009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15009</v>
      </c>
      <c r="C5087" s="2" t="s">
        <v>573</v>
      </c>
      <c r="D5087" s="2" t="str">
        <f t="shared" si="78"/>
        <v>Error?</v>
      </c>
    </row>
    <row r="5088" spans="1:4" x14ac:dyDescent="0.2">
      <c r="A5088" s="5">
        <v>5027</v>
      </c>
      <c r="B5088" s="138">
        <f>'Revenues 9-14'!C65</f>
        <v>54086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54086</v>
      </c>
      <c r="C5090" s="2" t="s">
        <v>573</v>
      </c>
      <c r="D5090" s="2" t="str">
        <f t="shared" si="78"/>
        <v>Error?</v>
      </c>
    </row>
    <row r="5091" spans="1:4" x14ac:dyDescent="0.2">
      <c r="A5091" s="5">
        <v>5030</v>
      </c>
      <c r="B5091" s="138">
        <f>'Revenues 9-14'!C70</f>
        <v>33047</v>
      </c>
      <c r="D5091" s="2" t="str">
        <f t="shared" si="78"/>
        <v>Error?</v>
      </c>
    </row>
    <row r="5092" spans="1:4" x14ac:dyDescent="0.2">
      <c r="A5092" s="5">
        <v>5031</v>
      </c>
      <c r="B5092" s="138">
        <f>'Revenues 9-14'!C71</f>
        <v>132940</v>
      </c>
      <c r="D5092" s="2" t="str">
        <f t="shared" si="78"/>
        <v>Error?</v>
      </c>
    </row>
    <row r="5093" spans="1:4" x14ac:dyDescent="0.2">
      <c r="A5093" s="5">
        <v>5032</v>
      </c>
      <c r="B5093" s="138">
        <f>'Revenues 9-14'!C72</f>
        <v>6533</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345247</v>
      </c>
      <c r="C5096" s="2" t="s">
        <v>573</v>
      </c>
      <c r="D5096" s="2" t="str">
        <f t="shared" si="78"/>
        <v>Error?</v>
      </c>
    </row>
    <row r="5097" spans="1:4" x14ac:dyDescent="0.2">
      <c r="A5097" s="5">
        <v>5036</v>
      </c>
      <c r="B5097" s="138">
        <f>'Revenues 9-14'!C77</f>
        <v>23082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62786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85868</v>
      </c>
      <c r="C5102" s="2" t="s">
        <v>573</v>
      </c>
      <c r="D5102" s="2" t="str">
        <f t="shared" si="78"/>
        <v>Error?</v>
      </c>
    </row>
    <row r="5103" spans="1:4" x14ac:dyDescent="0.2">
      <c r="A5103" s="5">
        <v>5042</v>
      </c>
      <c r="B5103" s="138">
        <f>'Revenues 9-14'!C84</f>
        <v>64342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64342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11190</v>
      </c>
      <c r="D5114" s="2" t="str">
        <f t="shared" si="78"/>
        <v>Error?</v>
      </c>
    </row>
    <row r="5115" spans="1:4" x14ac:dyDescent="0.2">
      <c r="A5115" s="5">
        <v>5054</v>
      </c>
      <c r="B5115" s="138">
        <f>'Revenues 9-14'!C98</f>
        <v>75000</v>
      </c>
      <c r="D5115" s="2" t="str">
        <f t="shared" si="78"/>
        <v>Error?</v>
      </c>
    </row>
    <row r="5116" spans="1:4" x14ac:dyDescent="0.2">
      <c r="A5116" s="5">
        <v>5055</v>
      </c>
      <c r="B5116" s="138">
        <f>'Revenues 9-14'!C99</f>
        <v>11438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17634</v>
      </c>
      <c r="D5118" s="2" t="str">
        <f t="shared" si="78"/>
        <v>Error?</v>
      </c>
    </row>
    <row r="5119" spans="1:4" x14ac:dyDescent="0.2">
      <c r="A5119" s="5">
        <v>5058</v>
      </c>
      <c r="B5119" s="138">
        <f>'Revenues 9-14'!C107</f>
        <v>548</v>
      </c>
      <c r="D5119" s="2" t="str">
        <f t="shared" ref="D5119:D5182" si="79">IF(ISBLANK(B5119),"OK",IF(A5119-B5119=0,"OK","Error?"))</f>
        <v>Error?</v>
      </c>
    </row>
    <row r="5120" spans="1:4" x14ac:dyDescent="0.2">
      <c r="A5120" s="5">
        <v>5059</v>
      </c>
      <c r="B5120" s="138">
        <f>'Revenues 9-14'!C108</f>
        <v>128525</v>
      </c>
      <c r="C5120" s="2" t="s">
        <v>573</v>
      </c>
      <c r="D5120" s="2" t="str">
        <f t="shared" si="79"/>
        <v>Error?</v>
      </c>
    </row>
    <row r="5121" spans="1:4" x14ac:dyDescent="0.2">
      <c r="A5121" s="5">
        <v>5060</v>
      </c>
      <c r="B5121" s="138">
        <f>'Revenues 9-14'!C109</f>
        <v>10513877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2148340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2148340</v>
      </c>
      <c r="C5132" s="2" t="s">
        <v>573</v>
      </c>
      <c r="D5132" s="2" t="str">
        <f t="shared" si="79"/>
        <v>Error?</v>
      </c>
    </row>
    <row r="5133" spans="1:4" x14ac:dyDescent="0.2">
      <c r="A5133" s="5">
        <v>5072</v>
      </c>
      <c r="B5133" s="138">
        <f>'Revenues 9-14'!C125</f>
        <v>288337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52150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340487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8832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8660</v>
      </c>
      <c r="D5167" s="2" t="str">
        <f t="shared" si="79"/>
        <v>Error?</v>
      </c>
    </row>
    <row r="5168" spans="1:4" x14ac:dyDescent="0.2">
      <c r="A5168" s="5">
        <v>5107</v>
      </c>
      <c r="B5168" s="138">
        <f>'Revenues 9-14'!C148</f>
        <v>26290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334533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720118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2868458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365018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129787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494805</v>
      </c>
      <c r="C5246" s="2" t="s">
        <v>573</v>
      </c>
      <c r="D5246" s="2" t="str">
        <f t="shared" si="80"/>
        <v>Error?</v>
      </c>
    </row>
    <row r="5247" spans="1:4" x14ac:dyDescent="0.2">
      <c r="A5247" s="5">
        <v>5186</v>
      </c>
      <c r="B5247" s="138">
        <f>'Revenues 9-14'!C200</f>
        <v>392753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32048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392753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16991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241585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258576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1331901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1331901</v>
      </c>
      <c r="C5326" s="2" t="s">
        <v>573</v>
      </c>
      <c r="D5326" s="2" t="str">
        <f t="shared" si="82"/>
        <v>Error?</v>
      </c>
    </row>
    <row r="5327" spans="1:5" x14ac:dyDescent="0.2">
      <c r="A5327" s="5">
        <v>5266</v>
      </c>
      <c r="B5327" s="138">
        <f>'Revenues 9-14'!C268</f>
        <v>14714236</v>
      </c>
      <c r="C5327" s="2" t="s">
        <v>573</v>
      </c>
      <c r="D5327" s="2" t="str">
        <f t="shared" si="82"/>
        <v>Error?</v>
      </c>
    </row>
    <row r="5328" spans="1:5" x14ac:dyDescent="0.2">
      <c r="A5328" s="5">
        <v>5267</v>
      </c>
      <c r="B5328" s="138">
        <f>'Revenues 9-14'!D5</f>
        <v>2275722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2275722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3735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3735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17003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17003</v>
      </c>
      <c r="C5355" s="2" t="s">
        <v>573</v>
      </c>
      <c r="D5355" s="2" t="str">
        <f t="shared" si="82"/>
        <v>Error?</v>
      </c>
    </row>
    <row r="5356" spans="1:4" x14ac:dyDescent="0.2">
      <c r="A5356" s="5">
        <v>5295</v>
      </c>
      <c r="B5356" s="138">
        <f>'Revenues 9-14'!D109</f>
        <v>2296460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2296460</v>
      </c>
      <c r="C5508" s="2" t="s">
        <v>573</v>
      </c>
      <c r="D5508" s="2" t="str">
        <f t="shared" si="85"/>
        <v>Error?</v>
      </c>
    </row>
    <row r="5509" spans="1:4" x14ac:dyDescent="0.2">
      <c r="A5509" s="5">
        <v>5448</v>
      </c>
      <c r="B5509" s="138">
        <f>'Revenues 9-14'!E5</f>
        <v>2148165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2148165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12</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v>
      </c>
      <c r="C5526" s="2" t="s">
        <v>573</v>
      </c>
      <c r="D5526" s="2" t="str">
        <f t="shared" si="85"/>
        <v>Error?</v>
      </c>
    </row>
    <row r="5527" spans="1:4" x14ac:dyDescent="0.2">
      <c r="A5527" s="5">
        <v>5466</v>
      </c>
      <c r="B5527" s="138">
        <f>'Revenues 9-14'!E109</f>
        <v>2148444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2148444</v>
      </c>
      <c r="C5552" s="2" t="s">
        <v>573</v>
      </c>
      <c r="D5552" s="2" t="str">
        <f t="shared" si="85"/>
        <v>Error?</v>
      </c>
    </row>
    <row r="5553" spans="1:4" x14ac:dyDescent="0.2">
      <c r="A5553" s="5">
        <v>5492</v>
      </c>
      <c r="B5553" s="138">
        <f>'Revenues 9-14'!F5</f>
        <v>910260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910260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8704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8704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500</v>
      </c>
      <c r="D5586" s="2" t="str">
        <f t="shared" si="86"/>
        <v>Error?</v>
      </c>
    </row>
    <row r="5587" spans="1:4" x14ac:dyDescent="0.2">
      <c r="A5587" s="5">
        <v>5526</v>
      </c>
      <c r="B5587" s="138">
        <f>'Revenues 9-14'!F108</f>
        <v>500</v>
      </c>
      <c r="C5587" s="2" t="s">
        <v>573</v>
      </c>
      <c r="D5587" s="2" t="str">
        <f t="shared" si="86"/>
        <v>Error?</v>
      </c>
    </row>
    <row r="5588" spans="1:4" x14ac:dyDescent="0.2">
      <c r="A5588" s="5">
        <v>5527</v>
      </c>
      <c r="B5588" s="138">
        <f>'Revenues 9-14'!F109</f>
        <v>919464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93042</v>
      </c>
      <c r="D5615" s="2" t="str">
        <f t="shared" si="86"/>
        <v>Error?</v>
      </c>
    </row>
    <row r="5616" spans="1:4" x14ac:dyDescent="0.2">
      <c r="A5616" s="10">
        <v>5555</v>
      </c>
      <c r="D5616" s="2" t="str">
        <f t="shared" si="86"/>
        <v>OK</v>
      </c>
    </row>
    <row r="5617" spans="1:5" x14ac:dyDescent="0.2">
      <c r="A5617" s="5">
        <v>5556</v>
      </c>
      <c r="B5617" s="138">
        <f>'Revenues 9-14'!F153</f>
        <v>333860</v>
      </c>
      <c r="D5617" s="2" t="str">
        <f t="shared" si="86"/>
        <v>Error?</v>
      </c>
    </row>
    <row r="5618" spans="1:5" x14ac:dyDescent="0.2">
      <c r="A5618" s="5">
        <v>5557</v>
      </c>
      <c r="B5618" s="138">
        <f>'Revenues 9-14'!F155</f>
        <v>426902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426902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426902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1346366</v>
      </c>
      <c r="C5720" s="2" t="s">
        <v>573</v>
      </c>
      <c r="D5720" s="2" t="str">
        <f t="shared" si="88"/>
        <v>Error?</v>
      </c>
    </row>
    <row r="5721" spans="1:4" x14ac:dyDescent="0.2">
      <c r="A5721" s="5">
        <v>5660</v>
      </c>
      <c r="B5721" s="138">
        <f>'Revenues 9-14'!G5</f>
        <v>309804</v>
      </c>
      <c r="D5721" s="2" t="str">
        <f t="shared" si="88"/>
        <v>Error?</v>
      </c>
    </row>
    <row r="5722" spans="1:4" x14ac:dyDescent="0.2">
      <c r="A5722" s="5">
        <v>5661</v>
      </c>
      <c r="B5722" s="138">
        <f>'Revenues 9-14'!G7</f>
        <v>0</v>
      </c>
      <c r="D5722" s="2" t="str">
        <f t="shared" si="88"/>
        <v>Error?</v>
      </c>
    </row>
    <row r="5723" spans="1:4" x14ac:dyDescent="0.2">
      <c r="A5723" s="5">
        <v>5662</v>
      </c>
      <c r="B5723" s="138">
        <f>'Revenues 9-14'!G8</f>
        <v>309804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619608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854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670462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227600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227600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9370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9370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236970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227600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227600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2353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2353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229953</v>
      </c>
      <c r="C6023" s="2" t="s">
        <v>573</v>
      </c>
      <c r="D6023" s="2" t="str">
        <f t="shared" si="93"/>
        <v>Error?</v>
      </c>
    </row>
    <row r="6024" spans="1:5" x14ac:dyDescent="0.2">
      <c r="A6024" s="5">
        <v>5963</v>
      </c>
      <c r="B6024" s="138">
        <f>'Revenues 9-14'!G109</f>
        <v>670462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236970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229953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172727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15757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1525.1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830857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130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130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830727</v>
      </c>
      <c r="D6215" s="2" t="str">
        <f t="shared" si="96"/>
        <v>Error?</v>
      </c>
      <c r="E6215" s="2" t="s">
        <v>190</v>
      </c>
    </row>
    <row r="6216" spans="1:5" x14ac:dyDescent="0.2">
      <c r="A6216">
        <v>6155</v>
      </c>
      <c r="B6216" s="138">
        <f>'Assets-Liab 5-6'!J41</f>
        <v>830857</v>
      </c>
      <c r="D6216" s="2" t="str">
        <f t="shared" si="96"/>
        <v>Error?</v>
      </c>
      <c r="E6216" s="2" t="s">
        <v>190</v>
      </c>
    </row>
    <row r="6217" spans="1:5" x14ac:dyDescent="0.2">
      <c r="A6217">
        <v>6156</v>
      </c>
      <c r="B6217" s="138">
        <f>'Assets-Liab 5-6'!J4</f>
        <v>830857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1224768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1224768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1224768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761754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761754</v>
      </c>
      <c r="D6229" s="2" t="str">
        <f t="shared" si="96"/>
        <v>Error?</v>
      </c>
      <c r="E6229" s="2" t="s">
        <v>190</v>
      </c>
    </row>
    <row r="6230" spans="1:5" x14ac:dyDescent="0.2">
      <c r="A6230">
        <v>6169</v>
      </c>
      <c r="B6230" s="138">
        <f>'Acct Summary 7-8'!J20</f>
        <v>463014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169644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5274</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463014</v>
      </c>
      <c r="D6263" s="2" t="str">
        <f t="shared" si="96"/>
        <v>Error?</v>
      </c>
      <c r="E6263" s="2" t="s">
        <v>190</v>
      </c>
    </row>
    <row r="6264" spans="1:5" x14ac:dyDescent="0.2">
      <c r="A6264">
        <v>6203</v>
      </c>
      <c r="B6264" s="138">
        <f>'Acct Summary 7-8'!J79</f>
        <v>367713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830727</v>
      </c>
      <c r="D6266" s="2" t="str">
        <f t="shared" si="96"/>
        <v>Error?</v>
      </c>
      <c r="E6266" s="2" t="s">
        <v>190</v>
      </c>
    </row>
    <row r="6267" spans="1:5" x14ac:dyDescent="0.2">
      <c r="A6267">
        <v>6206</v>
      </c>
      <c r="B6267" s="138">
        <f>'Acct Summary 7-8'!C82</f>
        <v>-3610</v>
      </c>
      <c r="D6267" s="2" t="str">
        <f t="shared" si="96"/>
        <v>Error?</v>
      </c>
      <c r="E6267" s="2" t="s">
        <v>190</v>
      </c>
    </row>
    <row r="6268" spans="1:5" x14ac:dyDescent="0.2">
      <c r="A6268">
        <v>6207</v>
      </c>
      <c r="B6268" s="138">
        <f>'Acct Summary 7-8'!D82</f>
        <v>584151</v>
      </c>
      <c r="D6268" s="2" t="str">
        <f t="shared" si="96"/>
        <v>Error?</v>
      </c>
      <c r="E6268" s="2" t="s">
        <v>190</v>
      </c>
    </row>
    <row r="6269" spans="1:5" x14ac:dyDescent="0.2">
      <c r="A6269">
        <v>6208</v>
      </c>
      <c r="B6269" s="138">
        <f>'Acct Summary 7-8'!E82</f>
        <v>-2440</v>
      </c>
      <c r="D6269" s="2" t="str">
        <f t="shared" si="96"/>
        <v>Error?</v>
      </c>
      <c r="E6269" s="2" t="s">
        <v>190</v>
      </c>
    </row>
    <row r="6270" spans="1:5" x14ac:dyDescent="0.2">
      <c r="A6270">
        <v>6209</v>
      </c>
      <c r="B6270" s="138">
        <f>'Acct Summary 7-8'!F82</f>
        <v>405909</v>
      </c>
      <c r="D6270" s="2" t="str">
        <f t="shared" si="96"/>
        <v>Error?</v>
      </c>
      <c r="E6270" s="2" t="s">
        <v>190</v>
      </c>
    </row>
    <row r="6271" spans="1:5" x14ac:dyDescent="0.2">
      <c r="A6271">
        <v>6210</v>
      </c>
      <c r="B6271" s="138">
        <f>'Acct Summary 7-8'!G82</f>
        <v>89194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-868030</v>
      </c>
      <c r="D6273" s="2" t="str">
        <f t="shared" si="97"/>
        <v>Error?</v>
      </c>
      <c r="E6273" s="2" t="s">
        <v>190</v>
      </c>
    </row>
    <row r="6274" spans="1:5" x14ac:dyDescent="0.2">
      <c r="A6274">
        <v>6213</v>
      </c>
      <c r="B6274" s="138">
        <f>'Acct Summary 7-8'!J82</f>
        <v>463014</v>
      </c>
      <c r="D6274" s="2" t="str">
        <f t="shared" si="97"/>
        <v>Error?</v>
      </c>
      <c r="E6274" s="2" t="s">
        <v>190</v>
      </c>
    </row>
    <row r="6275" spans="1:5" x14ac:dyDescent="0.2">
      <c r="A6275">
        <v>6214</v>
      </c>
      <c r="B6275" s="138">
        <f>'Acct Summary 7-8'!K82</f>
        <v>218986</v>
      </c>
      <c r="D6275" s="2" t="str">
        <f t="shared" si="97"/>
        <v>Error?</v>
      </c>
      <c r="E6275" s="2" t="s">
        <v>190</v>
      </c>
    </row>
    <row r="6276" spans="1:5" x14ac:dyDescent="0.2">
      <c r="A6276">
        <v>6215</v>
      </c>
      <c r="B6276" s="138">
        <f>'Acct Summary 7-8'!C83</f>
        <v>-3.2034714627041826E-4</v>
      </c>
      <c r="D6276" s="2" t="str">
        <f t="shared" si="97"/>
        <v>Error?</v>
      </c>
      <c r="E6276" s="2" t="s">
        <v>190</v>
      </c>
    </row>
    <row r="6277" spans="1:5" x14ac:dyDescent="0.2">
      <c r="A6277">
        <v>6216</v>
      </c>
      <c r="B6277" s="138">
        <f>'Acct Summary 7-8'!D83</f>
        <v>0.13637796253563822</v>
      </c>
      <c r="D6277" s="2" t="str">
        <f t="shared" si="97"/>
        <v>Error?</v>
      </c>
      <c r="E6277" s="2" t="s">
        <v>190</v>
      </c>
    </row>
    <row r="6278" spans="1:5" x14ac:dyDescent="0.2">
      <c r="A6278">
        <v>6217</v>
      </c>
      <c r="B6278" s="138">
        <f>'Acct Summary 7-8'!E83</f>
        <v>-0.10671798460461862</v>
      </c>
      <c r="D6278" s="2" t="str">
        <f t="shared" si="97"/>
        <v>Error?</v>
      </c>
      <c r="E6278" s="2" t="s">
        <v>190</v>
      </c>
    </row>
    <row r="6279" spans="1:5" x14ac:dyDescent="0.2">
      <c r="A6279">
        <v>6218</v>
      </c>
      <c r="B6279" s="138">
        <f>'Acct Summary 7-8'!F83</f>
        <v>0.11577816949616648</v>
      </c>
      <c r="D6279" s="2" t="str">
        <f t="shared" si="97"/>
        <v>Error?</v>
      </c>
      <c r="E6279" s="2" t="s">
        <v>190</v>
      </c>
    </row>
    <row r="6280" spans="1:5" x14ac:dyDescent="0.2">
      <c r="A6280">
        <v>6219</v>
      </c>
      <c r="B6280" s="138">
        <f>'Acct Summary 7-8'!G83</f>
        <v>7.3874497669318154E-2</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-0.43624201548907171</v>
      </c>
      <c r="D6282" s="2" t="str">
        <f t="shared" si="97"/>
        <v>Error?</v>
      </c>
      <c r="E6282" s="2" t="s">
        <v>190</v>
      </c>
    </row>
    <row r="6283" spans="1:5" x14ac:dyDescent="0.2">
      <c r="A6283">
        <v>6222</v>
      </c>
      <c r="B6283" s="138">
        <f>'Acct Summary 7-8'!J83</f>
        <v>0.55735999913328926</v>
      </c>
      <c r="D6283" s="2" t="str">
        <f t="shared" si="97"/>
        <v>Error?</v>
      </c>
      <c r="E6283" s="2" t="s">
        <v>190</v>
      </c>
    </row>
    <row r="6284" spans="1:5" x14ac:dyDescent="0.2">
      <c r="A6284">
        <v>6223</v>
      </c>
      <c r="B6284" s="138">
        <f>'Acct Summary 7-8'!K83</f>
        <v>0.16416492808141903</v>
      </c>
      <c r="D6284" s="2" t="str">
        <f t="shared" si="97"/>
        <v>Error?</v>
      </c>
      <c r="E6284" s="2" t="s">
        <v>190</v>
      </c>
    </row>
    <row r="6285" spans="1:5" x14ac:dyDescent="0.2">
      <c r="A6285">
        <v>6224</v>
      </c>
      <c r="B6285" s="138">
        <f>'Acct Summary 7-8'!E37</f>
        <v>169644</v>
      </c>
      <c r="D6285" s="2" t="str">
        <f t="shared" si="97"/>
        <v>Error?</v>
      </c>
      <c r="E6285" s="2" t="s">
        <v>190</v>
      </c>
    </row>
    <row r="6286" spans="1:5" x14ac:dyDescent="0.2">
      <c r="A6286">
        <v>6225</v>
      </c>
      <c r="B6286" s="138">
        <f>'Acct Summary 7-8'!E38</f>
        <v>5274</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1224276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1224276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12715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1224768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8832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198006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254347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140082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99946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714446</v>
      </c>
      <c r="D6880" s="2" t="str">
        <f t="shared" si="106"/>
        <v>Error?</v>
      </c>
    </row>
    <row r="6881" spans="1:4" x14ac:dyDescent="0.2">
      <c r="A6881">
        <v>6820</v>
      </c>
      <c r="B6881" s="138">
        <f>'Expenditures 15-22'!K22</f>
        <v>714446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85836</v>
      </c>
      <c r="D6983" s="2" t="str">
        <f t="shared" si="108"/>
        <v>Error?</v>
      </c>
    </row>
    <row r="6984" spans="1:4" x14ac:dyDescent="0.2">
      <c r="A6984">
        <v>6923</v>
      </c>
      <c r="B6984" s="138">
        <f>'Expenditures 15-22'!K86</f>
        <v>85836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33634</v>
      </c>
      <c r="D6987" s="2" t="str">
        <f t="shared" si="108"/>
        <v>Error?</v>
      </c>
    </row>
    <row r="6988" spans="1:4" x14ac:dyDescent="0.2">
      <c r="A6988">
        <v>6927</v>
      </c>
      <c r="B6988" s="138">
        <f>'Expenditures 15-22'!K88</f>
        <v>33634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119470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761754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1224768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2530</v>
      </c>
      <c r="D7067" s="2" t="str">
        <f t="shared" si="109"/>
        <v>Error?</v>
      </c>
    </row>
    <row r="7068" spans="1:4" x14ac:dyDescent="0.2">
      <c r="A7068">
        <v>7007</v>
      </c>
      <c r="B7068" s="138">
        <f>'Expenditures 15-22'!K205</f>
        <v>2530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11930</v>
      </c>
      <c r="D7073" s="2" t="str">
        <f t="shared" si="109"/>
        <v>Error?</v>
      </c>
    </row>
    <row r="7074" spans="1:4" x14ac:dyDescent="0.2">
      <c r="A7074">
        <v>7013</v>
      </c>
      <c r="B7074" s="138">
        <f>'Expenditures 15-22'!K216</f>
        <v>11930</v>
      </c>
      <c r="D7074" s="2" t="str">
        <f t="shared" si="109"/>
        <v>Error?</v>
      </c>
    </row>
    <row r="7075" spans="1:4" x14ac:dyDescent="0.2">
      <c r="A7075">
        <v>7014</v>
      </c>
      <c r="B7075" s="138">
        <f>'Expenditures 15-22'!D218</f>
        <v>3223</v>
      </c>
      <c r="D7075" s="2" t="str">
        <f t="shared" si="109"/>
        <v>Error?</v>
      </c>
    </row>
    <row r="7076" spans="1:4" x14ac:dyDescent="0.2">
      <c r="A7076">
        <v>7015</v>
      </c>
      <c r="B7076" s="138">
        <f>'Expenditures 15-22'!K218</f>
        <v>3223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1148</v>
      </c>
      <c r="D7079" s="2" t="str">
        <f t="shared" si="109"/>
        <v>Error?</v>
      </c>
    </row>
    <row r="7080" spans="1:4" x14ac:dyDescent="0.2">
      <c r="A7080">
        <v>7019</v>
      </c>
      <c r="B7080" s="138">
        <f>'Expenditures 15-22'!K226</f>
        <v>1148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32566</v>
      </c>
      <c r="D7093" s="2" t="str">
        <f t="shared" si="109"/>
        <v>Error?</v>
      </c>
    </row>
    <row r="7094" spans="1:4" x14ac:dyDescent="0.2">
      <c r="A7094">
        <v>7033</v>
      </c>
      <c r="B7094" s="138">
        <f>'Expenditures 15-22'!K254</f>
        <v>32566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94297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94297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473918</v>
      </c>
      <c r="D7172" s="2" t="str">
        <f t="shared" si="111"/>
        <v>Error?</v>
      </c>
    </row>
    <row r="7173" spans="1:4" x14ac:dyDescent="0.2">
      <c r="A7173">
        <v>7112</v>
      </c>
      <c r="B7173" s="138">
        <f>'Expenditures 15-22'!D325</f>
        <v>59950</v>
      </c>
      <c r="D7173" s="2" t="str">
        <f t="shared" si="111"/>
        <v>Error?</v>
      </c>
    </row>
    <row r="7174" spans="1:4" x14ac:dyDescent="0.2">
      <c r="A7174">
        <v>7113</v>
      </c>
      <c r="B7174" s="138">
        <f>'Expenditures 15-22'!E325</f>
        <v>52960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586828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473918</v>
      </c>
      <c r="D7199" s="2" t="str">
        <f t="shared" si="111"/>
        <v>Error?</v>
      </c>
    </row>
    <row r="7200" spans="1:4" x14ac:dyDescent="0.2">
      <c r="A7200">
        <v>7139</v>
      </c>
      <c r="B7200" s="138">
        <f>'Expenditures 15-22'!D330</f>
        <v>59950</v>
      </c>
      <c r="D7200" s="2" t="str">
        <f t="shared" si="111"/>
        <v>Error?</v>
      </c>
    </row>
    <row r="7201" spans="1:4" x14ac:dyDescent="0.2">
      <c r="A7201">
        <v>7140</v>
      </c>
      <c r="B7201" s="138">
        <f>'Expenditures 15-22'!E330</f>
        <v>227886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761754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473918</v>
      </c>
      <c r="D7216" s="2" t="str">
        <f t="shared" si="111"/>
        <v>Error?</v>
      </c>
    </row>
    <row r="7217" spans="1:4" x14ac:dyDescent="0.2">
      <c r="A7217">
        <v>7156</v>
      </c>
      <c r="B7217" s="138">
        <f>'Expenditures 15-22'!D342</f>
        <v>59950</v>
      </c>
      <c r="D7217" s="2" t="str">
        <f t="shared" si="111"/>
        <v>Error?</v>
      </c>
    </row>
    <row r="7218" spans="1:4" x14ac:dyDescent="0.2">
      <c r="A7218">
        <v>7157</v>
      </c>
      <c r="B7218" s="138">
        <f>'Expenditures 15-22'!E342</f>
        <v>227886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761754</v>
      </c>
      <c r="D7224" s="2" t="str">
        <f t="shared" si="111"/>
        <v>Error?</v>
      </c>
    </row>
    <row r="7225" spans="1:4" x14ac:dyDescent="0.2">
      <c r="A7225">
        <v>7164</v>
      </c>
      <c r="B7225" s="138">
        <f>'Expenditures 15-22'!K343</f>
        <v>463014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42700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10784</v>
      </c>
      <c r="D7248" s="2" t="str">
        <f t="shared" si="112"/>
        <v>Error?</v>
      </c>
    </row>
    <row r="7249" spans="1:4" x14ac:dyDescent="0.2">
      <c r="A7249">
        <f t="shared" si="113"/>
        <v>7188</v>
      </c>
      <c r="B7249" s="138">
        <f>'Expenditures 15-22'!G7</f>
        <v>2857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118733</v>
      </c>
      <c r="D7251" s="2" t="str">
        <f t="shared" si="112"/>
        <v>Error?</v>
      </c>
    </row>
    <row r="7252" spans="1:4" x14ac:dyDescent="0.2">
      <c r="A7252">
        <f t="shared" si="113"/>
        <v>7191</v>
      </c>
      <c r="B7252" s="138">
        <f>'Expenditures 15-22'!D9</f>
        <v>21349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89659</v>
      </c>
      <c r="D7263" s="2" t="str">
        <f t="shared" si="112"/>
        <v>Error?</v>
      </c>
    </row>
    <row r="7264" spans="1:4" x14ac:dyDescent="0.2">
      <c r="A7264">
        <f t="shared" si="113"/>
        <v>7203</v>
      </c>
      <c r="B7264" s="138">
        <f>'Expenditures 15-22'!D17</f>
        <v>9366</v>
      </c>
      <c r="D7264" s="2" t="str">
        <f t="shared" si="112"/>
        <v>Error?</v>
      </c>
    </row>
    <row r="7265" spans="1:5" x14ac:dyDescent="0.2">
      <c r="A7265">
        <f t="shared" si="113"/>
        <v>7204</v>
      </c>
      <c r="B7265" s="138">
        <f>'Expenditures 15-22'!E17</f>
        <v>921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3635</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3635</v>
      </c>
      <c r="D7609" s="2" t="str">
        <f t="shared" si="122"/>
        <v>Error?</v>
      </c>
      <c r="E7609" s="2" t="s">
        <v>19</v>
      </c>
    </row>
    <row r="7610" spans="1:5" x14ac:dyDescent="0.2">
      <c r="A7610">
        <f t="shared" si="123"/>
        <v>7549</v>
      </c>
      <c r="B7610" s="138">
        <f>'Cap Outlay Deprec 26'!H9</f>
        <v>546</v>
      </c>
      <c r="D7610" s="2" t="str">
        <f t="shared" si="122"/>
        <v>Error?</v>
      </c>
      <c r="E7610" s="2" t="s">
        <v>19</v>
      </c>
    </row>
    <row r="7611" spans="1:5" x14ac:dyDescent="0.2">
      <c r="A7611">
        <f t="shared" si="123"/>
        <v>7550</v>
      </c>
      <c r="B7611" s="138">
        <f>'Cap Outlay Deprec 26'!I9</f>
        <v>182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728</v>
      </c>
      <c r="D7613" s="2" t="str">
        <f t="shared" si="122"/>
        <v>Error?</v>
      </c>
      <c r="E7613" s="2" t="s">
        <v>19</v>
      </c>
    </row>
    <row r="7614" spans="1:5" x14ac:dyDescent="0.2">
      <c r="A7614">
        <f t="shared" si="123"/>
        <v>7553</v>
      </c>
      <c r="B7614" s="138">
        <f>'Cap Outlay Deprec 26'!L9</f>
        <v>2907</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1852770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34480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34480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40749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40749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908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12715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26290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39005</v>
      </c>
      <c r="D7719" s="2" t="str">
        <f t="shared" si="126"/>
        <v>Error?</v>
      </c>
      <c r="E7719" s="2" t="s">
        <v>827</v>
      </c>
    </row>
    <row r="7720" spans="1:6" x14ac:dyDescent="0.2">
      <c r="A7720">
        <v>7659</v>
      </c>
      <c r="B7720" s="138">
        <f>'Rest Tax Levies-Tort Im 25'!H14</f>
        <v>182037</v>
      </c>
      <c r="D7720" s="2" t="str">
        <f t="shared" si="126"/>
        <v>Error?</v>
      </c>
      <c r="E7720" s="2" t="s">
        <v>827</v>
      </c>
    </row>
    <row r="7721" spans="1:6" x14ac:dyDescent="0.2">
      <c r="A7721">
        <v>7660</v>
      </c>
      <c r="B7721" s="138">
        <f>'Rest Tax Levies-Tort Im 25'!K14</f>
        <v>39005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908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908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1105000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1849</v>
      </c>
    </row>
    <row r="7775" spans="1:5" x14ac:dyDescent="0.2">
      <c r="A7775">
        <v>7714</v>
      </c>
      <c r="B7775" s="138" t="str">
        <f>'Expenditures 15-22'!H133</f>
        <v xml:space="preserve"> </v>
      </c>
      <c r="D7775" s="2" t="e">
        <f t="shared" si="127"/>
        <v>#VALUE!</v>
      </c>
      <c r="E7775" s="4" t="s">
        <v>1849</v>
      </c>
    </row>
    <row r="7776" spans="1:5" x14ac:dyDescent="0.2">
      <c r="A7776">
        <v>7715</v>
      </c>
      <c r="B7776" s="138">
        <f>'Expenditures 15-22'!K133</f>
        <v>0</v>
      </c>
      <c r="D7776" s="2" t="str">
        <f t="shared" si="127"/>
        <v>Error?</v>
      </c>
      <c r="E7776" s="4" t="s">
        <v>1849</v>
      </c>
    </row>
    <row r="7777" spans="1:5" x14ac:dyDescent="0.2">
      <c r="A7777">
        <v>7716</v>
      </c>
      <c r="B7777" s="138" t="str">
        <f>'Expenditures 15-22'!H157</f>
        <v xml:space="preserve"> </v>
      </c>
      <c r="D7777" s="2" t="e">
        <f t="shared" si="127"/>
        <v>#VALUE!</v>
      </c>
      <c r="E7777" s="4" t="s">
        <v>1849</v>
      </c>
    </row>
    <row r="7778" spans="1:5" x14ac:dyDescent="0.2">
      <c r="A7778">
        <v>7717</v>
      </c>
      <c r="B7778" s="138" t="str">
        <f>'Expenditures 15-22'!K157</f>
        <v xml:space="preserve"> </v>
      </c>
      <c r="D7778" s="2" t="e">
        <f t="shared" si="127"/>
        <v>#VALUE!</v>
      </c>
      <c r="E7778" s="4" t="s">
        <v>1849</v>
      </c>
    </row>
    <row r="7779" spans="1:5" x14ac:dyDescent="0.2">
      <c r="A7779">
        <v>7718</v>
      </c>
      <c r="B7779" s="138" t="str">
        <f>'Expenditures 15-22'!H158</f>
        <v xml:space="preserve"> </v>
      </c>
      <c r="D7779" s="2" t="e">
        <f t="shared" si="127"/>
        <v>#VALUE!</v>
      </c>
      <c r="E7779" s="4" t="s">
        <v>1849</v>
      </c>
    </row>
    <row r="7780" spans="1:5" x14ac:dyDescent="0.2">
      <c r="A7780">
        <v>7719</v>
      </c>
      <c r="B7780" s="138" t="str">
        <f>'Expenditures 15-22'!K158</f>
        <v xml:space="preserve"> </v>
      </c>
      <c r="D7780" s="2" t="e">
        <f t="shared" si="127"/>
        <v>#VALUE!</v>
      </c>
      <c r="E7780" s="4" t="s">
        <v>1849</v>
      </c>
    </row>
    <row r="7781" spans="1:5" x14ac:dyDescent="0.2">
      <c r="A7781">
        <v>7720</v>
      </c>
      <c r="B7781" s="138" t="str">
        <f>'Expenditures 15-22'!H159</f>
        <v xml:space="preserve"> </v>
      </c>
      <c r="D7781" s="2" t="e">
        <f t="shared" si="127"/>
        <v>#VALUE!</v>
      </c>
      <c r="E7781" s="4" t="s">
        <v>1849</v>
      </c>
    </row>
    <row r="7782" spans="1:5" x14ac:dyDescent="0.2">
      <c r="A7782">
        <v>7721</v>
      </c>
      <c r="B7782" s="138" t="str">
        <f>'Expenditures 15-22'!K159</f>
        <v xml:space="preserve"> </v>
      </c>
      <c r="D7782" s="2" t="e">
        <f t="shared" si="127"/>
        <v>#VALUE!</v>
      </c>
      <c r="E7782" s="4" t="s">
        <v>1849</v>
      </c>
    </row>
    <row r="7783" spans="1:5" x14ac:dyDescent="0.2">
      <c r="A7783">
        <v>7722</v>
      </c>
      <c r="B7783" s="138" t="str">
        <f>'Expenditures 15-22'!D282</f>
        <v xml:space="preserve"> </v>
      </c>
      <c r="D7783" s="2" t="e">
        <f t="shared" si="127"/>
        <v>#VALUE!</v>
      </c>
      <c r="E7783" s="4" t="s">
        <v>1849</v>
      </c>
    </row>
    <row r="7784" spans="1:5" x14ac:dyDescent="0.2">
      <c r="A7784">
        <v>7723</v>
      </c>
      <c r="B7784" s="138" t="str">
        <f>'Expenditures 15-22'!K282</f>
        <v xml:space="preserve"> </v>
      </c>
      <c r="D7784" s="2" t="e">
        <f t="shared" si="127"/>
        <v>#VALUE!</v>
      </c>
      <c r="E7784" s="4" t="s">
        <v>1849</v>
      </c>
    </row>
    <row r="7785" spans="1:5" x14ac:dyDescent="0.2">
      <c r="A7785">
        <v>7724</v>
      </c>
      <c r="B7785" s="138" t="str">
        <f>'Expenditures 15-22'!H332</f>
        <v xml:space="preserve"> </v>
      </c>
      <c r="D7785" s="2" t="e">
        <f t="shared" si="127"/>
        <v>#VALUE!</v>
      </c>
      <c r="E7785" s="4" t="s">
        <v>1849</v>
      </c>
    </row>
    <row r="7786" spans="1:5" x14ac:dyDescent="0.2">
      <c r="A7786">
        <v>7725</v>
      </c>
      <c r="B7786" s="138" t="str">
        <f>'Expenditures 15-22'!K332</f>
        <v xml:space="preserve"> </v>
      </c>
      <c r="D7786" s="2" t="e">
        <f t="shared" si="127"/>
        <v>#VALUE!</v>
      </c>
      <c r="E7786" s="4" t="s">
        <v>1849</v>
      </c>
    </row>
    <row r="7787" spans="1:5" x14ac:dyDescent="0.2">
      <c r="A7787">
        <v>7726</v>
      </c>
      <c r="B7787" s="138" t="str">
        <f>'Expenditures 15-22'!H333</f>
        <v xml:space="preserve"> </v>
      </c>
      <c r="D7787" s="2" t="e">
        <f t="shared" si="127"/>
        <v>#VALUE!</v>
      </c>
      <c r="E7787" s="4" t="s">
        <v>1849</v>
      </c>
    </row>
    <row r="7788" spans="1:5" x14ac:dyDescent="0.2">
      <c r="A7788">
        <v>7727</v>
      </c>
      <c r="B7788" s="138" t="str">
        <f>'Expenditures 15-22'!K333</f>
        <v xml:space="preserve"> </v>
      </c>
      <c r="D7788" s="2" t="e">
        <f t="shared" si="127"/>
        <v>#VALUE!</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t="str">
        <f>'Expenditures 15-22'!H354</f>
        <v xml:space="preserve"> </v>
      </c>
      <c r="D7791" s="2" t="e">
        <f t="shared" si="127"/>
        <v>#VALUE!</v>
      </c>
      <c r="E7791" s="4" t="s">
        <v>1849</v>
      </c>
    </row>
    <row r="7792" spans="1:5" x14ac:dyDescent="0.2">
      <c r="A7792">
        <v>7731</v>
      </c>
      <c r="B7792" s="138" t="str">
        <f>'Expenditures 15-22'!K354</f>
        <v xml:space="preserve"> </v>
      </c>
      <c r="D7792" s="2" t="e">
        <f t="shared" si="127"/>
        <v>#VALUE!</v>
      </c>
      <c r="E7792" s="4" t="s">
        <v>1849</v>
      </c>
    </row>
    <row r="7793" spans="1:5" x14ac:dyDescent="0.2">
      <c r="A7793">
        <v>7732</v>
      </c>
      <c r="B7793" s="138" t="str">
        <f>'Expenditures 15-22'!H355</f>
        <v xml:space="preserve"> </v>
      </c>
      <c r="D7793" s="2" t="e">
        <f t="shared" si="127"/>
        <v>#VALUE!</v>
      </c>
      <c r="E7793" s="4" t="s">
        <v>1849</v>
      </c>
    </row>
    <row r="7794" spans="1:5" x14ac:dyDescent="0.2">
      <c r="A7794">
        <v>7733</v>
      </c>
      <c r="B7794" s="138" t="str">
        <f>'Expenditures 15-22'!K355</f>
        <v xml:space="preserve"> </v>
      </c>
      <c r="D7794" s="2" t="e">
        <f t="shared" si="127"/>
        <v>#VALUE!</v>
      </c>
      <c r="E7794" s="4" t="s">
        <v>1849</v>
      </c>
    </row>
    <row r="7795" spans="1:5" x14ac:dyDescent="0.2">
      <c r="A7795">
        <v>7734</v>
      </c>
      <c r="B7795" s="138" t="str">
        <f>'Expenditures 15-22'!E138</f>
        <v xml:space="preserve"> </v>
      </c>
      <c r="D7795" s="2" t="e">
        <f t="shared" si="127"/>
        <v>#VALUE!</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29'!D39</f>
        <v>0</v>
      </c>
      <c r="D7797" s="2" t="str">
        <f t="shared" si="127"/>
        <v>Error?</v>
      </c>
      <c r="E7797" s="4" t="s">
        <v>1898</v>
      </c>
    </row>
    <row r="7798" spans="1:5" x14ac:dyDescent="0.2">
      <c r="A7798">
        <v>7737</v>
      </c>
      <c r="B7798" s="138">
        <f>'Contracts Paid in CY 29'!F39</f>
        <v>0</v>
      </c>
      <c r="D7798" s="2" t="str">
        <f t="shared" si="127"/>
        <v>Error?</v>
      </c>
      <c r="E7798" s="4" t="s">
        <v>1898</v>
      </c>
    </row>
    <row r="7799" spans="1:5" x14ac:dyDescent="0.2">
      <c r="A7799">
        <v>7738</v>
      </c>
      <c r="B7799" s="138">
        <f>'Contracts Paid in CY 29'!G39</f>
        <v>0</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20" sqref="A20"/>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9" t="s">
        <v>1191</v>
      </c>
      <c r="B2" s="2419"/>
      <c r="C2" s="2419"/>
      <c r="D2" s="2419"/>
      <c r="E2" s="2419"/>
      <c r="F2" s="2419"/>
      <c r="G2" s="2419"/>
      <c r="H2" s="2419"/>
      <c r="I2" s="2419"/>
      <c r="J2" s="2419"/>
      <c r="K2" s="2419"/>
      <c r="L2" s="2419"/>
    </row>
    <row r="3" spans="1:29" ht="13.5" customHeight="1" x14ac:dyDescent="0.2">
      <c r="A3" s="2405" t="s">
        <v>1190</v>
      </c>
      <c r="B3" s="2405"/>
      <c r="C3" s="2405"/>
      <c r="D3" s="2405"/>
      <c r="E3" s="2405"/>
      <c r="F3" s="2405"/>
      <c r="G3" s="2405"/>
      <c r="H3" s="2405"/>
      <c r="I3" s="2405"/>
      <c r="J3" s="2405"/>
      <c r="K3" s="2405"/>
      <c r="L3" s="2405"/>
    </row>
    <row r="4" spans="1:29" ht="13.5" customHeight="1" x14ac:dyDescent="0.2">
      <c r="A4" s="2419" t="s">
        <v>1982</v>
      </c>
      <c r="B4" s="2436"/>
      <c r="C4" s="2436"/>
      <c r="D4" s="2436"/>
      <c r="E4" s="2436"/>
      <c r="F4" s="2436"/>
      <c r="G4" s="2436"/>
      <c r="H4" s="2436"/>
      <c r="I4" s="2436"/>
      <c r="J4" s="2436"/>
      <c r="K4" s="2436"/>
      <c r="L4" s="243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9" t="str">
        <f>COVER!A17</f>
        <v>Clinton CUSD 15</v>
      </c>
      <c r="B7" s="2400"/>
      <c r="C7" s="2400"/>
      <c r="D7" s="2437"/>
      <c r="E7" s="2438">
        <f>COVER!A13</f>
        <v>17020015026</v>
      </c>
      <c r="F7" s="2439"/>
      <c r="G7" s="2406" t="str">
        <f>COVER!T23</f>
        <v>066-003845</v>
      </c>
      <c r="H7" s="2407"/>
      <c r="I7" s="2407"/>
      <c r="J7" s="2407"/>
      <c r="K7" s="2407"/>
      <c r="L7" s="2408"/>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9"/>
      <c r="B9" s="2410"/>
      <c r="C9" s="2410"/>
      <c r="D9" s="2410"/>
      <c r="E9" s="2410"/>
      <c r="F9" s="2411"/>
      <c r="G9" s="2412" t="str">
        <f>COVER!T13</f>
        <v>MOSE, YOCKEY, BROWN &amp; KULL, LLC</v>
      </c>
      <c r="H9" s="2413"/>
      <c r="I9" s="2413"/>
      <c r="J9" s="2413"/>
      <c r="K9" s="2413"/>
      <c r="L9" s="2414"/>
    </row>
    <row r="10" spans="1:29" ht="13.5" customHeight="1" x14ac:dyDescent="0.2">
      <c r="A10" s="2396" t="str">
        <f>COVER!A38</f>
        <v>CURT NETTLES</v>
      </c>
      <c r="B10" s="2397"/>
      <c r="C10" s="2397"/>
      <c r="D10" s="2397"/>
      <c r="E10" s="2397"/>
      <c r="F10" s="2398"/>
      <c r="G10" s="2412" t="str">
        <f>COVER!T17</f>
        <v>230 N MORGAN, PO BOX 317</v>
      </c>
      <c r="H10" s="2425"/>
      <c r="I10" s="2425"/>
      <c r="J10" s="2425"/>
      <c r="K10" s="2425"/>
      <c r="L10" s="2426"/>
    </row>
    <row r="11" spans="1:29" ht="13.5" customHeight="1" x14ac:dyDescent="0.2">
      <c r="A11" s="1182" t="s">
        <v>1519</v>
      </c>
      <c r="B11" s="1183"/>
      <c r="C11" s="1184"/>
      <c r="D11" s="1189"/>
      <c r="E11" s="1184"/>
      <c r="F11" s="1188"/>
      <c r="G11" s="2412" t="str">
        <f>COVER!T19</f>
        <v>SHELBYVILLE</v>
      </c>
      <c r="H11" s="2425"/>
      <c r="I11" s="2425"/>
      <c r="J11" s="2425"/>
      <c r="K11" s="2425"/>
      <c r="L11" s="2426"/>
    </row>
    <row r="12" spans="1:29" ht="13.5" customHeight="1" x14ac:dyDescent="0.2">
      <c r="A12" s="2430" t="s">
        <v>1518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1520</v>
      </c>
      <c r="H13" s="2421"/>
      <c r="I13" s="2433" t="str">
        <f>COVER!T25</f>
        <v>mybkcpas@consolidated.net</v>
      </c>
      <c r="J13" s="2434"/>
      <c r="K13" s="2434"/>
      <c r="L13" s="2435"/>
    </row>
    <row r="14" spans="1:29" ht="13.5" customHeight="1" x14ac:dyDescent="0.2">
      <c r="A14" s="2412" t="str">
        <f>COVER!A19</f>
        <v>1210 STATE ROUTE 54 WEST</v>
      </c>
      <c r="B14" s="2425"/>
      <c r="C14" s="2425"/>
      <c r="D14" s="2425"/>
      <c r="E14" s="2425"/>
      <c r="F14" s="2426"/>
      <c r="G14" s="1193" t="s">
        <v>1185</v>
      </c>
      <c r="H14" s="1191"/>
      <c r="I14" s="1191"/>
      <c r="J14" s="1191"/>
      <c r="K14" s="1191"/>
      <c r="L14" s="1192"/>
    </row>
    <row r="15" spans="1:29" ht="13.5" customHeight="1" x14ac:dyDescent="0.2">
      <c r="A15" s="2412" t="str">
        <f>COVER!A21</f>
        <v>CLINTON</v>
      </c>
      <c r="B15" s="2425"/>
      <c r="C15" s="2425"/>
      <c r="D15" s="2425"/>
      <c r="E15" s="2425"/>
      <c r="F15" s="2426"/>
      <c r="G15" s="2422" t="str">
        <f>COVER!T15</f>
        <v>KENT D. KULL</v>
      </c>
      <c r="H15" s="2423"/>
      <c r="I15" s="2423"/>
      <c r="J15" s="2423"/>
      <c r="K15" s="2423"/>
      <c r="L15" s="2424"/>
    </row>
    <row r="16" spans="1:29" ht="12.2" customHeight="1" x14ac:dyDescent="0.2">
      <c r="A16" s="2402">
        <f>COVER!A25</f>
        <v>61727</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3" t="s">
        <v>1184</v>
      </c>
      <c r="H17" s="1191"/>
      <c r="I17" s="1191"/>
      <c r="J17" s="1191"/>
      <c r="K17" s="1195" t="s">
        <v>1183</v>
      </c>
      <c r="L17" s="1188"/>
      <c r="M17" s="1181"/>
    </row>
    <row r="18" spans="1:13" ht="12.2" customHeight="1" x14ac:dyDescent="0.2">
      <c r="A18" s="2396"/>
      <c r="B18" s="2397"/>
      <c r="C18" s="2397"/>
      <c r="D18" s="2397"/>
      <c r="E18" s="2397"/>
      <c r="F18" s="2398"/>
      <c r="G18" s="2399" t="str">
        <f>COVER!T21</f>
        <v>217-774-9587</v>
      </c>
      <c r="H18" s="2400"/>
      <c r="I18" s="2400"/>
      <c r="J18" s="2400"/>
      <c r="K18" s="2399" t="str">
        <f>COVER!X21</f>
        <v>217-774-9589</v>
      </c>
      <c r="L18" s="240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1831</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6"/>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0" sqref="A20"/>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40" t="str">
        <f>'Single Audit Cover'!A7</f>
        <v>Clinton CUSD 15</v>
      </c>
      <c r="B1" s="2436"/>
      <c r="C1" s="2436"/>
      <c r="D1" s="2436"/>
    </row>
    <row r="2" spans="1:11" s="1210" customFormat="1" ht="12.75" x14ac:dyDescent="0.2">
      <c r="A2" s="2441">
        <f>'Single Audit Cover'!E7</f>
        <v>17020015026</v>
      </c>
      <c r="B2" s="2442"/>
      <c r="C2" s="2442"/>
      <c r="D2" s="2442"/>
    </row>
    <row r="3" spans="1:11" s="1210" customFormat="1" ht="12.75" x14ac:dyDescent="0.2">
      <c r="A3" s="2440" t="s">
        <v>1513</v>
      </c>
      <c r="B3" s="2436"/>
      <c r="C3" s="2436"/>
      <c r="D3" s="2436"/>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1832</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49" sqref="B49"/>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44" t="str">
        <f>'Single Audit Cover'!A7</f>
        <v>Clinton CUSD 15</v>
      </c>
      <c r="B1" s="2444"/>
      <c r="C1" s="2444"/>
      <c r="D1" s="2444"/>
      <c r="E1" s="2444"/>
    </row>
    <row r="2" spans="1:5" x14ac:dyDescent="0.2">
      <c r="A2" s="2445">
        <f>'Single Audit Cover'!E7</f>
        <v>17020015026</v>
      </c>
      <c r="B2" s="2445"/>
      <c r="C2" s="2445"/>
      <c r="D2" s="2445"/>
      <c r="E2" s="2445"/>
    </row>
    <row r="3" spans="1:5" ht="4.5" customHeight="1" x14ac:dyDescent="0.2"/>
    <row r="4" spans="1:5" x14ac:dyDescent="0.2">
      <c r="A4" s="2444" t="s">
        <v>1245</v>
      </c>
      <c r="B4" s="2444"/>
      <c r="C4" s="2444"/>
      <c r="D4" s="2444"/>
      <c r="E4" s="2444"/>
    </row>
    <row r="5" spans="1:5" x14ac:dyDescent="0.2">
      <c r="A5" s="2447" t="str">
        <f>'Single Audit Cover'!A4</f>
        <v>Year Ending June 30, 2019</v>
      </c>
      <c r="B5" s="2447"/>
      <c r="C5" s="2447"/>
      <c r="D5" s="2447"/>
      <c r="E5" s="2447"/>
    </row>
    <row r="6" spans="1:5" x14ac:dyDescent="0.2">
      <c r="A6" s="2444" t="s">
        <v>1244</v>
      </c>
      <c r="B6" s="2444"/>
      <c r="C6" s="2444"/>
      <c r="D6" s="2444"/>
      <c r="E6" s="2444"/>
    </row>
    <row r="8" spans="1:5" x14ac:dyDescent="0.2">
      <c r="A8" s="1255" t="s">
        <v>1243</v>
      </c>
    </row>
    <row r="10" spans="1:5" x14ac:dyDescent="0.2">
      <c r="A10" s="1256" t="s">
        <v>1242</v>
      </c>
      <c r="B10" s="1257" t="s">
        <v>1241</v>
      </c>
      <c r="C10" s="1257"/>
      <c r="D10" s="1258">
        <f>SUM('Acct Summary 7-8'!C7:K7)</f>
        <v>1331901</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2175</v>
      </c>
      <c r="B14" s="1257"/>
      <c r="C14" s="1257"/>
      <c r="D14" s="1259">
        <f>'ICR Computation 30'!E11</f>
        <v>15757</v>
      </c>
    </row>
    <row r="15" spans="1:5" x14ac:dyDescent="0.2">
      <c r="A15" s="1256"/>
      <c r="B15" s="1257"/>
      <c r="C15" s="1257"/>
    </row>
    <row r="16" spans="1:5" x14ac:dyDescent="0.2">
      <c r="A16" s="1256" t="s">
        <v>1838</v>
      </c>
      <c r="B16" s="1257"/>
      <c r="C16" s="1257"/>
    </row>
    <row r="17" spans="1:4" x14ac:dyDescent="0.2">
      <c r="A17" s="1256" t="s">
        <v>2054</v>
      </c>
      <c r="B17" s="1257" t="s">
        <v>1236</v>
      </c>
      <c r="C17" s="1257"/>
      <c r="D17" s="1259">
        <f>-SUM('Revenues 9-14'!C264:D264,'Revenues 9-14'!F264:G264)</f>
        <v>-72494</v>
      </c>
    </row>
    <row r="19" spans="1:4" ht="13.5" thickBot="1" x14ac:dyDescent="0.25">
      <c r="A19" s="1260" t="s">
        <v>1235</v>
      </c>
      <c r="D19" s="1261">
        <f>SUM(D10:D17)</f>
        <v>1275164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46"/>
      <c r="B24" s="2446"/>
      <c r="D24" s="1263"/>
    </row>
    <row r="25" spans="1:4" x14ac:dyDescent="0.2">
      <c r="A25" s="2443"/>
      <c r="B25" s="2443"/>
      <c r="D25" s="1263"/>
    </row>
    <row r="26" spans="1:4" x14ac:dyDescent="0.2">
      <c r="A26" s="2443"/>
      <c r="B26" s="2443"/>
      <c r="D26" s="1263"/>
    </row>
    <row r="27" spans="1:4" x14ac:dyDescent="0.2">
      <c r="A27" s="2443"/>
      <c r="B27" s="2443"/>
      <c r="D27" s="1263"/>
    </row>
    <row r="28" spans="1:4" x14ac:dyDescent="0.2">
      <c r="A28" s="2443"/>
      <c r="B28" s="2443"/>
      <c r="D28" s="1263"/>
    </row>
    <row r="29" spans="1:4" x14ac:dyDescent="0.2">
      <c r="A29" s="2443"/>
      <c r="B29" s="2443"/>
      <c r="D29" s="1263"/>
    </row>
    <row r="30" spans="1:4" x14ac:dyDescent="0.2">
      <c r="A30" s="2443"/>
      <c r="B30" s="2443"/>
      <c r="D30" s="1263"/>
    </row>
    <row r="32" spans="1:4" x14ac:dyDescent="0.2">
      <c r="A32" s="1255" t="s">
        <v>1233</v>
      </c>
      <c r="D32" s="1258">
        <f>SUM(D19:D30)</f>
        <v>1275164</v>
      </c>
    </row>
    <row r="33" spans="1:4" x14ac:dyDescent="0.2">
      <c r="D33" s="1264"/>
    </row>
    <row r="34" spans="1:4" x14ac:dyDescent="0.2">
      <c r="A34" s="317" t="s">
        <v>1232</v>
      </c>
    </row>
    <row r="35" spans="1:4" x14ac:dyDescent="0.2">
      <c r="A35" s="317" t="s">
        <v>1231</v>
      </c>
      <c r="B35" s="1253" t="s">
        <v>1230</v>
      </c>
      <c r="D35" s="1265">
        <v>1275164</v>
      </c>
    </row>
    <row r="37" spans="1:4" x14ac:dyDescent="0.2">
      <c r="A37" s="1255" t="s">
        <v>1229</v>
      </c>
    </row>
    <row r="39" spans="1:4" ht="13.35" customHeight="1" x14ac:dyDescent="0.2">
      <c r="A39" s="1262" t="s">
        <v>1228</v>
      </c>
    </row>
    <row r="40" spans="1:4" x14ac:dyDescent="0.2">
      <c r="A40" s="2443"/>
      <c r="B40" s="2443"/>
      <c r="D40" s="1263"/>
    </row>
    <row r="41" spans="1:4" x14ac:dyDescent="0.2">
      <c r="A41" s="2443"/>
      <c r="B41" s="2443"/>
      <c r="D41" s="1266"/>
    </row>
    <row r="42" spans="1:4" x14ac:dyDescent="0.2">
      <c r="A42" s="2443"/>
      <c r="B42" s="2443"/>
      <c r="D42" s="1266"/>
    </row>
    <row r="43" spans="1:4" x14ac:dyDescent="0.2">
      <c r="A43" s="2443"/>
      <c r="B43" s="2443"/>
      <c r="D43" s="1266"/>
    </row>
    <row r="44" spans="1:4" x14ac:dyDescent="0.2">
      <c r="A44" s="2443"/>
      <c r="B44" s="2443"/>
      <c r="D44" s="1266"/>
    </row>
    <row r="45" spans="1:4" x14ac:dyDescent="0.2">
      <c r="A45" s="2443"/>
      <c r="B45" s="2443"/>
      <c r="D45" s="1266"/>
    </row>
    <row r="47" spans="1:4" x14ac:dyDescent="0.2">
      <c r="B47" s="1267" t="s">
        <v>1227</v>
      </c>
      <c r="C47" s="1267"/>
      <c r="D47" s="1268">
        <f>SUM(D35:D45)</f>
        <v>1275164</v>
      </c>
    </row>
    <row r="49" spans="2:4" x14ac:dyDescent="0.2">
      <c r="B49" s="1267" t="s">
        <v>1226</v>
      </c>
      <c r="C49" s="1267"/>
      <c r="D49" s="126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Clinton CUSD 15</v>
      </c>
      <c r="C1" s="2448"/>
      <c r="D1" s="2448"/>
      <c r="E1" s="2448"/>
      <c r="F1" s="2448"/>
      <c r="G1" s="2448"/>
      <c r="H1" s="2448"/>
      <c r="I1" s="2448"/>
      <c r="J1" s="2448"/>
      <c r="K1" s="2448"/>
      <c r="L1" s="2448"/>
      <c r="M1" s="2448"/>
    </row>
    <row r="2" spans="2:14" ht="15" x14ac:dyDescent="0.2">
      <c r="B2" s="2449">
        <f>'Single Audit Cover'!E7</f>
        <v>17020015026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1730</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1834</v>
      </c>
      <c r="I8" s="1314" t="s">
        <v>1262</v>
      </c>
      <c r="J8" s="1313" t="s">
        <v>1983</v>
      </c>
      <c r="K8" s="1314" t="s">
        <v>1261</v>
      </c>
      <c r="L8" s="1315" t="s">
        <v>1257</v>
      </c>
      <c r="M8" s="1316" t="s">
        <v>30</v>
      </c>
    </row>
    <row r="9" spans="2:14" ht="14.25" x14ac:dyDescent="0.2">
      <c r="B9" s="1320" t="s">
        <v>1259</v>
      </c>
      <c r="C9" s="1308" t="s">
        <v>1731</v>
      </c>
      <c r="D9" s="1309" t="s">
        <v>1732</v>
      </c>
      <c r="E9" s="1317" t="s">
        <v>1834</v>
      </c>
      <c r="F9" s="1318" t="s">
        <v>1983</v>
      </c>
      <c r="G9" s="1319" t="s">
        <v>1834</v>
      </c>
      <c r="H9" s="1312" t="s">
        <v>1582</v>
      </c>
      <c r="I9" s="1314" t="s">
        <v>1983</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2128</v>
      </c>
      <c r="C11" s="1333"/>
      <c r="D11" s="1334"/>
      <c r="E11" s="1335"/>
      <c r="F11" s="1335"/>
      <c r="G11" s="1335"/>
      <c r="H11" s="1335"/>
      <c r="I11" s="1335"/>
      <c r="J11" s="1335"/>
      <c r="K11" s="1335"/>
      <c r="L11" s="1335"/>
      <c r="M11" s="1335"/>
    </row>
    <row r="12" spans="2:14" ht="20.100000000000001" customHeight="1" x14ac:dyDescent="0.2">
      <c r="B12" s="1332" t="s">
        <v>2129</v>
      </c>
      <c r="C12" s="1336"/>
      <c r="D12" s="1337"/>
      <c r="E12" s="1338"/>
      <c r="F12" s="1338"/>
      <c r="G12" s="1338"/>
      <c r="H12" s="1338"/>
      <c r="I12" s="1338"/>
      <c r="J12" s="1338"/>
      <c r="K12" s="1338"/>
      <c r="L12" s="1335"/>
      <c r="M12" s="1338"/>
    </row>
    <row r="13" spans="2:14" ht="20.100000000000001" customHeight="1" x14ac:dyDescent="0.2">
      <c r="B13" s="1332" t="s">
        <v>918</v>
      </c>
      <c r="C13" s="1336" t="s">
        <v>2133</v>
      </c>
      <c r="D13" s="1337" t="s">
        <v>2132</v>
      </c>
      <c r="E13" s="1338">
        <v>258547</v>
      </c>
      <c r="F13" s="1338">
        <v>130867</v>
      </c>
      <c r="G13" s="1338">
        <v>352295</v>
      </c>
      <c r="H13" s="1338"/>
      <c r="I13" s="1338">
        <v>37719</v>
      </c>
      <c r="J13" s="1338"/>
      <c r="K13" s="1338"/>
      <c r="L13" s="1335">
        <f t="shared" ref="L13:L25" si="0">+G13+I13+K13</f>
        <v>390014</v>
      </c>
      <c r="M13" s="1338">
        <v>402121</v>
      </c>
    </row>
    <row r="14" spans="2:14" ht="20.100000000000001" customHeight="1" x14ac:dyDescent="0.2">
      <c r="B14" s="1332" t="s">
        <v>918</v>
      </c>
      <c r="C14" s="1336" t="s">
        <v>2133</v>
      </c>
      <c r="D14" s="1337" t="s">
        <v>2134</v>
      </c>
      <c r="E14" s="1938"/>
      <c r="F14" s="1938">
        <v>261886</v>
      </c>
      <c r="G14" s="1938"/>
      <c r="H14" s="1938"/>
      <c r="I14" s="1938">
        <v>366215</v>
      </c>
      <c r="J14" s="1938"/>
      <c r="K14" s="1938"/>
      <c r="L14" s="1938">
        <f t="shared" si="0"/>
        <v>366215</v>
      </c>
      <c r="M14" s="1338">
        <v>465804</v>
      </c>
    </row>
    <row r="15" spans="2:14" ht="20.100000000000001" customHeight="1" x14ac:dyDescent="0.2">
      <c r="B15" s="1332" t="s">
        <v>1169</v>
      </c>
      <c r="C15" s="1336"/>
      <c r="D15" s="1337"/>
      <c r="E15" s="1335"/>
      <c r="F15" s="1335"/>
      <c r="G15" s="1335"/>
      <c r="H15" s="1335"/>
      <c r="I15" s="1335"/>
      <c r="J15" s="1335"/>
      <c r="K15" s="1335"/>
      <c r="L15" s="1335"/>
      <c r="M15" s="1338"/>
    </row>
    <row r="16" spans="2:14" ht="20.100000000000001" customHeight="1" x14ac:dyDescent="0.2">
      <c r="B16" s="1332" t="s">
        <v>2130</v>
      </c>
      <c r="C16" s="1336"/>
      <c r="D16" s="1337"/>
      <c r="E16" s="1938">
        <f>E13+E14</f>
        <v>258547</v>
      </c>
      <c r="F16" s="1938">
        <f t="shared" ref="F16:K16" si="1">F13+F14</f>
        <v>392753</v>
      </c>
      <c r="G16" s="1938">
        <f t="shared" si="1"/>
        <v>352295</v>
      </c>
      <c r="H16" s="1938">
        <f t="shared" si="1"/>
        <v>0</v>
      </c>
      <c r="I16" s="1938">
        <f t="shared" si="1"/>
        <v>403934</v>
      </c>
      <c r="J16" s="1938">
        <f t="shared" si="1"/>
        <v>0</v>
      </c>
      <c r="K16" s="1938">
        <f t="shared" si="1"/>
        <v>0</v>
      </c>
      <c r="L16" s="1938">
        <f t="shared" si="0"/>
        <v>756229</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332" t="s">
        <v>2129</v>
      </c>
      <c r="C18" s="1336"/>
      <c r="D18" s="1337"/>
      <c r="E18" s="1338"/>
      <c r="F18" s="1338"/>
      <c r="G18" s="1338"/>
      <c r="H18" s="1338"/>
      <c r="I18" s="1338"/>
      <c r="J18" s="1338"/>
      <c r="K18" s="1338"/>
      <c r="L18" s="1335"/>
      <c r="M18" s="1338"/>
    </row>
    <row r="19" spans="2:14" ht="20.100000000000001" customHeight="1" x14ac:dyDescent="0.2">
      <c r="B19" s="1332" t="s">
        <v>758</v>
      </c>
      <c r="C19" s="1336" t="s">
        <v>2135</v>
      </c>
      <c r="D19" s="1337" t="s">
        <v>2136</v>
      </c>
      <c r="E19" s="1338">
        <v>54323</v>
      </c>
      <c r="F19" s="1338">
        <v>18401</v>
      </c>
      <c r="G19" s="1338">
        <v>72724</v>
      </c>
      <c r="H19" s="1338"/>
      <c r="I19" s="1338"/>
      <c r="J19" s="1338"/>
      <c r="K19" s="1338"/>
      <c r="L19" s="1335">
        <f t="shared" si="0"/>
        <v>72724</v>
      </c>
      <c r="M19" s="1338">
        <v>72724</v>
      </c>
    </row>
    <row r="20" spans="2:14" ht="20.100000000000001" customHeight="1" x14ac:dyDescent="0.2">
      <c r="B20" s="1332" t="s">
        <v>758</v>
      </c>
      <c r="C20" s="1336" t="s">
        <v>2135</v>
      </c>
      <c r="D20" s="1337" t="s">
        <v>2137</v>
      </c>
      <c r="E20" s="1938"/>
      <c r="F20" s="1938">
        <v>39424</v>
      </c>
      <c r="G20" s="1938"/>
      <c r="H20" s="1938"/>
      <c r="I20" s="1938">
        <v>55219</v>
      </c>
      <c r="J20" s="1938"/>
      <c r="K20" s="1938"/>
      <c r="L20" s="1938">
        <f t="shared" si="0"/>
        <v>55219</v>
      </c>
      <c r="M20" s="1338">
        <v>67823</v>
      </c>
    </row>
    <row r="21" spans="2:14" ht="20.100000000000001" customHeight="1" x14ac:dyDescent="0.2">
      <c r="B21" s="1332"/>
      <c r="C21" s="1336"/>
      <c r="D21" s="1337"/>
      <c r="E21" s="1335"/>
      <c r="F21" s="1335"/>
      <c r="G21" s="1335"/>
      <c r="H21" s="1335"/>
      <c r="I21" s="1335"/>
      <c r="J21" s="1335"/>
      <c r="K21" s="1335"/>
      <c r="L21" s="1335"/>
      <c r="M21" s="1338"/>
    </row>
    <row r="22" spans="2:14" ht="20.100000000000001" customHeight="1" x14ac:dyDescent="0.2">
      <c r="B22" s="1332" t="s">
        <v>2131</v>
      </c>
      <c r="C22" s="1336"/>
      <c r="D22" s="1337"/>
      <c r="E22" s="1938">
        <f>E19+E20</f>
        <v>54323</v>
      </c>
      <c r="F22" s="1938">
        <f t="shared" ref="F22:K22" si="2">F19+F20</f>
        <v>57825</v>
      </c>
      <c r="G22" s="1938">
        <f t="shared" si="2"/>
        <v>72724</v>
      </c>
      <c r="H22" s="1938">
        <f t="shared" si="2"/>
        <v>0</v>
      </c>
      <c r="I22" s="1938">
        <f t="shared" si="2"/>
        <v>55219</v>
      </c>
      <c r="J22" s="1938">
        <f t="shared" si="2"/>
        <v>0</v>
      </c>
      <c r="K22" s="1938">
        <f t="shared" si="2"/>
        <v>0</v>
      </c>
      <c r="L22" s="1938">
        <f t="shared" si="0"/>
        <v>127943</v>
      </c>
      <c r="M22" s="1338"/>
    </row>
    <row r="23" spans="2:14" ht="20.100000000000001" customHeight="1" x14ac:dyDescent="0.2">
      <c r="B23" s="1332"/>
      <c r="C23" s="1336"/>
      <c r="D23" s="1337"/>
      <c r="E23" s="1335"/>
      <c r="F23" s="1335"/>
      <c r="G23" s="1335"/>
      <c r="H23" s="1335"/>
      <c r="I23" s="1335"/>
      <c r="J23" s="1335"/>
      <c r="K23" s="1335"/>
      <c r="L23" s="1335"/>
      <c r="M23" s="1338"/>
    </row>
    <row r="24" spans="2:14" ht="20.100000000000001" customHeight="1" x14ac:dyDescent="0.2">
      <c r="B24" s="1332" t="s">
        <v>2129</v>
      </c>
      <c r="C24" s="1336"/>
      <c r="D24" s="1337"/>
      <c r="E24" s="1338"/>
      <c r="F24" s="1338"/>
      <c r="G24" s="1338"/>
      <c r="H24" s="1338"/>
      <c r="I24" s="1338"/>
      <c r="J24" s="1338"/>
      <c r="K24" s="1338"/>
      <c r="L24" s="1335"/>
      <c r="M24" s="1338"/>
    </row>
    <row r="25" spans="2:14" ht="20.100000000000001" customHeight="1" x14ac:dyDescent="0.2">
      <c r="B25" s="1332" t="s">
        <v>2201</v>
      </c>
      <c r="C25" s="1336" t="s">
        <v>2202</v>
      </c>
      <c r="D25" s="1337" t="s">
        <v>2138</v>
      </c>
      <c r="E25" s="1938"/>
      <c r="F25" s="1938">
        <v>32048</v>
      </c>
      <c r="G25" s="1938"/>
      <c r="H25" s="1938"/>
      <c r="I25" s="1938">
        <v>48371</v>
      </c>
      <c r="J25" s="1938"/>
      <c r="K25" s="1938"/>
      <c r="L25" s="1938">
        <f t="shared" si="0"/>
        <v>48371</v>
      </c>
      <c r="M25" s="1338">
        <v>52093</v>
      </c>
    </row>
    <row r="26" spans="2:14" ht="20.100000000000001" customHeight="1" x14ac:dyDescent="0.2">
      <c r="B26" s="1332"/>
      <c r="C26" s="1336"/>
      <c r="D26" s="1337"/>
      <c r="E26" s="1335"/>
      <c r="F26" s="1335"/>
      <c r="G26" s="1335"/>
      <c r="H26" s="1335"/>
      <c r="I26" s="1335"/>
      <c r="J26" s="1335"/>
      <c r="K26" s="1335"/>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11.25" customHeight="1" x14ac:dyDescent="0.2">
      <c r="B36" s="1358" t="s">
        <v>1734</v>
      </c>
      <c r="C36" s="1359"/>
      <c r="D36" s="1359"/>
      <c r="E36" s="1359"/>
      <c r="F36" s="1359"/>
      <c r="G36" s="1359"/>
      <c r="H36" s="1359"/>
      <c r="I36" s="1360"/>
      <c r="J36" s="1360"/>
      <c r="K36" s="1360"/>
      <c r="L36" s="1360"/>
      <c r="M36" s="1360"/>
    </row>
    <row r="37" spans="2:13" ht="11.25" customHeight="1" x14ac:dyDescent="0.2">
      <c r="B37" s="1361" t="s">
        <v>1584</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1735</v>
      </c>
      <c r="C39" s="1360"/>
      <c r="D39" s="1360"/>
      <c r="E39" s="1360"/>
      <c r="F39" s="1360"/>
      <c r="G39" s="1360"/>
      <c r="H39" s="1360"/>
      <c r="I39" s="1360"/>
      <c r="J39" s="1360"/>
      <c r="K39" s="1360"/>
      <c r="L39" s="1360"/>
      <c r="M39" s="1360"/>
    </row>
    <row r="40" spans="2:13" ht="11.25" customHeight="1" x14ac:dyDescent="0.2">
      <c r="B40" s="1295" t="s">
        <v>1585</v>
      </c>
      <c r="C40" s="1362"/>
      <c r="D40" s="1363"/>
      <c r="E40" s="1295"/>
      <c r="F40" s="1295"/>
      <c r="G40" s="1295"/>
      <c r="H40" s="1295"/>
      <c r="I40" s="1295"/>
      <c r="J40" s="1295"/>
      <c r="K40" s="1364"/>
      <c r="L40" s="1364"/>
      <c r="M40" s="1295"/>
    </row>
    <row r="41" spans="2:13" ht="3.95" customHeight="1" x14ac:dyDescent="0.2">
      <c r="B41" s="1295"/>
      <c r="C41" s="1362"/>
      <c r="D41" s="1363"/>
      <c r="E41" s="1295"/>
      <c r="F41" s="1295"/>
      <c r="G41" s="1295"/>
      <c r="H41" s="1295"/>
      <c r="I41" s="1295"/>
      <c r="J41" s="1295"/>
      <c r="K41" s="1364"/>
      <c r="L41" s="1364"/>
      <c r="M41" s="1295"/>
    </row>
    <row r="42" spans="2:13" ht="11.25" customHeight="1" x14ac:dyDescent="0.2">
      <c r="B42" s="1365" t="s">
        <v>1736</v>
      </c>
      <c r="C42" s="1362"/>
      <c r="D42" s="1363"/>
      <c r="E42" s="1295"/>
      <c r="F42" s="1295"/>
      <c r="G42" s="1295"/>
      <c r="H42" s="1295"/>
      <c r="I42" s="1295"/>
      <c r="J42" s="1295"/>
      <c r="K42" s="1364"/>
      <c r="L42" s="1364"/>
      <c r="M42" s="1295"/>
    </row>
    <row r="43" spans="2:13" ht="3.95" customHeight="1" x14ac:dyDescent="0.2">
      <c r="B43" s="1365"/>
      <c r="C43" s="1362"/>
      <c r="D43" s="1363"/>
      <c r="E43" s="1295"/>
      <c r="F43" s="1295"/>
      <c r="G43" s="1295"/>
      <c r="H43" s="1295"/>
      <c r="I43" s="1295"/>
      <c r="J43" s="1295"/>
      <c r="K43" s="1364"/>
      <c r="L43" s="1364"/>
      <c r="M43" s="1295"/>
    </row>
    <row r="44" spans="2:13" ht="11.25" customHeight="1" x14ac:dyDescent="0.2">
      <c r="B44" s="1366" t="s">
        <v>1737</v>
      </c>
      <c r="C44" s="1362"/>
      <c r="D44" s="1363"/>
      <c r="E44" s="1295"/>
      <c r="F44" s="1295"/>
      <c r="G44" s="1295"/>
      <c r="H44" s="1295"/>
      <c r="I44" s="1295"/>
      <c r="J44" s="1295"/>
      <c r="K44" s="1364"/>
      <c r="L44" s="1364"/>
      <c r="M44" s="1295"/>
    </row>
    <row r="45" spans="2:13" ht="11.25" customHeight="1" x14ac:dyDescent="0.2">
      <c r="B45" s="1295" t="s">
        <v>1586</v>
      </c>
      <c r="G45" s="317"/>
      <c r="H45" s="317"/>
      <c r="I45" s="317"/>
      <c r="J45" s="317"/>
    </row>
    <row r="46" spans="2:13" ht="11.1" customHeight="1" x14ac:dyDescent="0.2">
      <c r="B46" s="1295"/>
      <c r="G46" s="317"/>
      <c r="H46" s="317"/>
      <c r="I46" s="317"/>
      <c r="J46" s="317"/>
    </row>
    <row r="47" spans="2:13" ht="11.1" customHeight="1" x14ac:dyDescent="0.2">
      <c r="B47" s="1295"/>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4" zoomScaleNormal="100" workbookViewId="0">
      <selection activeCell="C12" sqref="C12"/>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Clinton CUSD 15</v>
      </c>
      <c r="C1" s="2448"/>
      <c r="D1" s="2448"/>
      <c r="E1" s="2448"/>
      <c r="F1" s="2448"/>
      <c r="G1" s="2448"/>
      <c r="H1" s="2448"/>
      <c r="I1" s="2448"/>
      <c r="J1" s="2448"/>
      <c r="K1" s="2448"/>
      <c r="L1" s="2448"/>
      <c r="M1" s="2448"/>
    </row>
    <row r="2" spans="2:14" ht="15" x14ac:dyDescent="0.2">
      <c r="B2" s="2449">
        <f>'Single Audit Cover'!E7</f>
        <v>17020015026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1730</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1834</v>
      </c>
      <c r="I8" s="1314" t="s">
        <v>1262</v>
      </c>
      <c r="J8" s="1313" t="s">
        <v>1983</v>
      </c>
      <c r="K8" s="1314" t="s">
        <v>1261</v>
      </c>
      <c r="L8" s="1315" t="s">
        <v>1257</v>
      </c>
      <c r="M8" s="1316" t="s">
        <v>30</v>
      </c>
    </row>
    <row r="9" spans="2:14" ht="14.25" x14ac:dyDescent="0.2">
      <c r="B9" s="1320" t="s">
        <v>1259</v>
      </c>
      <c r="C9" s="1308" t="s">
        <v>1731</v>
      </c>
      <c r="D9" s="1309" t="s">
        <v>1732</v>
      </c>
      <c r="E9" s="1317" t="s">
        <v>1834</v>
      </c>
      <c r="F9" s="1318" t="s">
        <v>1983</v>
      </c>
      <c r="G9" s="1319" t="s">
        <v>1834</v>
      </c>
      <c r="H9" s="1312" t="s">
        <v>1582</v>
      </c>
      <c r="I9" s="1314" t="s">
        <v>1983</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39" t="s">
        <v>2139</v>
      </c>
      <c r="C11" s="1333"/>
      <c r="D11" s="1334"/>
      <c r="E11" s="1335"/>
      <c r="F11" s="1335"/>
      <c r="G11" s="1335"/>
      <c r="H11" s="1335"/>
      <c r="I11" s="1335"/>
      <c r="J11" s="1335"/>
      <c r="K11" s="1335"/>
      <c r="L11" s="1335"/>
      <c r="M11" s="1335"/>
    </row>
    <row r="12" spans="2:14" ht="20.100000000000001" customHeight="1" x14ac:dyDescent="0.2">
      <c r="B12" s="1939" t="s">
        <v>2144</v>
      </c>
      <c r="C12" s="1336"/>
      <c r="D12" s="1337"/>
      <c r="E12" s="1338"/>
      <c r="F12" s="1338"/>
      <c r="G12" s="1338"/>
      <c r="H12" s="1338"/>
      <c r="I12" s="1338"/>
      <c r="J12" s="1338"/>
      <c r="K12" s="1338"/>
      <c r="L12" s="1335"/>
      <c r="M12" s="1338"/>
    </row>
    <row r="13" spans="2:14" ht="20.100000000000001" customHeight="1" x14ac:dyDescent="0.2">
      <c r="B13" s="1332" t="s">
        <v>2203</v>
      </c>
      <c r="C13" s="1336" t="s">
        <v>2141</v>
      </c>
      <c r="D13" s="1337" t="s">
        <v>2142</v>
      </c>
      <c r="E13" s="1338">
        <v>295428</v>
      </c>
      <c r="F13" s="1338">
        <v>25703</v>
      </c>
      <c r="G13" s="1338">
        <v>321131</v>
      </c>
      <c r="H13" s="1338"/>
      <c r="I13" s="1338">
        <v>25703</v>
      </c>
      <c r="J13" s="1338"/>
      <c r="K13" s="1338"/>
      <c r="L13" s="1335">
        <f t="shared" ref="L13:L26" si="0">+G13+I13+K13</f>
        <v>346834</v>
      </c>
      <c r="M13" s="1338">
        <v>359489</v>
      </c>
    </row>
    <row r="14" spans="2:14" ht="20.100000000000001" customHeight="1" x14ac:dyDescent="0.2">
      <c r="B14" s="1332" t="s">
        <v>2203</v>
      </c>
      <c r="C14" s="1336" t="s">
        <v>2141</v>
      </c>
      <c r="D14" s="1337" t="s">
        <v>2143</v>
      </c>
      <c r="E14" s="1938"/>
      <c r="F14" s="1938">
        <v>215882</v>
      </c>
      <c r="G14" s="1938"/>
      <c r="H14" s="1938"/>
      <c r="I14" s="1938">
        <v>215882</v>
      </c>
      <c r="J14" s="1938"/>
      <c r="K14" s="1938"/>
      <c r="L14" s="1938">
        <f t="shared" si="0"/>
        <v>215882</v>
      </c>
      <c r="M14" s="1948">
        <v>439622</v>
      </c>
    </row>
    <row r="15" spans="2:14" ht="20.100000000000001" customHeight="1" x14ac:dyDescent="0.2">
      <c r="B15" s="1332"/>
      <c r="C15" s="1336"/>
      <c r="D15" s="1337"/>
      <c r="E15" s="1335"/>
      <c r="F15" s="1335"/>
      <c r="G15" s="1335"/>
      <c r="H15" s="1335"/>
      <c r="I15" s="1335"/>
      <c r="J15" s="1335"/>
      <c r="K15" s="1335"/>
      <c r="L15" s="1335"/>
      <c r="M15" s="1338"/>
    </row>
    <row r="16" spans="2:14" ht="20.100000000000001" customHeight="1" x14ac:dyDescent="0.2">
      <c r="B16" s="1332" t="s">
        <v>2140</v>
      </c>
      <c r="C16" s="1336"/>
      <c r="D16" s="1337"/>
      <c r="E16" s="1938">
        <f>E14+E13</f>
        <v>295428</v>
      </c>
      <c r="F16" s="1938">
        <f t="shared" ref="F16:K16" si="1">F14+F13</f>
        <v>241585</v>
      </c>
      <c r="G16" s="1938">
        <f t="shared" si="1"/>
        <v>321131</v>
      </c>
      <c r="H16" s="1938">
        <f t="shared" si="1"/>
        <v>0</v>
      </c>
      <c r="I16" s="1938">
        <f t="shared" si="1"/>
        <v>241585</v>
      </c>
      <c r="J16" s="1938">
        <f t="shared" si="1"/>
        <v>0</v>
      </c>
      <c r="K16" s="1938">
        <f t="shared" si="1"/>
        <v>0</v>
      </c>
      <c r="L16" s="1938">
        <f t="shared" si="0"/>
        <v>562716</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939" t="s">
        <v>2144</v>
      </c>
      <c r="C18" s="1336"/>
      <c r="D18" s="1337"/>
      <c r="E18" s="1338"/>
      <c r="F18" s="1338"/>
      <c r="G18" s="1338"/>
      <c r="H18" s="1338"/>
      <c r="I18" s="1338"/>
      <c r="J18" s="1338"/>
      <c r="K18" s="1338"/>
      <c r="L18" s="1335"/>
      <c r="M18" s="1338"/>
    </row>
    <row r="19" spans="2:14" ht="20.100000000000001" customHeight="1" x14ac:dyDescent="0.2">
      <c r="B19" s="1332" t="s">
        <v>2204</v>
      </c>
      <c r="C19" s="1336" t="s">
        <v>2145</v>
      </c>
      <c r="D19" s="1337" t="s">
        <v>2146</v>
      </c>
      <c r="E19" s="1338">
        <v>28064</v>
      </c>
      <c r="F19" s="1338">
        <v>3982</v>
      </c>
      <c r="G19" s="1338">
        <v>31488</v>
      </c>
      <c r="H19" s="1338"/>
      <c r="I19" s="1338">
        <v>3982</v>
      </c>
      <c r="J19" s="1338"/>
      <c r="K19" s="1338"/>
      <c r="L19" s="1335">
        <f t="shared" si="0"/>
        <v>35470</v>
      </c>
      <c r="M19" s="1338">
        <v>32046</v>
      </c>
    </row>
    <row r="20" spans="2:14" ht="20.100000000000001" customHeight="1" x14ac:dyDescent="0.2">
      <c r="B20" s="1332" t="s">
        <v>2204</v>
      </c>
      <c r="C20" s="1336" t="s">
        <v>2145</v>
      </c>
      <c r="D20" s="1337" t="s">
        <v>2147</v>
      </c>
      <c r="E20" s="1938"/>
      <c r="F20" s="1938">
        <v>13009</v>
      </c>
      <c r="G20" s="1938"/>
      <c r="H20" s="1938"/>
      <c r="I20" s="1938">
        <v>13009</v>
      </c>
      <c r="J20" s="1938"/>
      <c r="K20" s="1938"/>
      <c r="L20" s="1938">
        <f t="shared" si="0"/>
        <v>13009</v>
      </c>
      <c r="M20" s="1948">
        <v>32419</v>
      </c>
    </row>
    <row r="21" spans="2:14" ht="20.100000000000001" customHeight="1" x14ac:dyDescent="0.2">
      <c r="B21" s="1332"/>
      <c r="C21" s="1336"/>
      <c r="D21" s="1337"/>
      <c r="E21" s="1335"/>
      <c r="F21" s="1335"/>
      <c r="G21" s="1335"/>
      <c r="H21" s="1335"/>
      <c r="I21" s="1335"/>
      <c r="J21" s="1335"/>
      <c r="K21" s="1335"/>
      <c r="L21" s="1335"/>
      <c r="M21" s="1338"/>
    </row>
    <row r="22" spans="2:14" ht="20.100000000000001" customHeight="1" x14ac:dyDescent="0.2">
      <c r="B22" s="1332" t="s">
        <v>2148</v>
      </c>
      <c r="C22" s="1336"/>
      <c r="D22" s="1337"/>
      <c r="E22" s="1938">
        <f>E19+E20</f>
        <v>28064</v>
      </c>
      <c r="F22" s="1938">
        <f t="shared" ref="F22:K22" si="2">F19+F20</f>
        <v>16991</v>
      </c>
      <c r="G22" s="1938">
        <f t="shared" si="2"/>
        <v>31488</v>
      </c>
      <c r="H22" s="1938">
        <f t="shared" si="2"/>
        <v>0</v>
      </c>
      <c r="I22" s="1938">
        <f t="shared" si="2"/>
        <v>16991</v>
      </c>
      <c r="J22" s="1938">
        <f t="shared" si="2"/>
        <v>0</v>
      </c>
      <c r="K22" s="1938">
        <f t="shared" si="2"/>
        <v>0</v>
      </c>
      <c r="L22" s="1938">
        <f t="shared" si="0"/>
        <v>48479</v>
      </c>
      <c r="M22" s="1338"/>
    </row>
    <row r="23" spans="2:14" ht="20.100000000000001" customHeight="1" x14ac:dyDescent="0.2">
      <c r="B23" s="1332"/>
      <c r="C23" s="1336"/>
      <c r="D23" s="1337"/>
      <c r="E23" s="1335"/>
      <c r="F23" s="1335"/>
      <c r="G23" s="1335"/>
      <c r="H23" s="1335"/>
      <c r="I23" s="1335"/>
      <c r="J23" s="1335"/>
      <c r="K23" s="1335"/>
      <c r="L23" s="1335"/>
      <c r="M23" s="1338"/>
    </row>
    <row r="24" spans="2:14" ht="20.100000000000001" customHeight="1" x14ac:dyDescent="0.2">
      <c r="B24" s="1332" t="s">
        <v>2149</v>
      </c>
      <c r="C24" s="1336"/>
      <c r="D24" s="1337"/>
      <c r="E24" s="1938">
        <f>E22+E16</f>
        <v>323492</v>
      </c>
      <c r="F24" s="1938">
        <f t="shared" ref="F24:K24" si="3">F22+F16</f>
        <v>258576</v>
      </c>
      <c r="G24" s="1938">
        <f t="shared" si="3"/>
        <v>352619</v>
      </c>
      <c r="H24" s="1938">
        <f t="shared" si="3"/>
        <v>0</v>
      </c>
      <c r="I24" s="1938">
        <f t="shared" si="3"/>
        <v>258576</v>
      </c>
      <c r="J24" s="1938">
        <f t="shared" si="3"/>
        <v>0</v>
      </c>
      <c r="K24" s="1938">
        <f t="shared" si="3"/>
        <v>0</v>
      </c>
      <c r="L24" s="1938">
        <f t="shared" si="0"/>
        <v>611195</v>
      </c>
      <c r="M24" s="1338"/>
    </row>
    <row r="25" spans="2:14" ht="20.100000000000001" customHeight="1" x14ac:dyDescent="0.2">
      <c r="B25" s="1332"/>
      <c r="C25" s="1336"/>
      <c r="D25" s="1337"/>
      <c r="E25" s="1335"/>
      <c r="F25" s="1335"/>
      <c r="G25" s="1335"/>
      <c r="H25" s="1335"/>
      <c r="I25" s="1335"/>
      <c r="J25" s="1335"/>
      <c r="K25" s="1335"/>
      <c r="L25" s="1335"/>
      <c r="M25" s="1338"/>
    </row>
    <row r="26" spans="2:14" ht="20.100000000000001" customHeight="1" x14ac:dyDescent="0.2">
      <c r="B26" s="1939" t="s">
        <v>2150</v>
      </c>
      <c r="C26" s="1940"/>
      <c r="D26" s="1941"/>
      <c r="E26" s="1943">
        <f>E24+' SEFA'!E25+' SEFA'!E22+' SEFA'!E16</f>
        <v>636362</v>
      </c>
      <c r="F26" s="1943">
        <f>F24+' SEFA'!F25+' SEFA'!F22+' SEFA'!F16</f>
        <v>741202</v>
      </c>
      <c r="G26" s="1943">
        <f>G24+' SEFA'!G25+' SEFA'!G22+' SEFA'!G16</f>
        <v>777638</v>
      </c>
      <c r="H26" s="1943">
        <f>H24+' SEFA'!H25+' SEFA'!H22+' SEFA'!H16</f>
        <v>0</v>
      </c>
      <c r="I26" s="1943">
        <f>I24+' SEFA'!I25+' SEFA'!I22+' SEFA'!I16</f>
        <v>766100</v>
      </c>
      <c r="J26" s="1943">
        <f>J24+' SEFA'!J25+' SEFA'!J22+' SEFA'!J16</f>
        <v>0</v>
      </c>
      <c r="K26" s="1943">
        <f>K24+' SEFA'!K25+' SEFA'!K22+' SEFA'!K16</f>
        <v>0</v>
      </c>
      <c r="L26" s="1943">
        <f t="shared" si="0"/>
        <v>1543738</v>
      </c>
      <c r="M26" s="1942"/>
    </row>
    <row r="27" spans="2:14" ht="20.100000000000001" customHeight="1" x14ac:dyDescent="0.2">
      <c r="B27" s="1332"/>
      <c r="C27" s="1336"/>
      <c r="D27" s="1337"/>
      <c r="E27" s="1335"/>
      <c r="F27" s="1335"/>
      <c r="G27" s="1335"/>
      <c r="H27" s="1335"/>
      <c r="I27" s="1335"/>
      <c r="J27" s="1335"/>
      <c r="K27" s="1335"/>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11.25" customHeight="1" x14ac:dyDescent="0.2">
      <c r="B36" s="1358" t="s">
        <v>1734</v>
      </c>
      <c r="C36" s="1359"/>
      <c r="D36" s="1359"/>
      <c r="E36" s="1359"/>
      <c r="F36" s="1359"/>
      <c r="G36" s="1359"/>
      <c r="H36" s="1359"/>
      <c r="I36" s="1360"/>
      <c r="J36" s="1360"/>
      <c r="K36" s="1360"/>
      <c r="L36" s="1360"/>
      <c r="M36" s="1360"/>
    </row>
    <row r="37" spans="2:13" ht="11.25" customHeight="1" x14ac:dyDescent="0.2">
      <c r="B37" s="1361" t="s">
        <v>1584</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1735</v>
      </c>
      <c r="C39" s="1360"/>
      <c r="D39" s="1360"/>
      <c r="E39" s="1360"/>
      <c r="F39" s="1360"/>
      <c r="G39" s="1360"/>
      <c r="H39" s="1360"/>
      <c r="I39" s="1360"/>
      <c r="J39" s="1360"/>
      <c r="K39" s="1360"/>
      <c r="L39" s="1360"/>
      <c r="M39" s="1360"/>
    </row>
    <row r="40" spans="2:13" ht="11.25" customHeight="1" x14ac:dyDescent="0.2">
      <c r="B40" s="1295" t="s">
        <v>1585</v>
      </c>
      <c r="C40" s="1362"/>
      <c r="D40" s="1363"/>
      <c r="E40" s="1295"/>
      <c r="F40" s="1295"/>
      <c r="G40" s="1295"/>
      <c r="H40" s="1295"/>
      <c r="I40" s="1295"/>
      <c r="J40" s="1295"/>
      <c r="K40" s="1364"/>
      <c r="L40" s="1364"/>
      <c r="M40" s="1295"/>
    </row>
    <row r="41" spans="2:13" ht="3.95" customHeight="1" x14ac:dyDescent="0.2">
      <c r="B41" s="1295"/>
      <c r="C41" s="1362"/>
      <c r="D41" s="1363"/>
      <c r="E41" s="1295"/>
      <c r="F41" s="1295"/>
      <c r="G41" s="1295"/>
      <c r="H41" s="1295"/>
      <c r="I41" s="1295"/>
      <c r="J41" s="1295"/>
      <c r="K41" s="1364"/>
      <c r="L41" s="1364"/>
      <c r="M41" s="1295"/>
    </row>
    <row r="42" spans="2:13" ht="11.25" customHeight="1" x14ac:dyDescent="0.2">
      <c r="B42" s="1365" t="s">
        <v>1736</v>
      </c>
      <c r="C42" s="1362"/>
      <c r="D42" s="1363"/>
      <c r="E42" s="1295"/>
      <c r="F42" s="1295"/>
      <c r="G42" s="1295"/>
      <c r="H42" s="1295"/>
      <c r="I42" s="1295"/>
      <c r="J42" s="1295"/>
      <c r="K42" s="1364"/>
      <c r="L42" s="1364"/>
      <c r="M42" s="1295"/>
    </row>
    <row r="43" spans="2:13" ht="3.95" customHeight="1" x14ac:dyDescent="0.2">
      <c r="B43" s="1365"/>
      <c r="C43" s="1362"/>
      <c r="D43" s="1363"/>
      <c r="E43" s="1295"/>
      <c r="F43" s="1295"/>
      <c r="G43" s="1295"/>
      <c r="H43" s="1295"/>
      <c r="I43" s="1295"/>
      <c r="J43" s="1295"/>
      <c r="K43" s="1364"/>
      <c r="L43" s="1364"/>
      <c r="M43" s="1295"/>
    </row>
    <row r="44" spans="2:13" ht="11.25" customHeight="1" x14ac:dyDescent="0.2">
      <c r="B44" s="1366" t="s">
        <v>1737</v>
      </c>
      <c r="C44" s="1362"/>
      <c r="D44" s="1363"/>
      <c r="E44" s="1295"/>
      <c r="F44" s="1295"/>
      <c r="G44" s="1295"/>
      <c r="H44" s="1295"/>
      <c r="I44" s="1295"/>
      <c r="J44" s="1295"/>
      <c r="K44" s="1364"/>
      <c r="L44" s="1364"/>
      <c r="M44" s="1295"/>
    </row>
    <row r="45" spans="2:13" ht="11.25" customHeight="1" x14ac:dyDescent="0.2">
      <c r="B45" s="1295" t="s">
        <v>1586</v>
      </c>
      <c r="G45" s="317"/>
      <c r="H45" s="317"/>
      <c r="I45" s="317"/>
      <c r="J45" s="317"/>
    </row>
    <row r="46" spans="2:13" ht="11.1" customHeight="1" x14ac:dyDescent="0.2">
      <c r="B46" s="1295"/>
      <c r="G46" s="317"/>
      <c r="H46" s="317"/>
      <c r="I46" s="317"/>
      <c r="J46" s="317"/>
    </row>
    <row r="47" spans="2:13" ht="11.1" customHeight="1" x14ac:dyDescent="0.2">
      <c r="B47" s="1295"/>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2060</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2060</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2060</v>
      </c>
      <c r="C54" s="179">
        <v>23</v>
      </c>
      <c r="D54" s="243" t="s">
        <v>1362</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2197</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1899</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2061</v>
      </c>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1900</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zoomScaleNormal="100" workbookViewId="0">
      <selection activeCell="B49" sqref="B49"/>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Clinton CUSD 15</v>
      </c>
      <c r="C1" s="2448"/>
      <c r="D1" s="2448"/>
      <c r="E1" s="2448"/>
      <c r="F1" s="2448"/>
      <c r="G1" s="2448"/>
      <c r="H1" s="2448"/>
      <c r="I1" s="2448"/>
      <c r="J1" s="2448"/>
      <c r="K1" s="2448"/>
      <c r="L1" s="2448"/>
      <c r="M1" s="2448"/>
    </row>
    <row r="2" spans="2:14" ht="15" x14ac:dyDescent="0.2">
      <c r="B2" s="2449">
        <f>'Single Audit Cover'!E7</f>
        <v>17020015026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1730</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1834</v>
      </c>
      <c r="I8" s="1314" t="s">
        <v>1262</v>
      </c>
      <c r="J8" s="1313" t="s">
        <v>1983</v>
      </c>
      <c r="K8" s="1314" t="s">
        <v>1261</v>
      </c>
      <c r="L8" s="1315" t="s">
        <v>1257</v>
      </c>
      <c r="M8" s="1316" t="s">
        <v>30</v>
      </c>
    </row>
    <row r="9" spans="2:14" ht="14.25" x14ac:dyDescent="0.2">
      <c r="B9" s="1320" t="s">
        <v>1259</v>
      </c>
      <c r="C9" s="1308" t="s">
        <v>1731</v>
      </c>
      <c r="D9" s="1309" t="s">
        <v>1732</v>
      </c>
      <c r="E9" s="1317" t="s">
        <v>1834</v>
      </c>
      <c r="F9" s="1318" t="s">
        <v>1983</v>
      </c>
      <c r="G9" s="1319" t="s">
        <v>1834</v>
      </c>
      <c r="H9" s="1312" t="s">
        <v>1582</v>
      </c>
      <c r="I9" s="1314" t="s">
        <v>1983</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2151</v>
      </c>
      <c r="C11" s="1333"/>
      <c r="D11" s="1334"/>
      <c r="E11" s="1335"/>
      <c r="F11" s="1335"/>
      <c r="G11" s="1335"/>
      <c r="H11" s="1335"/>
      <c r="I11" s="1335"/>
      <c r="J11" s="1335"/>
      <c r="K11" s="1335"/>
      <c r="L11" s="1335"/>
      <c r="M11" s="1335"/>
    </row>
    <row r="12" spans="2:14" ht="20.100000000000001" customHeight="1" x14ac:dyDescent="0.2">
      <c r="B12" s="1944" t="s">
        <v>2152</v>
      </c>
      <c r="C12" s="1336"/>
      <c r="D12" s="1337"/>
      <c r="E12" s="1338"/>
      <c r="F12" s="1338"/>
      <c r="G12" s="1338"/>
      <c r="H12" s="1338"/>
      <c r="I12" s="1338"/>
      <c r="J12" s="1338"/>
      <c r="K12" s="1338"/>
      <c r="L12" s="1335"/>
      <c r="M12" s="1338"/>
    </row>
    <row r="13" spans="2:14" ht="20.100000000000001" customHeight="1" x14ac:dyDescent="0.2">
      <c r="B13" s="1945" t="s">
        <v>2129</v>
      </c>
      <c r="C13" s="1336"/>
      <c r="D13" s="1337"/>
      <c r="E13" s="1338"/>
      <c r="F13" s="1338"/>
      <c r="G13" s="1338"/>
      <c r="H13" s="1338"/>
      <c r="I13" s="1338"/>
      <c r="J13" s="1338"/>
      <c r="K13" s="1338"/>
      <c r="L13" s="1335"/>
      <c r="M13" s="1338"/>
    </row>
    <row r="14" spans="2:14" ht="20.100000000000001" customHeight="1" x14ac:dyDescent="0.2">
      <c r="B14" s="1332" t="s">
        <v>2153</v>
      </c>
      <c r="C14" s="1336">
        <v>10.555</v>
      </c>
      <c r="D14" s="1337" t="s">
        <v>2176</v>
      </c>
      <c r="E14" s="1338"/>
      <c r="F14" s="1338">
        <v>15757</v>
      </c>
      <c r="G14" s="1338"/>
      <c r="H14" s="1338"/>
      <c r="I14" s="1338">
        <v>15757</v>
      </c>
      <c r="J14" s="1338"/>
      <c r="K14" s="1338"/>
      <c r="L14" s="1335">
        <f t="shared" ref="L14:L26" si="0">+G14+I14+K14</f>
        <v>15757</v>
      </c>
      <c r="M14" s="1338" t="s">
        <v>2168</v>
      </c>
    </row>
    <row r="15" spans="2:14" ht="20.100000000000001" customHeight="1" x14ac:dyDescent="0.2">
      <c r="B15" s="1332" t="s">
        <v>2154</v>
      </c>
      <c r="C15" s="1336">
        <v>10.555</v>
      </c>
      <c r="D15" s="1337" t="s">
        <v>2159</v>
      </c>
      <c r="E15" s="1338">
        <v>311390</v>
      </c>
      <c r="F15" s="1338">
        <v>59383</v>
      </c>
      <c r="G15" s="1338">
        <v>311390</v>
      </c>
      <c r="H15" s="1338"/>
      <c r="I15" s="1338">
        <v>59383</v>
      </c>
      <c r="J15" s="1338"/>
      <c r="K15" s="1338"/>
      <c r="L15" s="1335">
        <f t="shared" si="0"/>
        <v>370773</v>
      </c>
      <c r="M15" s="1338" t="s">
        <v>2168</v>
      </c>
    </row>
    <row r="16" spans="2:14" ht="20.100000000000001" customHeight="1" x14ac:dyDescent="0.2">
      <c r="B16" s="1332" t="s">
        <v>2154</v>
      </c>
      <c r="C16" s="1336">
        <v>10.555</v>
      </c>
      <c r="D16" s="1337" t="s">
        <v>2160</v>
      </c>
      <c r="E16" s="1938"/>
      <c r="F16" s="1938">
        <v>305635</v>
      </c>
      <c r="G16" s="1938"/>
      <c r="H16" s="1938"/>
      <c r="I16" s="1938">
        <v>305635</v>
      </c>
      <c r="J16" s="1938"/>
      <c r="K16" s="1938"/>
      <c r="L16" s="1938">
        <f t="shared" si="0"/>
        <v>305635</v>
      </c>
      <c r="M16" s="1338" t="s">
        <v>2168</v>
      </c>
    </row>
    <row r="17" spans="2:14" ht="20.100000000000001" customHeight="1" x14ac:dyDescent="0.2">
      <c r="B17" s="1332"/>
      <c r="C17" s="1336"/>
      <c r="D17" s="1337"/>
      <c r="E17" s="1335"/>
      <c r="F17" s="1335"/>
      <c r="G17" s="1335"/>
      <c r="H17" s="1335"/>
      <c r="I17" s="1335"/>
      <c r="J17" s="1335"/>
      <c r="K17" s="1335"/>
      <c r="L17" s="1335">
        <f t="shared" si="0"/>
        <v>0</v>
      </c>
      <c r="M17" s="1338"/>
    </row>
    <row r="18" spans="2:14" ht="20.100000000000001" customHeight="1" x14ac:dyDescent="0.2">
      <c r="B18" s="1332" t="s">
        <v>2155</v>
      </c>
      <c r="C18" s="1336"/>
      <c r="D18" s="1337"/>
      <c r="E18" s="1938">
        <f>E14+E15+E16</f>
        <v>311390</v>
      </c>
      <c r="F18" s="1938">
        <f>F14+F15+F16</f>
        <v>380775</v>
      </c>
      <c r="G18" s="1938">
        <f t="shared" ref="G18:K18" si="1">G14+G15+G16</f>
        <v>311390</v>
      </c>
      <c r="H18" s="1938">
        <f t="shared" si="1"/>
        <v>0</v>
      </c>
      <c r="I18" s="1938">
        <f t="shared" si="1"/>
        <v>380775</v>
      </c>
      <c r="J18" s="1938">
        <f t="shared" si="1"/>
        <v>0</v>
      </c>
      <c r="K18" s="1938">
        <f t="shared" si="1"/>
        <v>0</v>
      </c>
      <c r="L18" s="1938">
        <f t="shared" si="0"/>
        <v>692165</v>
      </c>
      <c r="M18" s="1338"/>
    </row>
    <row r="19" spans="2:14" ht="20.100000000000001" customHeight="1" x14ac:dyDescent="0.2">
      <c r="B19" s="1332"/>
      <c r="C19" s="1336"/>
      <c r="D19" s="1337"/>
      <c r="E19" s="1335"/>
      <c r="F19" s="1335"/>
      <c r="G19" s="1335"/>
      <c r="H19" s="1335"/>
      <c r="I19" s="1335"/>
      <c r="J19" s="1335"/>
      <c r="K19" s="1335"/>
      <c r="L19" s="1335"/>
      <c r="M19" s="1338"/>
    </row>
    <row r="20" spans="2:14" ht="20.100000000000001" customHeight="1" x14ac:dyDescent="0.2">
      <c r="B20" s="1945" t="s">
        <v>2129</v>
      </c>
      <c r="C20" s="1336"/>
      <c r="D20" s="1337"/>
      <c r="E20" s="1338"/>
      <c r="F20" s="1338"/>
      <c r="G20" s="1338"/>
      <c r="H20" s="1338"/>
      <c r="I20" s="1338"/>
      <c r="J20" s="1338"/>
      <c r="K20" s="1338"/>
      <c r="L20" s="1335"/>
      <c r="M20" s="1338"/>
    </row>
    <row r="21" spans="2:14" ht="20.100000000000001" customHeight="1" x14ac:dyDescent="0.2">
      <c r="B21" s="1332" t="s">
        <v>2156</v>
      </c>
      <c r="C21" s="1336">
        <v>10.553000000000001</v>
      </c>
      <c r="D21" s="1337" t="s">
        <v>2161</v>
      </c>
      <c r="E21" s="1338">
        <v>105566</v>
      </c>
      <c r="F21" s="1338">
        <v>19867</v>
      </c>
      <c r="G21" s="1338">
        <v>105566</v>
      </c>
      <c r="H21" s="1338"/>
      <c r="I21" s="1338">
        <v>19867</v>
      </c>
      <c r="J21" s="1338"/>
      <c r="K21" s="1338"/>
      <c r="L21" s="1335">
        <f t="shared" si="0"/>
        <v>125433</v>
      </c>
      <c r="M21" s="1338" t="s">
        <v>2168</v>
      </c>
    </row>
    <row r="22" spans="2:14" ht="20.100000000000001" customHeight="1" x14ac:dyDescent="0.2">
      <c r="B22" s="1332" t="s">
        <v>2156</v>
      </c>
      <c r="C22" s="1336">
        <v>10.553000000000001</v>
      </c>
      <c r="D22" s="1337" t="s">
        <v>2162</v>
      </c>
      <c r="E22" s="1938"/>
      <c r="F22" s="1938">
        <v>109920</v>
      </c>
      <c r="G22" s="1938"/>
      <c r="H22" s="1938"/>
      <c r="I22" s="1938">
        <v>109920</v>
      </c>
      <c r="J22" s="1938"/>
      <c r="K22" s="1938"/>
      <c r="L22" s="1938">
        <f t="shared" si="0"/>
        <v>109920</v>
      </c>
      <c r="M22" s="1338" t="s">
        <v>2168</v>
      </c>
    </row>
    <row r="23" spans="2:14" ht="20.100000000000001" customHeight="1" x14ac:dyDescent="0.2">
      <c r="B23" s="1332"/>
      <c r="C23" s="1336"/>
      <c r="D23" s="1337"/>
      <c r="E23" s="1335"/>
      <c r="F23" s="1335"/>
      <c r="G23" s="1335"/>
      <c r="H23" s="1335"/>
      <c r="I23" s="1335"/>
      <c r="J23" s="1335"/>
      <c r="K23" s="1335"/>
      <c r="L23" s="1335"/>
      <c r="M23" s="1338"/>
    </row>
    <row r="24" spans="2:14" ht="20.100000000000001" customHeight="1" x14ac:dyDescent="0.2">
      <c r="B24" s="1332" t="s">
        <v>2157</v>
      </c>
      <c r="C24" s="1336"/>
      <c r="D24" s="1337"/>
      <c r="E24" s="1938">
        <f>E21+E22</f>
        <v>105566</v>
      </c>
      <c r="F24" s="1938">
        <f t="shared" ref="F24:K24" si="2">F21+F22</f>
        <v>129787</v>
      </c>
      <c r="G24" s="1938">
        <f t="shared" si="2"/>
        <v>105566</v>
      </c>
      <c r="H24" s="1938">
        <f t="shared" si="2"/>
        <v>0</v>
      </c>
      <c r="I24" s="1938">
        <f t="shared" si="2"/>
        <v>129787</v>
      </c>
      <c r="J24" s="1938">
        <f t="shared" si="2"/>
        <v>0</v>
      </c>
      <c r="K24" s="1938">
        <f t="shared" si="2"/>
        <v>0</v>
      </c>
      <c r="L24" s="1938">
        <f t="shared" si="0"/>
        <v>235353</v>
      </c>
      <c r="M24" s="1338"/>
    </row>
    <row r="25" spans="2:14" ht="20.100000000000001" customHeight="1" x14ac:dyDescent="0.2">
      <c r="B25" s="1332"/>
      <c r="C25" s="1332"/>
      <c r="D25" s="1337"/>
      <c r="E25" s="1332"/>
      <c r="F25" s="1332"/>
      <c r="G25" s="1332"/>
      <c r="H25" s="1332"/>
      <c r="I25" s="1332"/>
      <c r="J25" s="1332"/>
      <c r="K25" s="1332"/>
      <c r="L25" s="1332"/>
      <c r="M25" s="1332"/>
    </row>
    <row r="26" spans="2:14" ht="20.100000000000001" customHeight="1" x14ac:dyDescent="0.2">
      <c r="B26" s="1939" t="s">
        <v>2158</v>
      </c>
      <c r="C26" s="1939"/>
      <c r="D26" s="1337"/>
      <c r="E26" s="1943">
        <f>E24+E18</f>
        <v>416956</v>
      </c>
      <c r="F26" s="1943">
        <f t="shared" ref="F26:K26" si="3">F24+F18</f>
        <v>510562</v>
      </c>
      <c r="G26" s="1943">
        <f t="shared" si="3"/>
        <v>416956</v>
      </c>
      <c r="H26" s="1943">
        <f t="shared" si="3"/>
        <v>0</v>
      </c>
      <c r="I26" s="1943">
        <f t="shared" si="3"/>
        <v>510562</v>
      </c>
      <c r="J26" s="1943">
        <f t="shared" si="3"/>
        <v>0</v>
      </c>
      <c r="K26" s="1943">
        <f t="shared" si="3"/>
        <v>0</v>
      </c>
      <c r="L26" s="1943">
        <f t="shared" si="0"/>
        <v>927518</v>
      </c>
      <c r="M26" s="1332"/>
      <c r="N26" s="1339"/>
    </row>
    <row r="27" spans="2:14" ht="12.75" customHeight="1" x14ac:dyDescent="0.2">
      <c r="B27" s="1340"/>
      <c r="C27" s="1341"/>
      <c r="D27" s="1342"/>
      <c r="E27" s="1343"/>
      <c r="F27" s="1343"/>
      <c r="G27" s="1343"/>
      <c r="H27" s="1343"/>
      <c r="I27" s="1343"/>
      <c r="J27" s="1343"/>
      <c r="K27" s="1343"/>
      <c r="L27" s="1343"/>
      <c r="M27" s="1343"/>
      <c r="N27" s="1339"/>
    </row>
    <row r="28" spans="2:14" x14ac:dyDescent="0.2">
      <c r="B28" s="1252"/>
      <c r="C28" s="1344"/>
      <c r="D28" s="1345"/>
      <c r="E28" s="1252"/>
      <c r="F28" s="1252"/>
      <c r="G28" s="1245"/>
      <c r="H28" s="1245"/>
      <c r="I28" s="1245"/>
      <c r="J28" s="1245"/>
      <c r="K28" s="1245"/>
      <c r="L28" s="1245"/>
      <c r="M28" s="1252"/>
      <c r="N28" s="1339"/>
    </row>
    <row r="29" spans="2:14" ht="13.5" customHeight="1" x14ac:dyDescent="0.2">
      <c r="B29" s="1277" t="s">
        <v>1733</v>
      </c>
      <c r="C29" s="1344"/>
      <c r="D29" s="1345"/>
      <c r="E29" s="1252"/>
      <c r="F29" s="1252"/>
      <c r="G29" s="1245"/>
      <c r="H29" s="1245"/>
      <c r="I29" s="1245"/>
      <c r="J29" s="1245"/>
      <c r="K29" s="1245"/>
      <c r="L29" s="1245"/>
      <c r="M29" s="1252"/>
      <c r="N29" s="1339"/>
    </row>
    <row r="30" spans="2:14" ht="8.25" customHeight="1" x14ac:dyDescent="0.2">
      <c r="B30" s="1277"/>
      <c r="C30" s="1344"/>
      <c r="D30" s="1345"/>
      <c r="E30" s="1252"/>
      <c r="F30" s="1252"/>
      <c r="G30" s="1245"/>
      <c r="H30" s="1245"/>
      <c r="I30" s="1245"/>
      <c r="J30" s="1245"/>
      <c r="K30" s="1245"/>
      <c r="L30" s="1245"/>
      <c r="M30" s="1252"/>
      <c r="N30" s="1339"/>
    </row>
    <row r="31" spans="2:14" x14ac:dyDescent="0.2">
      <c r="B31" s="1346" t="s">
        <v>1835</v>
      </c>
      <c r="C31" s="1347"/>
      <c r="D31" s="1348"/>
      <c r="E31" s="1349"/>
      <c r="F31" s="1349"/>
      <c r="G31" s="1349"/>
      <c r="H31" s="1349"/>
      <c r="I31" s="317"/>
      <c r="J31" s="317"/>
    </row>
    <row r="32" spans="2:14" x14ac:dyDescent="0.2">
      <c r="B32" s="1272"/>
      <c r="C32" s="1350"/>
      <c r="D32" s="1351"/>
      <c r="E32" s="1273"/>
      <c r="F32" s="1273"/>
      <c r="G32" s="317"/>
      <c r="H32" s="317"/>
      <c r="I32" s="317"/>
      <c r="J32" s="317"/>
    </row>
    <row r="33" spans="2:13" ht="13.5" customHeight="1" x14ac:dyDescent="0.2">
      <c r="B33" s="1271" t="s">
        <v>1246</v>
      </c>
      <c r="G33" s="317"/>
      <c r="H33" s="317"/>
      <c r="I33" s="317"/>
      <c r="J33" s="317"/>
    </row>
    <row r="34" spans="2:13" ht="13.5" customHeight="1" x14ac:dyDescent="0.2">
      <c r="B34" s="1354"/>
      <c r="C34" s="1355"/>
      <c r="D34" s="1356"/>
      <c r="E34" s="1292"/>
      <c r="F34" s="1292"/>
      <c r="G34" s="1292"/>
      <c r="H34" s="1292"/>
      <c r="I34" s="1292"/>
      <c r="J34" s="1292"/>
      <c r="K34" s="1357"/>
      <c r="L34" s="1357"/>
      <c r="M34" s="1292"/>
    </row>
    <row r="35" spans="2:13" ht="11.25" customHeight="1" x14ac:dyDescent="0.2">
      <c r="B35" s="1358" t="s">
        <v>1734</v>
      </c>
      <c r="C35" s="1359"/>
      <c r="D35" s="1359"/>
      <c r="E35" s="1359"/>
      <c r="F35" s="1359"/>
      <c r="G35" s="1359"/>
      <c r="H35" s="1359"/>
      <c r="I35" s="1360"/>
      <c r="J35" s="1360"/>
      <c r="K35" s="1360"/>
      <c r="L35" s="1360"/>
      <c r="M35" s="1360"/>
    </row>
    <row r="36" spans="2:13" ht="11.25" customHeight="1" x14ac:dyDescent="0.2">
      <c r="B36" s="1361" t="s">
        <v>1584</v>
      </c>
      <c r="C36" s="1360"/>
      <c r="D36" s="1360"/>
      <c r="E36" s="1360"/>
      <c r="F36" s="1360"/>
      <c r="G36" s="1360"/>
      <c r="H36" s="1360"/>
      <c r="I36" s="1360"/>
      <c r="J36" s="1360"/>
      <c r="K36" s="1360"/>
      <c r="L36" s="1360"/>
      <c r="M36" s="1360"/>
    </row>
    <row r="37" spans="2:13" ht="3.95" customHeight="1" x14ac:dyDescent="0.2">
      <c r="B37" s="1361"/>
      <c r="C37" s="1360"/>
      <c r="D37" s="1360"/>
      <c r="E37" s="1360"/>
      <c r="F37" s="1360"/>
      <c r="G37" s="1360"/>
      <c r="H37" s="1360"/>
      <c r="I37" s="1360"/>
      <c r="J37" s="1360"/>
      <c r="K37" s="1360"/>
      <c r="L37" s="1360"/>
      <c r="M37" s="1360"/>
    </row>
    <row r="38" spans="2:13" ht="11.25" customHeight="1" x14ac:dyDescent="0.2">
      <c r="B38" s="1358" t="s">
        <v>1735</v>
      </c>
      <c r="C38" s="1360"/>
      <c r="D38" s="1360"/>
      <c r="E38" s="1360"/>
      <c r="F38" s="1360"/>
      <c r="G38" s="1360"/>
      <c r="H38" s="1360"/>
      <c r="I38" s="1360"/>
      <c r="J38" s="1360"/>
      <c r="K38" s="1360"/>
      <c r="L38" s="1360"/>
      <c r="M38" s="1360"/>
    </row>
    <row r="39" spans="2:13" ht="11.25" customHeight="1" x14ac:dyDescent="0.2">
      <c r="B39" s="1295" t="s">
        <v>1585</v>
      </c>
      <c r="C39" s="1362"/>
      <c r="D39" s="1363"/>
      <c r="E39" s="1295"/>
      <c r="F39" s="1295"/>
      <c r="G39" s="1295"/>
      <c r="H39" s="1295"/>
      <c r="I39" s="1295"/>
      <c r="J39" s="1295"/>
      <c r="K39" s="1364"/>
      <c r="L39" s="1364"/>
      <c r="M39" s="1295"/>
    </row>
    <row r="40" spans="2:13" ht="3.95" customHeight="1" x14ac:dyDescent="0.2">
      <c r="B40" s="1295"/>
      <c r="C40" s="1362"/>
      <c r="D40" s="1363"/>
      <c r="E40" s="1295"/>
      <c r="F40" s="1295"/>
      <c r="G40" s="1295"/>
      <c r="H40" s="1295"/>
      <c r="I40" s="1295"/>
      <c r="J40" s="1295"/>
      <c r="K40" s="1364"/>
      <c r="L40" s="1364"/>
      <c r="M40" s="1295"/>
    </row>
    <row r="41" spans="2:13" ht="11.25" customHeight="1" x14ac:dyDescent="0.2">
      <c r="B41" s="1365" t="s">
        <v>1736</v>
      </c>
      <c r="C41" s="1362"/>
      <c r="D41" s="1363"/>
      <c r="E41" s="1295"/>
      <c r="F41" s="1295"/>
      <c r="G41" s="1295"/>
      <c r="H41" s="1295"/>
      <c r="I41" s="1295"/>
      <c r="J41" s="1295"/>
      <c r="K41" s="1364"/>
      <c r="L41" s="1364"/>
      <c r="M41" s="1295"/>
    </row>
    <row r="42" spans="2:13" ht="3.95" customHeight="1" x14ac:dyDescent="0.2">
      <c r="B42" s="1365"/>
      <c r="C42" s="1362"/>
      <c r="D42" s="1363"/>
      <c r="E42" s="1295"/>
      <c r="F42" s="1295"/>
      <c r="G42" s="1295"/>
      <c r="H42" s="1295"/>
      <c r="I42" s="1295"/>
      <c r="J42" s="1295"/>
      <c r="K42" s="1364"/>
      <c r="L42" s="1364"/>
      <c r="M42" s="1295"/>
    </row>
    <row r="43" spans="2:13" ht="11.25" customHeight="1" x14ac:dyDescent="0.2">
      <c r="B43" s="1366" t="s">
        <v>1737</v>
      </c>
      <c r="C43" s="1362"/>
      <c r="D43" s="1363"/>
      <c r="E43" s="1295"/>
      <c r="F43" s="1295"/>
      <c r="G43" s="1295"/>
      <c r="H43" s="1295"/>
      <c r="I43" s="1295"/>
      <c r="J43" s="1295"/>
      <c r="K43" s="1364"/>
      <c r="L43" s="1364"/>
      <c r="M43" s="1295"/>
    </row>
    <row r="44" spans="2:13" ht="11.25" customHeight="1" x14ac:dyDescent="0.2">
      <c r="B44" s="1295" t="s">
        <v>1586</v>
      </c>
      <c r="G44" s="317"/>
      <c r="H44" s="317"/>
      <c r="I44" s="317"/>
      <c r="J44" s="317"/>
    </row>
    <row r="45" spans="2:13" ht="11.1" customHeight="1" x14ac:dyDescent="0.2">
      <c r="B45" s="1295"/>
      <c r="G45" s="317"/>
      <c r="H45" s="317"/>
      <c r="I45" s="317"/>
      <c r="J45" s="317"/>
    </row>
    <row r="46" spans="2:13" ht="11.1" customHeight="1" x14ac:dyDescent="0.2">
      <c r="B46" s="1295"/>
      <c r="G46" s="317"/>
      <c r="H46" s="317"/>
      <c r="I46" s="317"/>
      <c r="J46" s="317"/>
    </row>
    <row r="47" spans="2:13" ht="13.5" customHeight="1" x14ac:dyDescent="0.2">
      <c r="M47" s="1367"/>
    </row>
    <row r="48" spans="2:13" ht="13.5" customHeight="1" x14ac:dyDescent="0.2">
      <c r="M48" s="1367"/>
    </row>
    <row r="49" spans="7:13" ht="13.5" customHeight="1" x14ac:dyDescent="0.2">
      <c r="M49" s="1367"/>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6" zoomScaleNormal="100" workbookViewId="0">
      <selection activeCell="B49" sqref="B49"/>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Clinton CUSD 15</v>
      </c>
      <c r="C1" s="2448"/>
      <c r="D1" s="2448"/>
      <c r="E1" s="2448"/>
      <c r="F1" s="2448"/>
      <c r="G1" s="2448"/>
      <c r="H1" s="2448"/>
      <c r="I1" s="2448"/>
      <c r="J1" s="2448"/>
      <c r="K1" s="2448"/>
      <c r="L1" s="2448"/>
      <c r="M1" s="2448"/>
    </row>
    <row r="2" spans="2:14" ht="15" x14ac:dyDescent="0.2">
      <c r="B2" s="2449">
        <f>'Single Audit Cover'!E7</f>
        <v>17020015026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1730</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1834</v>
      </c>
      <c r="I8" s="1314" t="s">
        <v>1262</v>
      </c>
      <c r="J8" s="1313" t="s">
        <v>1983</v>
      </c>
      <c r="K8" s="1314" t="s">
        <v>1261</v>
      </c>
      <c r="L8" s="1315" t="s">
        <v>1257</v>
      </c>
      <c r="M8" s="1316" t="s">
        <v>30</v>
      </c>
    </row>
    <row r="9" spans="2:14" ht="14.25" x14ac:dyDescent="0.2">
      <c r="B9" s="1320" t="s">
        <v>1259</v>
      </c>
      <c r="C9" s="1308" t="s">
        <v>1731</v>
      </c>
      <c r="D9" s="1309" t="s">
        <v>1732</v>
      </c>
      <c r="E9" s="1317" t="s">
        <v>1834</v>
      </c>
      <c r="F9" s="1318" t="s">
        <v>1983</v>
      </c>
      <c r="G9" s="1319" t="s">
        <v>1834</v>
      </c>
      <c r="H9" s="1312" t="s">
        <v>1582</v>
      </c>
      <c r="I9" s="1314" t="s">
        <v>1983</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2163</v>
      </c>
      <c r="C11" s="1333"/>
      <c r="D11" s="1334"/>
      <c r="E11" s="1335"/>
      <c r="F11" s="1335"/>
      <c r="G11" s="1335"/>
      <c r="H11" s="1335"/>
      <c r="I11" s="1335"/>
      <c r="J11" s="1335"/>
      <c r="K11" s="1335"/>
      <c r="L11" s="1335"/>
      <c r="M11" s="1335"/>
    </row>
    <row r="12" spans="2:14" ht="20.100000000000001" customHeight="1" x14ac:dyDescent="0.2">
      <c r="B12" s="1332" t="s">
        <v>2164</v>
      </c>
      <c r="C12" s="1336"/>
      <c r="D12" s="1337"/>
      <c r="E12" s="1338"/>
      <c r="F12" s="1338"/>
      <c r="G12" s="1338"/>
      <c r="H12" s="1338"/>
      <c r="I12" s="1338"/>
      <c r="J12" s="1338"/>
      <c r="K12" s="1338"/>
      <c r="L12" s="1335"/>
      <c r="M12" s="1338"/>
    </row>
    <row r="13" spans="2:14" ht="20.100000000000001" customHeight="1" x14ac:dyDescent="0.2">
      <c r="B13" s="1332" t="s">
        <v>2165</v>
      </c>
      <c r="C13" s="1336">
        <v>93.778000000000006</v>
      </c>
      <c r="D13" s="1337" t="s">
        <v>2169</v>
      </c>
      <c r="E13" s="1338">
        <v>42768</v>
      </c>
      <c r="F13" s="1338"/>
      <c r="G13" s="1338">
        <v>42768</v>
      </c>
      <c r="H13" s="1338"/>
      <c r="I13" s="1338"/>
      <c r="J13" s="1338"/>
      <c r="K13" s="1338"/>
      <c r="L13" s="1335">
        <f t="shared" ref="L13:L18" si="0">+G13+I13+K13</f>
        <v>42768</v>
      </c>
      <c r="M13" s="1338" t="s">
        <v>2168</v>
      </c>
    </row>
    <row r="14" spans="2:14" ht="20.100000000000001" customHeight="1" x14ac:dyDescent="0.2">
      <c r="B14" s="1332" t="s">
        <v>2165</v>
      </c>
      <c r="C14" s="1336">
        <v>93.778000000000006</v>
      </c>
      <c r="D14" s="1337" t="s">
        <v>2170</v>
      </c>
      <c r="E14" s="1938"/>
      <c r="F14" s="1938">
        <v>23400</v>
      </c>
      <c r="G14" s="1938"/>
      <c r="H14" s="1938"/>
      <c r="I14" s="1938">
        <v>37253</v>
      </c>
      <c r="J14" s="1938"/>
      <c r="K14" s="1938"/>
      <c r="L14" s="1938">
        <f t="shared" si="0"/>
        <v>37253</v>
      </c>
      <c r="M14" s="1338" t="s">
        <v>2168</v>
      </c>
    </row>
    <row r="15" spans="2:14" ht="20.100000000000001" customHeight="1" x14ac:dyDescent="0.2">
      <c r="B15" s="1332"/>
      <c r="C15" s="1336"/>
      <c r="D15" s="1337"/>
      <c r="E15" s="1335"/>
      <c r="F15" s="1335"/>
      <c r="G15" s="1335"/>
      <c r="H15" s="1335"/>
      <c r="I15" s="1335"/>
      <c r="J15" s="1335"/>
      <c r="K15" s="1335"/>
      <c r="L15" s="1335"/>
      <c r="M15" s="1338"/>
    </row>
    <row r="16" spans="2:14" ht="20.100000000000001" customHeight="1" x14ac:dyDescent="0.2">
      <c r="B16" s="1939" t="s">
        <v>2166</v>
      </c>
      <c r="C16" s="1940"/>
      <c r="D16" s="1941"/>
      <c r="E16" s="1943">
        <f>E13+E14</f>
        <v>42768</v>
      </c>
      <c r="F16" s="1943">
        <f t="shared" ref="F16:K16" si="1">F13+F14</f>
        <v>23400</v>
      </c>
      <c r="G16" s="1943">
        <f t="shared" si="1"/>
        <v>42768</v>
      </c>
      <c r="H16" s="1943">
        <f t="shared" si="1"/>
        <v>0</v>
      </c>
      <c r="I16" s="1943">
        <f t="shared" si="1"/>
        <v>37253</v>
      </c>
      <c r="J16" s="1943">
        <f t="shared" si="1"/>
        <v>0</v>
      </c>
      <c r="K16" s="1943">
        <f t="shared" si="1"/>
        <v>0</v>
      </c>
      <c r="L16" s="1943">
        <f t="shared" si="0"/>
        <v>80021</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thickBot="1" x14ac:dyDescent="0.25">
      <c r="B18" s="1939" t="s">
        <v>2167</v>
      </c>
      <c r="C18" s="1940"/>
      <c r="D18" s="1941"/>
      <c r="E18" s="1946">
        <f>E16+' SEFA (3)'!E26+' SEFA (2)'!E26</f>
        <v>1096086</v>
      </c>
      <c r="F18" s="1946">
        <f>F16+' SEFA (3)'!F26+' SEFA (2)'!F26</f>
        <v>1275164</v>
      </c>
      <c r="G18" s="1946">
        <f>G16+' SEFA (3)'!G26+' SEFA (2)'!G26</f>
        <v>1237362</v>
      </c>
      <c r="H18" s="1946">
        <f>H16+' SEFA (3)'!H26+' SEFA (2)'!H26</f>
        <v>0</v>
      </c>
      <c r="I18" s="1946">
        <f>I16+' SEFA (3)'!I26+' SEFA (2)'!I26</f>
        <v>1313915</v>
      </c>
      <c r="J18" s="1946">
        <f>J16+' SEFA (3)'!J26+' SEFA (2)'!J26</f>
        <v>0</v>
      </c>
      <c r="K18" s="1946">
        <f>K16+' SEFA (3)'!K26+' SEFA (2)'!K26</f>
        <v>0</v>
      </c>
      <c r="L18" s="1946">
        <f t="shared" si="0"/>
        <v>2551277</v>
      </c>
      <c r="M18" s="1338"/>
    </row>
    <row r="19" spans="2:14" ht="20.100000000000001" customHeight="1" thickTop="1" x14ac:dyDescent="0.2">
      <c r="B19" s="1332"/>
      <c r="C19" s="1336"/>
      <c r="D19" s="1337"/>
      <c r="E19" s="1335"/>
      <c r="F19" s="1335"/>
      <c r="G19" s="1335"/>
      <c r="H19" s="1335"/>
      <c r="I19" s="1335"/>
      <c r="J19" s="1335"/>
      <c r="K19" s="1335"/>
      <c r="L19" s="1335"/>
      <c r="M19" s="1338"/>
    </row>
    <row r="20" spans="2:14" ht="20.100000000000001" customHeight="1" x14ac:dyDescent="0.2">
      <c r="B20" s="1332"/>
      <c r="C20" s="1336"/>
      <c r="D20" s="1337"/>
      <c r="E20" s="1338"/>
      <c r="F20" s="1338"/>
      <c r="G20" s="1338"/>
      <c r="H20" s="1338"/>
      <c r="I20" s="1338"/>
      <c r="J20" s="1338"/>
      <c r="K20" s="1338"/>
      <c r="L20" s="1335"/>
      <c r="M20" s="1338"/>
    </row>
    <row r="21" spans="2:14" ht="20.100000000000001" customHeight="1" x14ac:dyDescent="0.2">
      <c r="B21" s="1332"/>
      <c r="C21" s="1336"/>
      <c r="D21" s="1337"/>
      <c r="E21" s="1338"/>
      <c r="F21" s="1338"/>
      <c r="G21" s="1338"/>
      <c r="H21" s="1338"/>
      <c r="I21" s="1338"/>
      <c r="J21" s="1338"/>
      <c r="K21" s="1338"/>
      <c r="L21" s="1335"/>
      <c r="M21" s="1338"/>
    </row>
    <row r="22" spans="2:14" ht="20.100000000000001" customHeight="1" x14ac:dyDescent="0.2">
      <c r="B22" s="1332"/>
      <c r="C22" s="1336"/>
      <c r="D22" s="1337"/>
      <c r="E22" s="1338"/>
      <c r="F22" s="1338"/>
      <c r="G22" s="1338"/>
      <c r="H22" s="1338"/>
      <c r="I22" s="1338"/>
      <c r="J22" s="1338"/>
      <c r="K22" s="1338"/>
      <c r="L22" s="1335"/>
      <c r="M22" s="1338"/>
    </row>
    <row r="23" spans="2:14" ht="20.100000000000001" customHeight="1" x14ac:dyDescent="0.2">
      <c r="B23" s="1332"/>
      <c r="C23" s="1336"/>
      <c r="D23" s="1337"/>
      <c r="E23" s="1338"/>
      <c r="F23" s="1338"/>
      <c r="G23" s="1338"/>
      <c r="H23" s="1338"/>
      <c r="I23" s="1338"/>
      <c r="J23" s="1338"/>
      <c r="K23" s="1338"/>
      <c r="L23" s="1335"/>
      <c r="M23" s="1338"/>
    </row>
    <row r="24" spans="2:14" ht="20.100000000000001" customHeight="1" x14ac:dyDescent="0.2">
      <c r="B24" s="1332"/>
      <c r="C24" s="1336"/>
      <c r="D24" s="1337"/>
      <c r="E24" s="1338"/>
      <c r="F24" s="1338"/>
      <c r="G24" s="1338"/>
      <c r="H24" s="1338"/>
      <c r="I24" s="1338"/>
      <c r="J24" s="1338"/>
      <c r="K24" s="1338"/>
      <c r="L24" s="1335"/>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1733</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1835</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11.25" customHeight="1" x14ac:dyDescent="0.2">
      <c r="B36" s="1358" t="s">
        <v>1734</v>
      </c>
      <c r="C36" s="1359"/>
      <c r="D36" s="1359"/>
      <c r="E36" s="1359"/>
      <c r="F36" s="1359"/>
      <c r="G36" s="1359"/>
      <c r="H36" s="1359"/>
      <c r="I36" s="1360"/>
      <c r="J36" s="1360"/>
      <c r="K36" s="1360"/>
      <c r="L36" s="1360"/>
      <c r="M36" s="1360"/>
    </row>
    <row r="37" spans="2:13" ht="11.25" customHeight="1" x14ac:dyDescent="0.2">
      <c r="B37" s="1361" t="s">
        <v>1584</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1735</v>
      </c>
      <c r="C39" s="1360"/>
      <c r="D39" s="1360"/>
      <c r="E39" s="1360"/>
      <c r="F39" s="1360"/>
      <c r="G39" s="1360"/>
      <c r="H39" s="1360"/>
      <c r="I39" s="1360"/>
      <c r="J39" s="1360"/>
      <c r="K39" s="1360"/>
      <c r="L39" s="1360"/>
      <c r="M39" s="1360"/>
    </row>
    <row r="40" spans="2:13" ht="11.25" customHeight="1" x14ac:dyDescent="0.2">
      <c r="B40" s="1295" t="s">
        <v>1585</v>
      </c>
      <c r="C40" s="1362"/>
      <c r="D40" s="1363"/>
      <c r="E40" s="1295"/>
      <c r="F40" s="1295"/>
      <c r="G40" s="1295"/>
      <c r="H40" s="1295"/>
      <c r="I40" s="1295"/>
      <c r="J40" s="1295"/>
      <c r="K40" s="1364"/>
      <c r="L40" s="1364"/>
      <c r="M40" s="1295"/>
    </row>
    <row r="41" spans="2:13" ht="3.95" customHeight="1" x14ac:dyDescent="0.2">
      <c r="B41" s="1295"/>
      <c r="C41" s="1362"/>
      <c r="D41" s="1363"/>
      <c r="E41" s="1295"/>
      <c r="F41" s="1295"/>
      <c r="G41" s="1295"/>
      <c r="H41" s="1295"/>
      <c r="I41" s="1295"/>
      <c r="J41" s="1295"/>
      <c r="K41" s="1364"/>
      <c r="L41" s="1364"/>
      <c r="M41" s="1295"/>
    </row>
    <row r="42" spans="2:13" ht="11.25" customHeight="1" x14ac:dyDescent="0.2">
      <c r="B42" s="1365" t="s">
        <v>1736</v>
      </c>
      <c r="C42" s="1362"/>
      <c r="D42" s="1363"/>
      <c r="E42" s="1295"/>
      <c r="F42" s="1295"/>
      <c r="G42" s="1295"/>
      <c r="H42" s="1295"/>
      <c r="I42" s="1295"/>
      <c r="J42" s="1295"/>
      <c r="K42" s="1364"/>
      <c r="L42" s="1364"/>
      <c r="M42" s="1295"/>
    </row>
    <row r="43" spans="2:13" ht="3.95" customHeight="1" x14ac:dyDescent="0.2">
      <c r="B43" s="1365"/>
      <c r="C43" s="1362"/>
      <c r="D43" s="1363"/>
      <c r="E43" s="1295"/>
      <c r="F43" s="1295"/>
      <c r="G43" s="1295"/>
      <c r="H43" s="1295"/>
      <c r="I43" s="1295"/>
      <c r="J43" s="1295"/>
      <c r="K43" s="1364"/>
      <c r="L43" s="1364"/>
      <c r="M43" s="1295"/>
    </row>
    <row r="44" spans="2:13" ht="11.25" customHeight="1" x14ac:dyDescent="0.2">
      <c r="B44" s="1366" t="s">
        <v>1737</v>
      </c>
      <c r="C44" s="1362"/>
      <c r="D44" s="1363"/>
      <c r="E44" s="1295"/>
      <c r="F44" s="1295"/>
      <c r="G44" s="1295"/>
      <c r="H44" s="1295"/>
      <c r="I44" s="1295"/>
      <c r="J44" s="1295"/>
      <c r="K44" s="1364"/>
      <c r="L44" s="1364"/>
      <c r="M44" s="1295"/>
    </row>
    <row r="45" spans="2:13" ht="11.25" customHeight="1" x14ac:dyDescent="0.2">
      <c r="B45" s="1295" t="s">
        <v>1586</v>
      </c>
      <c r="G45" s="317"/>
      <c r="H45" s="317"/>
      <c r="I45" s="317"/>
      <c r="J45" s="317"/>
    </row>
    <row r="46" spans="2:13" ht="11.1" customHeight="1" x14ac:dyDescent="0.2">
      <c r="B46" s="1295"/>
      <c r="G46" s="317"/>
      <c r="H46" s="317"/>
      <c r="I46" s="317"/>
      <c r="J46" s="317"/>
    </row>
    <row r="47" spans="2:13" ht="11.1" customHeight="1" x14ac:dyDescent="0.2">
      <c r="B47" s="1295"/>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showGridLines="0" zoomScale="120" zoomScaleNormal="120" workbookViewId="0">
      <selection activeCell="A20" sqref="A20"/>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Clinton CUSD 15</v>
      </c>
      <c r="B1" s="2453"/>
      <c r="C1" s="2453"/>
      <c r="D1" s="2453"/>
      <c r="E1" s="2453"/>
      <c r="F1" s="2453"/>
    </row>
    <row r="2" spans="1:7" ht="13.5" customHeight="1" x14ac:dyDescent="0.2">
      <c r="A2" s="2449">
        <f>'Single Audit Cover'!E7</f>
        <v>17020015026</v>
      </c>
      <c r="B2" s="2449"/>
      <c r="C2" s="2449"/>
      <c r="D2" s="2449"/>
      <c r="E2" s="2449"/>
      <c r="F2" s="2449"/>
      <c r="G2" s="1270"/>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1" t="s">
        <v>1727</v>
      </c>
      <c r="C6" s="317"/>
      <c r="D6" s="317"/>
    </row>
    <row r="7" spans="1:7" ht="60.95" customHeight="1" x14ac:dyDescent="0.2">
      <c r="A7" s="2452" t="s">
        <v>2173</v>
      </c>
      <c r="B7" s="2452"/>
      <c r="C7" s="2452"/>
      <c r="D7" s="2452"/>
      <c r="E7" s="2452"/>
      <c r="F7" s="2452"/>
    </row>
    <row r="8" spans="1:7" ht="12" customHeight="1" x14ac:dyDescent="0.2">
      <c r="A8" s="1271"/>
      <c r="B8" s="1277"/>
      <c r="C8" s="1277"/>
      <c r="D8" s="1277"/>
    </row>
    <row r="9" spans="1:7" ht="15" customHeight="1" x14ac:dyDescent="0.2">
      <c r="A9" s="1272" t="s">
        <v>1728</v>
      </c>
      <c r="B9" s="1275"/>
      <c r="C9" s="1275"/>
      <c r="D9" s="1275"/>
      <c r="E9" s="1273"/>
      <c r="F9" s="1273"/>
      <c r="G9" s="1273"/>
    </row>
    <row r="10" spans="1:7" ht="15" customHeight="1" x14ac:dyDescent="0.2">
      <c r="A10" s="1274" t="s">
        <v>1547</v>
      </c>
      <c r="B10" s="1275"/>
      <c r="C10" s="1276"/>
      <c r="D10" s="1275" t="s">
        <v>1548</v>
      </c>
      <c r="E10" s="1276" t="s">
        <v>2060</v>
      </c>
      <c r="F10" s="1275" t="s">
        <v>99</v>
      </c>
      <c r="G10" s="1273"/>
    </row>
    <row r="11" spans="1:7" ht="12" customHeight="1" x14ac:dyDescent="0.2">
      <c r="A11" s="1274"/>
      <c r="B11" s="1275"/>
      <c r="C11" s="1894"/>
      <c r="D11" s="1275"/>
      <c r="E11" s="1894"/>
      <c r="F11" s="1275"/>
      <c r="G11" s="1273"/>
    </row>
    <row r="12" spans="1:7" x14ac:dyDescent="0.2">
      <c r="A12" s="1271" t="s">
        <v>1587</v>
      </c>
      <c r="C12" s="1255"/>
      <c r="D12" s="1255"/>
    </row>
    <row r="13" spans="1:7" ht="24.75" customHeight="1" x14ac:dyDescent="0.2">
      <c r="A13" s="2452" t="s">
        <v>2174</v>
      </c>
      <c r="B13" s="2452"/>
      <c r="C13" s="2452"/>
      <c r="D13" s="2452"/>
      <c r="E13" s="2452"/>
      <c r="F13" s="2452"/>
    </row>
    <row r="14" spans="1:7" ht="6.75" customHeight="1" x14ac:dyDescent="0.2">
      <c r="C14" s="1255"/>
      <c r="D14" s="1255"/>
    </row>
    <row r="15" spans="1:7" ht="13.5" customHeight="1" x14ac:dyDescent="0.2">
      <c r="C15" s="1838" t="s">
        <v>1270</v>
      </c>
      <c r="D15" s="2456" t="s">
        <v>1269</v>
      </c>
      <c r="E15" s="2456"/>
      <c r="F15" s="2456"/>
    </row>
    <row r="16" spans="1:7" ht="13.5" customHeight="1" x14ac:dyDescent="0.2">
      <c r="A16" s="1277"/>
      <c r="B16" s="1271" t="s">
        <v>1268</v>
      </c>
      <c r="C16" s="1838" t="s">
        <v>1267</v>
      </c>
      <c r="D16" s="2457" t="s">
        <v>1588</v>
      </c>
      <c r="E16" s="2457"/>
      <c r="F16" s="2457"/>
    </row>
    <row r="17" spans="1:6" ht="20.45" customHeight="1" x14ac:dyDescent="0.2">
      <c r="A17" s="1278"/>
      <c r="B17" s="1279" t="s">
        <v>2171</v>
      </c>
      <c r="C17" s="1280"/>
      <c r="D17" s="2458"/>
      <c r="E17" s="2458"/>
      <c r="F17" s="2458"/>
    </row>
    <row r="18" spans="1:6" ht="20.65" customHeight="1" x14ac:dyDescent="0.2">
      <c r="A18" s="1278"/>
      <c r="B18" s="1279"/>
      <c r="C18" s="1280"/>
      <c r="D18" s="2458"/>
      <c r="E18" s="2458"/>
      <c r="F18" s="2458"/>
    </row>
    <row r="19" spans="1:6" ht="20.65" customHeight="1" x14ac:dyDescent="0.2">
      <c r="A19" s="1278"/>
      <c r="B19" s="1279"/>
      <c r="C19" s="1280"/>
      <c r="D19" s="2458"/>
      <c r="E19" s="2458"/>
      <c r="F19" s="2458"/>
    </row>
    <row r="20" spans="1:6" ht="20.65" customHeight="1" x14ac:dyDescent="0.2">
      <c r="A20" s="1278"/>
      <c r="B20" s="1279"/>
      <c r="C20" s="1280"/>
      <c r="D20" s="2458"/>
      <c r="E20" s="2458"/>
      <c r="F20" s="2458"/>
    </row>
    <row r="21" spans="1:6" ht="20.65" customHeight="1" x14ac:dyDescent="0.2">
      <c r="A21" s="1278"/>
      <c r="B21" s="1279"/>
      <c r="C21" s="1280"/>
      <c r="D21" s="2458"/>
      <c r="E21" s="2458"/>
      <c r="F21" s="2458"/>
    </row>
    <row r="22" spans="1:6" ht="12" customHeight="1" x14ac:dyDescent="0.2">
      <c r="A22" s="328"/>
      <c r="B22" s="328"/>
      <c r="C22" s="1459"/>
      <c r="D22" s="1895"/>
      <c r="E22" s="1281"/>
    </row>
    <row r="23" spans="1:6" ht="12" customHeight="1" x14ac:dyDescent="0.2">
      <c r="A23" s="1282" t="s">
        <v>1549</v>
      </c>
      <c r="B23" s="328"/>
      <c r="C23" s="1459"/>
      <c r="D23" s="1895"/>
      <c r="E23" s="1281"/>
    </row>
    <row r="24" spans="1:6" ht="30" customHeight="1" x14ac:dyDescent="0.2">
      <c r="A24" s="2460" t="s">
        <v>2172</v>
      </c>
      <c r="B24" s="2460"/>
      <c r="C24" s="2460"/>
      <c r="D24" s="2460"/>
      <c r="E24" s="2460"/>
      <c r="F24" s="2460"/>
    </row>
    <row r="25" spans="1:6" ht="13.5" customHeight="1" x14ac:dyDescent="0.2">
      <c r="A25" s="328" t="s">
        <v>1434</v>
      </c>
      <c r="B25" s="328"/>
      <c r="C25" s="1283">
        <v>15757</v>
      </c>
      <c r="D25" s="1895"/>
      <c r="E25" s="1281"/>
    </row>
    <row r="26" spans="1:6" ht="13.5" customHeight="1" x14ac:dyDescent="0.2">
      <c r="A26" s="328" t="s">
        <v>1833</v>
      </c>
      <c r="B26" s="328"/>
      <c r="C26" s="1284">
        <v>0</v>
      </c>
      <c r="D26" s="1895" t="s">
        <v>1589</v>
      </c>
      <c r="E26" s="2461">
        <f>+C25+C26</f>
        <v>15757</v>
      </c>
      <c r="F26" s="2462"/>
    </row>
    <row r="27" spans="1:6" ht="12" customHeight="1" x14ac:dyDescent="0.2">
      <c r="A27" s="328"/>
      <c r="B27" s="328"/>
      <c r="C27" s="1896"/>
      <c r="D27" s="1895"/>
      <c r="E27" s="1285"/>
      <c r="F27" s="1286"/>
    </row>
    <row r="28" spans="1:6" ht="13.5" customHeight="1" x14ac:dyDescent="0.2">
      <c r="A28" s="1282" t="s">
        <v>1550</v>
      </c>
      <c r="B28" s="328"/>
      <c r="C28" s="1459"/>
      <c r="D28" s="1895"/>
      <c r="E28" s="1281"/>
    </row>
    <row r="29" spans="1:6" ht="14.25" customHeight="1" x14ac:dyDescent="0.2">
      <c r="A29" s="328" t="s">
        <v>1484</v>
      </c>
      <c r="B29" s="328"/>
      <c r="C29" s="1897"/>
      <c r="D29" s="1895"/>
      <c r="E29" s="1281"/>
    </row>
    <row r="30" spans="1:6" ht="14.25" customHeight="1" x14ac:dyDescent="0.2">
      <c r="A30" s="328"/>
      <c r="B30" s="328" t="s">
        <v>1435</v>
      </c>
      <c r="C30" s="1287" t="s">
        <v>2171</v>
      </c>
      <c r="D30" s="1895"/>
      <c r="E30" s="1281"/>
    </row>
    <row r="31" spans="1:6" ht="14.25" customHeight="1" x14ac:dyDescent="0.2">
      <c r="A31" s="328"/>
      <c r="B31" s="328" t="s">
        <v>1436</v>
      </c>
      <c r="C31" s="1287" t="s">
        <v>2171</v>
      </c>
      <c r="D31" s="1895"/>
      <c r="E31" s="1281"/>
    </row>
    <row r="32" spans="1:6" ht="14.25" customHeight="1" x14ac:dyDescent="0.2">
      <c r="A32" s="328"/>
      <c r="B32" s="328" t="s">
        <v>1437</v>
      </c>
      <c r="C32" s="1287" t="s">
        <v>2171</v>
      </c>
      <c r="D32" s="1895"/>
      <c r="E32" s="1281"/>
    </row>
    <row r="33" spans="1:6" ht="14.25" customHeight="1" x14ac:dyDescent="0.2">
      <c r="A33" s="328"/>
      <c r="B33" s="328" t="s">
        <v>1438</v>
      </c>
      <c r="C33" s="1287" t="s">
        <v>2171</v>
      </c>
      <c r="D33" s="1895"/>
      <c r="E33" s="1281"/>
    </row>
    <row r="34" spans="1:6" ht="14.25" customHeight="1" x14ac:dyDescent="0.2">
      <c r="A34" s="328" t="s">
        <v>1439</v>
      </c>
      <c r="B34" s="328"/>
      <c r="C34" s="1893" t="s">
        <v>2171</v>
      </c>
      <c r="D34" s="1895"/>
      <c r="E34" s="1281"/>
    </row>
    <row r="35" spans="1:6" ht="14.25" customHeight="1" x14ac:dyDescent="0.2">
      <c r="A35" s="328" t="s">
        <v>1440</v>
      </c>
      <c r="B35" s="328"/>
      <c r="C35" s="1288" t="s">
        <v>383</v>
      </c>
      <c r="D35" s="1895"/>
      <c r="E35" s="1281"/>
    </row>
    <row r="36" spans="1:6" ht="14.25" customHeight="1" x14ac:dyDescent="0.2">
      <c r="A36" s="328"/>
      <c r="B36" s="328"/>
      <c r="C36" s="1897" t="s">
        <v>1441</v>
      </c>
      <c r="D36" s="1895"/>
      <c r="E36" s="1281"/>
    </row>
    <row r="37" spans="1:6" ht="13.5" customHeight="1" x14ac:dyDescent="0.2">
      <c r="B37" s="322"/>
      <c r="C37" s="1289"/>
      <c r="D37" s="1289"/>
    </row>
    <row r="38" spans="1:6" x14ac:dyDescent="0.2">
      <c r="A38" s="1290" t="s">
        <v>1729</v>
      </c>
      <c r="C38" s="317"/>
      <c r="D38" s="317"/>
    </row>
    <row r="39" spans="1:6" s="322" customFormat="1" ht="11.25" customHeight="1" x14ac:dyDescent="0.2">
      <c r="A39" s="1291"/>
      <c r="B39" s="1292"/>
      <c r="C39" s="1292"/>
      <c r="D39" s="1292"/>
      <c r="E39" s="1292"/>
      <c r="F39" s="1292"/>
    </row>
    <row r="40" spans="1:6" s="322" customFormat="1" ht="6" customHeight="1" x14ac:dyDescent="0.2">
      <c r="A40" s="1293"/>
    </row>
    <row r="41" spans="1:6" s="1295" customFormat="1" ht="23.25" customHeight="1" x14ac:dyDescent="0.2">
      <c r="A41" s="1294">
        <v>5</v>
      </c>
      <c r="B41" s="2463" t="s">
        <v>1590</v>
      </c>
      <c r="C41" s="2463"/>
      <c r="D41" s="2463"/>
      <c r="E41" s="1393"/>
    </row>
    <row r="42" spans="1:6" s="1295" customFormat="1" ht="3.75" customHeight="1" x14ac:dyDescent="0.2">
      <c r="A42" s="1294"/>
      <c r="B42" s="1837"/>
      <c r="C42" s="1837"/>
      <c r="D42" s="1837"/>
      <c r="E42" s="1393"/>
    </row>
    <row r="43" spans="1:6" s="1295" customFormat="1" ht="20.25" customHeight="1" x14ac:dyDescent="0.2">
      <c r="A43" s="1296">
        <v>6</v>
      </c>
      <c r="B43" s="2459" t="s">
        <v>1551</v>
      </c>
      <c r="C43" s="2459"/>
      <c r="D43" s="2459"/>
    </row>
    <row r="44" spans="1:6" ht="14.25" customHeight="1" x14ac:dyDescent="0.2">
      <c r="A44" s="1296"/>
      <c r="B44" s="2459"/>
      <c r="C44" s="2459"/>
      <c r="D44" s="2459"/>
    </row>
  </sheetData>
  <mergeCells count="18">
    <mergeCell ref="D20:F20"/>
    <mergeCell ref="D21:F21"/>
    <mergeCell ref="B43:D43"/>
    <mergeCell ref="B44:D44"/>
    <mergeCell ref="A24:F24"/>
    <mergeCell ref="E26:F26"/>
    <mergeCell ref="B41:D41"/>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8" zoomScale="110" zoomScaleNormal="110" workbookViewId="0">
      <selection activeCell="G33" sqref="G33"/>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Clinton CUSD 15</v>
      </c>
      <c r="C1" s="2469"/>
      <c r="D1" s="2469"/>
      <c r="E1" s="2469"/>
      <c r="F1" s="2469"/>
      <c r="G1" s="2469"/>
      <c r="H1" s="2469"/>
      <c r="I1" s="2469"/>
      <c r="J1" s="1403"/>
    </row>
    <row r="2" spans="2:10" s="317" customFormat="1" ht="12.75" customHeight="1" x14ac:dyDescent="0.2">
      <c r="B2" s="2470">
        <f>'Single Audit Cover'!E7</f>
        <v>17020015026</v>
      </c>
      <c r="C2" s="2471"/>
      <c r="D2" s="2471"/>
      <c r="E2" s="2471"/>
      <c r="F2" s="2471"/>
      <c r="G2" s="2471"/>
      <c r="H2" s="2471"/>
      <c r="I2" s="2471"/>
      <c r="J2" s="1403"/>
    </row>
    <row r="3" spans="2:10" s="317" customFormat="1" ht="12.75" customHeight="1" x14ac:dyDescent="0.2">
      <c r="B3" s="2472" t="s">
        <v>1285</v>
      </c>
      <c r="C3" s="2473"/>
      <c r="D3" s="2473"/>
      <c r="E3" s="2473"/>
      <c r="F3" s="2473"/>
      <c r="G3" s="2473"/>
      <c r="H3" s="2473"/>
      <c r="I3" s="2473"/>
      <c r="J3" s="1404"/>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5" t="s">
        <v>1169</v>
      </c>
      <c r="C5" s="1289"/>
      <c r="D5" s="1289"/>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2" t="s">
        <v>1284</v>
      </c>
      <c r="C7" s="2473"/>
      <c r="D7" s="2473"/>
      <c r="E7" s="2473"/>
      <c r="F7" s="2473"/>
      <c r="G7" s="2473"/>
      <c r="H7" s="2473"/>
      <c r="I7" s="2473"/>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3"/>
    </row>
    <row r="11" spans="2:10" s="317" customFormat="1" ht="13.5" customHeight="1" x14ac:dyDescent="0.2">
      <c r="B11" s="1344" t="s">
        <v>1282</v>
      </c>
      <c r="C11" s="2474" t="s">
        <v>1164</v>
      </c>
      <c r="D11" s="2474"/>
      <c r="E11" s="1413"/>
      <c r="F11" s="1413"/>
      <c r="G11" s="1413"/>
    </row>
    <row r="12" spans="2:10" s="317" customFormat="1" ht="11.45" customHeight="1" x14ac:dyDescent="0.2">
      <c r="B12" s="1352"/>
      <c r="C12" s="1414" t="s">
        <v>1442</v>
      </c>
      <c r="D12" s="1415"/>
      <c r="E12" s="1253"/>
    </row>
    <row r="13" spans="2:10" s="317" customFormat="1" ht="12.75" customHeight="1" x14ac:dyDescent="0.2">
      <c r="B13" s="1416"/>
      <c r="C13" s="1381"/>
      <c r="D13" s="1381"/>
      <c r="E13" s="1253"/>
    </row>
    <row r="14" spans="2:10" s="317" customFormat="1" ht="12.75" customHeight="1" x14ac:dyDescent="0.2">
      <c r="B14" s="1362" t="s">
        <v>1281</v>
      </c>
      <c r="C14" s="1277"/>
      <c r="E14" s="1253"/>
    </row>
    <row r="15" spans="2:10" s="317" customFormat="1" ht="13.5" customHeight="1" x14ac:dyDescent="0.2">
      <c r="B15" s="1417" t="s">
        <v>1278</v>
      </c>
      <c r="C15" s="1418"/>
      <c r="D15" s="1392"/>
      <c r="E15" s="1419"/>
      <c r="F15" s="1295" t="s">
        <v>885</v>
      </c>
      <c r="G15" s="1419" t="s">
        <v>2060</v>
      </c>
      <c r="H15" s="1295" t="s">
        <v>1276</v>
      </c>
      <c r="I15" s="1295"/>
    </row>
    <row r="16" spans="2:10" s="317" customFormat="1" ht="8.4499999999999993" customHeight="1" x14ac:dyDescent="0.2">
      <c r="B16" s="1362"/>
      <c r="C16" s="1277"/>
      <c r="E16" s="1377"/>
      <c r="F16" s="1295"/>
      <c r="G16" s="322"/>
      <c r="H16" s="1295"/>
      <c r="I16" s="1295"/>
    </row>
    <row r="17" spans="2:9" s="317" customFormat="1" ht="13.5" customHeight="1" x14ac:dyDescent="0.2">
      <c r="B17" s="1417" t="s">
        <v>1277</v>
      </c>
      <c r="C17" s="1418"/>
      <c r="D17" s="1392"/>
      <c r="E17" s="1420"/>
      <c r="F17" s="1252"/>
      <c r="G17" s="1420"/>
      <c r="H17" s="1295"/>
      <c r="I17" s="1295"/>
    </row>
    <row r="18" spans="2:9" s="317" customFormat="1" ht="12.75" customHeight="1" x14ac:dyDescent="0.2">
      <c r="B18" s="1417" t="s">
        <v>1443</v>
      </c>
      <c r="C18" s="1418"/>
      <c r="D18" s="1392"/>
      <c r="E18" s="1419"/>
      <c r="F18" s="1295" t="s">
        <v>885</v>
      </c>
      <c r="G18" s="1419" t="s">
        <v>2060</v>
      </c>
      <c r="H18" s="1295" t="s">
        <v>1276</v>
      </c>
      <c r="I18" s="1295"/>
    </row>
    <row r="19" spans="2:9" s="317" customFormat="1" ht="8.4499999999999993" customHeight="1" x14ac:dyDescent="0.2">
      <c r="B19" s="1362"/>
      <c r="C19" s="1277"/>
      <c r="E19" s="1377"/>
      <c r="F19" s="1295"/>
      <c r="G19" s="322"/>
      <c r="H19" s="1295"/>
      <c r="I19" s="1295"/>
    </row>
    <row r="20" spans="2:9" s="317" customFormat="1" ht="13.5" customHeight="1" x14ac:dyDescent="0.2">
      <c r="B20" s="1417" t="s">
        <v>1591</v>
      </c>
      <c r="C20" s="1418"/>
      <c r="D20" s="1392"/>
      <c r="E20" s="1419" t="s">
        <v>2060</v>
      </c>
      <c r="F20" s="1295" t="s">
        <v>885</v>
      </c>
      <c r="G20" s="1419"/>
      <c r="H20" s="1295" t="s">
        <v>99</v>
      </c>
      <c r="I20" s="1295"/>
    </row>
    <row r="21" spans="2:9" s="317" customFormat="1" ht="12.75" customHeight="1" x14ac:dyDescent="0.2">
      <c r="B21" s="1362"/>
      <c r="C21" s="1277"/>
      <c r="E21" s="1377"/>
      <c r="F21" s="1295"/>
      <c r="G21" s="322"/>
      <c r="H21" s="1295"/>
      <c r="I21" s="1295"/>
    </row>
    <row r="22" spans="2:9" s="317" customFormat="1" ht="12.75" customHeight="1" x14ac:dyDescent="0.2">
      <c r="B22" s="1411" t="s">
        <v>1280</v>
      </c>
      <c r="C22" s="1421"/>
      <c r="D22" s="1412"/>
      <c r="E22" s="1377"/>
      <c r="F22" s="1295"/>
      <c r="G22" s="322"/>
      <c r="H22" s="1295"/>
      <c r="I22" s="1295"/>
    </row>
    <row r="23" spans="2:9" s="317" customFormat="1" ht="12.75" customHeight="1" x14ac:dyDescent="0.2">
      <c r="B23" s="1362" t="s">
        <v>1279</v>
      </c>
      <c r="C23" s="1277"/>
      <c r="E23" s="1377"/>
      <c r="F23" s="1295"/>
      <c r="G23" s="322"/>
      <c r="H23" s="1295"/>
      <c r="I23" s="1295"/>
    </row>
    <row r="24" spans="2:9" s="317" customFormat="1" ht="13.5" customHeight="1" x14ac:dyDescent="0.2">
      <c r="B24" s="1417" t="s">
        <v>1278</v>
      </c>
      <c r="C24" s="1418"/>
      <c r="D24" s="1392"/>
      <c r="E24" s="1419"/>
      <c r="F24" s="1295" t="s">
        <v>885</v>
      </c>
      <c r="G24" s="1419" t="s">
        <v>2060</v>
      </c>
      <c r="H24" s="1295" t="s">
        <v>1276</v>
      </c>
      <c r="I24" s="1295"/>
    </row>
    <row r="25" spans="2:9" s="317" customFormat="1" ht="8.4499999999999993" customHeight="1" x14ac:dyDescent="0.2">
      <c r="B25" s="1362"/>
      <c r="C25" s="1277"/>
      <c r="E25" s="1377"/>
      <c r="F25" s="1295"/>
      <c r="G25" s="322"/>
      <c r="H25" s="1295"/>
      <c r="I25" s="1295"/>
    </row>
    <row r="26" spans="2:9" s="317" customFormat="1" ht="13.5" customHeight="1" x14ac:dyDescent="0.2">
      <c r="B26" s="1417" t="s">
        <v>1277</v>
      </c>
      <c r="C26" s="1418"/>
      <c r="D26" s="1392"/>
      <c r="E26" s="1420"/>
      <c r="F26" s="1252"/>
      <c r="G26" s="1420"/>
      <c r="H26" s="1295"/>
      <c r="I26" s="1295"/>
    </row>
    <row r="27" spans="2:9" s="317" customFormat="1" ht="12.75" customHeight="1" x14ac:dyDescent="0.2">
      <c r="B27" s="1417" t="s">
        <v>1443</v>
      </c>
      <c r="C27" s="1418"/>
      <c r="D27" s="1392"/>
      <c r="E27" s="1419"/>
      <c r="F27" s="1295" t="s">
        <v>885</v>
      </c>
      <c r="G27" s="1419" t="s">
        <v>2060</v>
      </c>
      <c r="H27" s="1295" t="s">
        <v>1276</v>
      </c>
      <c r="I27" s="1295"/>
    </row>
    <row r="28" spans="2:9" s="317" customFormat="1" ht="12.75" customHeight="1" x14ac:dyDescent="0.2">
      <c r="B28" s="1362"/>
      <c r="C28" s="1277"/>
      <c r="E28" s="1253"/>
    </row>
    <row r="29" spans="2:9" s="317" customFormat="1" ht="12.75" customHeight="1" x14ac:dyDescent="0.2">
      <c r="B29" s="1362" t="s">
        <v>1275</v>
      </c>
      <c r="C29" s="1277"/>
      <c r="D29" s="2475" t="s">
        <v>2205</v>
      </c>
      <c r="E29" s="2475"/>
      <c r="F29" s="2475"/>
      <c r="G29" s="2475"/>
      <c r="H29" s="2475"/>
      <c r="I29" s="2475"/>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3"/>
    </row>
    <row r="32" spans="2:9" s="317" customFormat="1" x14ac:dyDescent="0.2">
      <c r="B32" s="1362" t="s">
        <v>1274</v>
      </c>
      <c r="C32" s="1277"/>
      <c r="E32" s="1253"/>
    </row>
    <row r="33" spans="2:9" ht="13.5" customHeight="1" x14ac:dyDescent="0.2">
      <c r="B33" s="1362" t="s">
        <v>1552</v>
      </c>
      <c r="C33" s="1277"/>
      <c r="E33" s="1419"/>
      <c r="F33" s="1295" t="s">
        <v>885</v>
      </c>
      <c r="G33" s="1419" t="s">
        <v>2060</v>
      </c>
      <c r="H33" s="1295" t="s">
        <v>99</v>
      </c>
    </row>
    <row r="35" spans="2:9" x14ac:dyDescent="0.2">
      <c r="B35" s="1422" t="s">
        <v>1745</v>
      </c>
      <c r="C35" s="1423"/>
      <c r="D35" s="1262"/>
    </row>
    <row r="36" spans="2:9" ht="6" customHeight="1" x14ac:dyDescent="0.2">
      <c r="B36" s="1422"/>
      <c r="C36" s="1423"/>
      <c r="D36" s="1262"/>
    </row>
    <row r="37" spans="2:9" ht="17.25" customHeight="1" x14ac:dyDescent="0.2">
      <c r="B37" s="1424" t="s">
        <v>1746</v>
      </c>
      <c r="C37" s="2476" t="s">
        <v>1747</v>
      </c>
      <c r="D37" s="2477"/>
      <c r="E37" s="2477"/>
      <c r="F37" s="2478"/>
      <c r="G37" s="2476" t="s">
        <v>1592</v>
      </c>
      <c r="H37" s="2477"/>
      <c r="I37" s="2478"/>
    </row>
    <row r="38" spans="2:9" ht="16.5" customHeight="1" x14ac:dyDescent="0.2">
      <c r="B38" s="1425" t="s">
        <v>2206</v>
      </c>
      <c r="C38" s="2464" t="s">
        <v>2152</v>
      </c>
      <c r="D38" s="2465"/>
      <c r="E38" s="2465"/>
      <c r="F38" s="2466"/>
      <c r="G38" s="2479">
        <v>510562</v>
      </c>
      <c r="H38" s="2480"/>
      <c r="I38" s="2481"/>
    </row>
    <row r="39" spans="2:9" ht="16.5" customHeight="1" x14ac:dyDescent="0.2">
      <c r="B39" s="1425" t="s">
        <v>2207</v>
      </c>
      <c r="C39" s="2464" t="s">
        <v>2139</v>
      </c>
      <c r="D39" s="2465"/>
      <c r="E39" s="2465"/>
      <c r="F39" s="2466"/>
      <c r="G39" s="2467">
        <v>258576</v>
      </c>
      <c r="H39" s="2467"/>
      <c r="I39" s="2467"/>
    </row>
    <row r="40" spans="2:9" ht="16.5" customHeight="1" x14ac:dyDescent="0.2">
      <c r="B40" s="1425"/>
      <c r="C40" s="2464"/>
      <c r="D40" s="2465"/>
      <c r="E40" s="2465"/>
      <c r="F40" s="2466"/>
      <c r="G40" s="2467"/>
      <c r="H40" s="2467"/>
      <c r="I40" s="2467"/>
    </row>
    <row r="41" spans="2:9" ht="16.5" customHeight="1" x14ac:dyDescent="0.2">
      <c r="B41" s="1425"/>
      <c r="C41" s="2464"/>
      <c r="D41" s="2465"/>
      <c r="E41" s="2465"/>
      <c r="F41" s="2466"/>
      <c r="G41" s="2467"/>
      <c r="H41" s="2467"/>
      <c r="I41" s="2467"/>
    </row>
    <row r="42" spans="2:9" ht="16.5" customHeight="1" x14ac:dyDescent="0.2">
      <c r="B42" s="1425"/>
      <c r="C42" s="2464"/>
      <c r="D42" s="2465"/>
      <c r="E42" s="2465"/>
      <c r="F42" s="2466"/>
      <c r="G42" s="2467"/>
      <c r="H42" s="2467"/>
      <c r="I42" s="2467"/>
    </row>
    <row r="43" spans="2:9" ht="16.5" customHeight="1" x14ac:dyDescent="0.2">
      <c r="B43" s="1425"/>
      <c r="C43" s="2482" t="s">
        <v>1593</v>
      </c>
      <c r="D43" s="2483"/>
      <c r="E43" s="2483"/>
      <c r="F43" s="2484"/>
      <c r="G43" s="2485">
        <f>SUM(G38:I42)</f>
        <v>769138</v>
      </c>
      <c r="H43" s="2485"/>
      <c r="I43" s="2485"/>
    </row>
    <row r="44" spans="2:9" ht="12.75" customHeight="1" x14ac:dyDescent="0.2"/>
    <row r="45" spans="2:9" ht="12.75" customHeight="1" x14ac:dyDescent="0.2">
      <c r="B45" s="1416" t="s">
        <v>2057</v>
      </c>
      <c r="D45" s="2486">
        <v>1313915</v>
      </c>
      <c r="E45" s="2487"/>
    </row>
    <row r="46" spans="2:9" ht="5.25" customHeight="1" x14ac:dyDescent="0.2">
      <c r="B46" s="1426"/>
      <c r="D46" s="1427"/>
      <c r="E46" s="1428"/>
    </row>
    <row r="47" spans="2:9" ht="12.75" customHeight="1" x14ac:dyDescent="0.2">
      <c r="B47" s="1295" t="s">
        <v>1594</v>
      </c>
      <c r="C47" s="1295"/>
      <c r="D47" s="1429">
        <f>+G43/D45</f>
        <v>0.58537881065365716</v>
      </c>
      <c r="E47" s="1430"/>
      <c r="F47" s="1431"/>
      <c r="I47" s="1432"/>
    </row>
    <row r="48" spans="2:9" ht="9.9499999999999993" customHeight="1" x14ac:dyDescent="0.2"/>
    <row r="49" spans="1:9" x14ac:dyDescent="0.2">
      <c r="B49" s="1362" t="s">
        <v>1273</v>
      </c>
      <c r="C49" s="1277"/>
      <c r="D49" s="1277"/>
      <c r="E49" s="2488">
        <v>750000</v>
      </c>
      <c r="F49" s="2488"/>
      <c r="G49" s="2488"/>
      <c r="H49" s="322"/>
    </row>
    <row r="51" spans="1:9" ht="13.5" customHeight="1" x14ac:dyDescent="0.2">
      <c r="B51" s="1362" t="s">
        <v>1272</v>
      </c>
      <c r="C51" s="1277"/>
      <c r="E51" s="1419"/>
      <c r="F51" s="1295" t="s">
        <v>885</v>
      </c>
      <c r="G51" s="1419" t="s">
        <v>2060</v>
      </c>
      <c r="H51" s="1295" t="s">
        <v>99</v>
      </c>
    </row>
    <row r="52" spans="1:9" x14ac:dyDescent="0.2">
      <c r="B52" s="1355"/>
      <c r="C52" s="1292"/>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21" sqref="B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Clinton CUSD 15</v>
      </c>
      <c r="C1" s="2468"/>
      <c r="D1" s="2468"/>
      <c r="E1" s="2468"/>
      <c r="F1" s="2468"/>
      <c r="G1" s="2468"/>
      <c r="H1" s="2468"/>
      <c r="I1" s="2468"/>
      <c r="J1" s="2468"/>
      <c r="K1" s="2468"/>
      <c r="L1" s="1368"/>
      <c r="M1" s="1368"/>
    </row>
    <row r="2" spans="1:13" ht="12" customHeight="1" x14ac:dyDescent="0.2">
      <c r="B2" s="2470">
        <f>'Single Audit Cover'!E7</f>
        <v>17020015026</v>
      </c>
      <c r="C2" s="2470"/>
      <c r="D2" s="2470"/>
      <c r="E2" s="2470"/>
      <c r="F2" s="2470"/>
      <c r="G2" s="2470"/>
      <c r="H2" s="2470"/>
      <c r="I2" s="2470"/>
      <c r="J2" s="2470"/>
      <c r="K2" s="2470"/>
      <c r="L2" s="1369"/>
      <c r="M2" s="1370"/>
    </row>
    <row r="3" spans="1:13" ht="10.35" customHeight="1" x14ac:dyDescent="0.2">
      <c r="B3" s="2491" t="s">
        <v>1285</v>
      </c>
      <c r="C3" s="2491"/>
      <c r="D3" s="2491"/>
      <c r="E3" s="2491"/>
      <c r="F3" s="2491"/>
      <c r="G3" s="2491"/>
      <c r="H3" s="2491"/>
      <c r="I3" s="2491"/>
      <c r="J3" s="2491"/>
      <c r="K3" s="2491"/>
      <c r="L3" s="1371"/>
      <c r="M3" s="1371"/>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5" t="s">
        <v>1169</v>
      </c>
      <c r="C5" s="1255"/>
    </row>
    <row r="6" spans="1:13" ht="7.5" customHeight="1" x14ac:dyDescent="0.2">
      <c r="B6" s="1372"/>
      <c r="C6" s="1372"/>
      <c r="D6" s="1373"/>
      <c r="E6" s="1373"/>
      <c r="F6" s="1373"/>
      <c r="G6" s="1374"/>
      <c r="H6" s="1373"/>
      <c r="I6" s="1374"/>
      <c r="J6" s="1373"/>
      <c r="K6" s="1373"/>
      <c r="L6" s="1375"/>
    </row>
    <row r="7" spans="1:13" ht="12.75" customHeight="1" x14ac:dyDescent="0.2">
      <c r="A7" s="1277"/>
      <c r="B7" s="2492" t="s">
        <v>1296</v>
      </c>
      <c r="C7" s="2492"/>
      <c r="D7" s="2493"/>
      <c r="E7" s="2493"/>
      <c r="F7" s="2493"/>
      <c r="G7" s="2493"/>
      <c r="H7" s="2493"/>
      <c r="I7" s="2493"/>
      <c r="J7" s="2493"/>
      <c r="K7" s="249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1984</v>
      </c>
      <c r="D10" s="1380">
        <v>1</v>
      </c>
      <c r="E10" s="322"/>
      <c r="F10" s="1381" t="s">
        <v>1295</v>
      </c>
      <c r="G10" s="1382"/>
      <c r="H10" s="1383" t="s">
        <v>1294</v>
      </c>
      <c r="I10" s="1382" t="s">
        <v>2060</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89"/>
      <c r="C12" s="1289"/>
      <c r="D12" s="322"/>
      <c r="E12" s="322"/>
      <c r="F12" s="322"/>
      <c r="G12" s="1377"/>
      <c r="H12" s="322"/>
      <c r="I12" s="1377"/>
      <c r="J12" s="322"/>
      <c r="L12" s="1375"/>
    </row>
    <row r="13" spans="1:13" s="1277" customFormat="1" ht="13.5" customHeight="1" x14ac:dyDescent="0.2">
      <c r="B13" s="1387" t="s">
        <v>1291</v>
      </c>
      <c r="C13" s="1387"/>
      <c r="D13" s="1388"/>
      <c r="E13" s="1388"/>
      <c r="F13" s="1388"/>
      <c r="G13" s="1389"/>
      <c r="H13" s="1388"/>
      <c r="I13" s="1389"/>
      <c r="J13" s="1388"/>
      <c r="K13" s="1388"/>
      <c r="L13" s="1390"/>
    </row>
    <row r="14" spans="1:13" ht="45.75" customHeight="1" x14ac:dyDescent="0.2">
      <c r="B14" s="2490" t="s">
        <v>2177</v>
      </c>
      <c r="C14" s="2490"/>
      <c r="D14" s="2490"/>
      <c r="E14" s="2490"/>
      <c r="F14" s="2490"/>
      <c r="G14" s="2490"/>
      <c r="H14" s="2490"/>
      <c r="I14" s="2490"/>
      <c r="J14" s="2490"/>
      <c r="K14" s="2490"/>
      <c r="L14" s="1391"/>
    </row>
    <row r="15" spans="1:13" ht="4.5" customHeight="1" x14ac:dyDescent="0.2">
      <c r="B15" s="1392"/>
      <c r="C15" s="1392"/>
      <c r="D15" s="1393"/>
      <c r="E15" s="1393"/>
      <c r="F15" s="1393"/>
      <c r="H15" s="1393"/>
      <c r="J15" s="1393"/>
      <c r="K15" s="1393"/>
      <c r="L15" s="1391"/>
    </row>
    <row r="16" spans="1:13" s="1277" customFormat="1" ht="13.5" customHeight="1" x14ac:dyDescent="0.2">
      <c r="B16" s="1387" t="s">
        <v>1290</v>
      </c>
      <c r="C16" s="1387"/>
      <c r="D16" s="1388"/>
      <c r="E16" s="1388"/>
      <c r="F16" s="1388"/>
      <c r="G16" s="1389"/>
      <c r="H16" s="1388"/>
      <c r="I16" s="1389"/>
      <c r="J16" s="1388"/>
      <c r="K16" s="1388"/>
      <c r="L16" s="1390"/>
    </row>
    <row r="17" spans="2:12" ht="45.75" customHeight="1" x14ac:dyDescent="0.2">
      <c r="B17" s="2490" t="s">
        <v>2178</v>
      </c>
      <c r="C17" s="2490"/>
      <c r="D17" s="2490"/>
      <c r="E17" s="2490"/>
      <c r="F17" s="2490"/>
      <c r="G17" s="2490"/>
      <c r="H17" s="2490"/>
      <c r="I17" s="2490"/>
      <c r="J17" s="2490"/>
      <c r="K17" s="2490"/>
      <c r="L17" s="1375"/>
    </row>
    <row r="18" spans="2:12" ht="4.5" customHeight="1" x14ac:dyDescent="0.2">
      <c r="B18" s="1392"/>
      <c r="C18" s="1392"/>
      <c r="L18" s="1375"/>
    </row>
    <row r="19" spans="2:12" s="1277" customFormat="1" ht="13.5" customHeight="1" x14ac:dyDescent="0.2">
      <c r="B19" s="1387" t="s">
        <v>1739</v>
      </c>
      <c r="C19" s="1387"/>
      <c r="D19" s="1388"/>
      <c r="E19" s="1388"/>
      <c r="F19" s="1388"/>
      <c r="G19" s="1389"/>
      <c r="H19" s="1388"/>
      <c r="I19" s="1389"/>
      <c r="J19" s="1388"/>
      <c r="K19" s="1388"/>
      <c r="L19" s="1390"/>
    </row>
    <row r="20" spans="2:12" ht="45.75" customHeight="1" x14ac:dyDescent="0.2">
      <c r="B20" s="2494" t="s">
        <v>2226</v>
      </c>
      <c r="C20" s="2494"/>
      <c r="D20" s="2490"/>
      <c r="E20" s="2490"/>
      <c r="F20" s="2490"/>
      <c r="G20" s="2490"/>
      <c r="H20" s="2490"/>
      <c r="I20" s="2490"/>
      <c r="J20" s="2490"/>
      <c r="K20" s="2490"/>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0" t="s">
        <v>2179</v>
      </c>
      <c r="C23" s="2490"/>
      <c r="D23" s="2490"/>
      <c r="E23" s="2490"/>
      <c r="F23" s="2490"/>
      <c r="G23" s="2490"/>
      <c r="H23" s="2490"/>
      <c r="I23" s="2490"/>
      <c r="J23" s="2490"/>
      <c r="K23" s="2490"/>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0" t="s">
        <v>2180</v>
      </c>
      <c r="C26" s="2490"/>
      <c r="D26" s="2490"/>
      <c r="E26" s="2490"/>
      <c r="F26" s="2490"/>
      <c r="G26" s="2490"/>
      <c r="H26" s="2490"/>
      <c r="I26" s="2490"/>
      <c r="J26" s="2490"/>
      <c r="K26" s="2490"/>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5" t="s">
        <v>2181</v>
      </c>
      <c r="C29" s="2495"/>
      <c r="D29" s="2490"/>
      <c r="E29" s="2490"/>
      <c r="F29" s="2490"/>
      <c r="G29" s="2490"/>
      <c r="H29" s="2490"/>
      <c r="I29" s="2490"/>
      <c r="J29" s="2490"/>
      <c r="K29" s="249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89" t="s">
        <v>2182</v>
      </c>
      <c r="C32" s="2489"/>
      <c r="D32" s="2490"/>
      <c r="E32" s="2490"/>
      <c r="F32" s="2490"/>
      <c r="G32" s="2490"/>
      <c r="H32" s="2490"/>
      <c r="I32" s="2490"/>
      <c r="J32" s="2490"/>
      <c r="K32" s="2490"/>
      <c r="L32" s="1375"/>
    </row>
    <row r="33" spans="1:13" s="322" customFormat="1" ht="4.5" customHeight="1" x14ac:dyDescent="0.2">
      <c r="B33" s="1396"/>
      <c r="C33" s="1396"/>
      <c r="G33" s="1377"/>
      <c r="I33" s="1377"/>
      <c r="L33" s="1375"/>
    </row>
    <row r="34" spans="1:13" s="322" customFormat="1" x14ac:dyDescent="0.2">
      <c r="A34" s="1292"/>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5" t="s">
        <v>1836</v>
      </c>
      <c r="C36" s="1295"/>
      <c r="L36" s="1375"/>
    </row>
    <row r="37" spans="1:13" ht="9.6" customHeight="1" x14ac:dyDescent="0.2">
      <c r="B37" s="1295" t="s">
        <v>1837</v>
      </c>
      <c r="C37" s="1295"/>
    </row>
    <row r="38" spans="1:13" ht="11.85" customHeight="1" x14ac:dyDescent="0.2">
      <c r="B38" s="1401" t="s">
        <v>1742</v>
      </c>
      <c r="C38" s="1401"/>
    </row>
    <row r="39" spans="1:13" ht="9.6" customHeight="1" x14ac:dyDescent="0.2">
      <c r="B39" s="1295" t="s">
        <v>1286</v>
      </c>
      <c r="C39" s="1295"/>
      <c r="M39" s="1402"/>
    </row>
    <row r="40" spans="1:13" ht="12.6" customHeight="1" x14ac:dyDescent="0.2">
      <c r="B40" s="1401" t="s">
        <v>1743</v>
      </c>
      <c r="C40" s="1401"/>
      <c r="M40" s="1402"/>
    </row>
    <row r="41" spans="1:13" ht="9.6" customHeight="1" x14ac:dyDescent="0.2">
      <c r="B41" s="1295"/>
      <c r="C41" s="1295"/>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Clinton CUSD 15</v>
      </c>
      <c r="C1" s="2468"/>
      <c r="D1" s="2468"/>
      <c r="E1" s="2468"/>
      <c r="F1" s="2468"/>
      <c r="G1" s="2468"/>
      <c r="H1" s="2468"/>
      <c r="I1" s="2468"/>
      <c r="J1" s="2468"/>
      <c r="K1" s="2468"/>
      <c r="L1" s="1368"/>
      <c r="M1" s="1368"/>
    </row>
    <row r="2" spans="1:13" ht="12" customHeight="1" x14ac:dyDescent="0.2">
      <c r="B2" s="2470">
        <f>'Single Audit Cover'!E7</f>
        <v>17020015026</v>
      </c>
      <c r="C2" s="2470"/>
      <c r="D2" s="2470"/>
      <c r="E2" s="2470"/>
      <c r="F2" s="2470"/>
      <c r="G2" s="2470"/>
      <c r="H2" s="2470"/>
      <c r="I2" s="2470"/>
      <c r="J2" s="2470"/>
      <c r="K2" s="2470"/>
      <c r="L2" s="1369"/>
      <c r="M2" s="1370"/>
    </row>
    <row r="3" spans="1:13" ht="10.35" customHeight="1" x14ac:dyDescent="0.2">
      <c r="B3" s="2491" t="s">
        <v>1285</v>
      </c>
      <c r="C3" s="2491"/>
      <c r="D3" s="2491"/>
      <c r="E3" s="2491"/>
      <c r="F3" s="2491"/>
      <c r="G3" s="2491"/>
      <c r="H3" s="2491"/>
      <c r="I3" s="2491"/>
      <c r="J3" s="2491"/>
      <c r="K3" s="2491"/>
      <c r="L3" s="1947"/>
      <c r="M3" s="1947"/>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5" t="s">
        <v>1169</v>
      </c>
      <c r="C5" s="1255"/>
    </row>
    <row r="6" spans="1:13" ht="7.5" customHeight="1" x14ac:dyDescent="0.2">
      <c r="B6" s="1372"/>
      <c r="C6" s="1372"/>
      <c r="D6" s="1373"/>
      <c r="E6" s="1373"/>
      <c r="F6" s="1373"/>
      <c r="G6" s="1374"/>
      <c r="H6" s="1373"/>
      <c r="I6" s="1374"/>
      <c r="J6" s="1373"/>
      <c r="K6" s="1373"/>
      <c r="L6" s="1375"/>
    </row>
    <row r="7" spans="1:13" ht="12.75" customHeight="1" x14ac:dyDescent="0.2">
      <c r="A7" s="1277"/>
      <c r="B7" s="2492" t="s">
        <v>1296</v>
      </c>
      <c r="C7" s="2492"/>
      <c r="D7" s="2493"/>
      <c r="E7" s="2493"/>
      <c r="F7" s="2493"/>
      <c r="G7" s="2493"/>
      <c r="H7" s="2493"/>
      <c r="I7" s="2493"/>
      <c r="J7" s="2493"/>
      <c r="K7" s="249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1984</v>
      </c>
      <c r="D10" s="1380">
        <v>2</v>
      </c>
      <c r="E10" s="322"/>
      <c r="F10" s="1381" t="s">
        <v>1295</v>
      </c>
      <c r="G10" s="1382"/>
      <c r="H10" s="1383" t="s">
        <v>1294</v>
      </c>
      <c r="I10" s="1382" t="s">
        <v>2060</v>
      </c>
      <c r="J10" s="1384" t="s">
        <v>1293</v>
      </c>
      <c r="K10" s="322"/>
      <c r="L10" s="1375"/>
    </row>
    <row r="11" spans="1:13" ht="13.5" customHeight="1" x14ac:dyDescent="0.2">
      <c r="B11" s="322"/>
      <c r="C11" s="322"/>
      <c r="D11" s="322"/>
      <c r="E11" s="322"/>
      <c r="F11" s="322"/>
      <c r="G11" s="1377"/>
      <c r="H11" s="322"/>
      <c r="I11" s="1385" t="s">
        <v>1292</v>
      </c>
      <c r="J11" s="322"/>
      <c r="K11" s="1386">
        <v>2017</v>
      </c>
      <c r="L11" s="1375"/>
    </row>
    <row r="12" spans="1:13" ht="13.5" customHeight="1" x14ac:dyDescent="0.2">
      <c r="B12" s="1289"/>
      <c r="C12" s="1289"/>
      <c r="D12" s="322"/>
      <c r="E12" s="322"/>
      <c r="F12" s="322"/>
      <c r="G12" s="1377"/>
      <c r="H12" s="322"/>
      <c r="I12" s="1377"/>
      <c r="J12" s="322"/>
      <c r="L12" s="1375"/>
    </row>
    <row r="13" spans="1:13" s="1277" customFormat="1" ht="13.5" customHeight="1" x14ac:dyDescent="0.2">
      <c r="B13" s="1387" t="s">
        <v>1291</v>
      </c>
      <c r="C13" s="1387"/>
      <c r="D13" s="1388"/>
      <c r="E13" s="1388"/>
      <c r="F13" s="1388"/>
      <c r="G13" s="1389"/>
      <c r="H13" s="1388"/>
      <c r="I13" s="1389"/>
      <c r="J13" s="1388"/>
      <c r="K13" s="1388"/>
      <c r="L13" s="1390"/>
    </row>
    <row r="14" spans="1:13" ht="45.75" customHeight="1" x14ac:dyDescent="0.2">
      <c r="B14" s="2490" t="s">
        <v>2183</v>
      </c>
      <c r="C14" s="2490"/>
      <c r="D14" s="2490"/>
      <c r="E14" s="2490"/>
      <c r="F14" s="2490"/>
      <c r="G14" s="2490"/>
      <c r="H14" s="2490"/>
      <c r="I14" s="2490"/>
      <c r="J14" s="2490"/>
      <c r="K14" s="2490"/>
      <c r="L14" s="1391"/>
    </row>
    <row r="15" spans="1:13" ht="4.5" customHeight="1" x14ac:dyDescent="0.2">
      <c r="B15" s="1392"/>
      <c r="C15" s="1392"/>
      <c r="D15" s="1393"/>
      <c r="E15" s="1393"/>
      <c r="F15" s="1393"/>
      <c r="H15" s="1393"/>
      <c r="J15" s="1393"/>
      <c r="K15" s="1393"/>
      <c r="L15" s="1391"/>
    </row>
    <row r="16" spans="1:13" s="1277" customFormat="1" ht="13.5" customHeight="1" x14ac:dyDescent="0.2">
      <c r="B16" s="1387" t="s">
        <v>1290</v>
      </c>
      <c r="C16" s="1387"/>
      <c r="D16" s="1388"/>
      <c r="E16" s="1388"/>
      <c r="F16" s="1388"/>
      <c r="G16" s="1389"/>
      <c r="H16" s="1388"/>
      <c r="I16" s="1389"/>
      <c r="J16" s="1388"/>
      <c r="K16" s="1388"/>
      <c r="L16" s="1390"/>
    </row>
    <row r="17" spans="2:12" ht="45.75" customHeight="1" x14ac:dyDescent="0.2">
      <c r="B17" s="2490" t="s">
        <v>2187</v>
      </c>
      <c r="C17" s="2490"/>
      <c r="D17" s="2490"/>
      <c r="E17" s="2490"/>
      <c r="F17" s="2490"/>
      <c r="G17" s="2490"/>
      <c r="H17" s="2490"/>
      <c r="I17" s="2490"/>
      <c r="J17" s="2490"/>
      <c r="K17" s="2490"/>
      <c r="L17" s="1375"/>
    </row>
    <row r="18" spans="2:12" ht="4.5" customHeight="1" x14ac:dyDescent="0.2">
      <c r="B18" s="1392"/>
      <c r="C18" s="1392"/>
      <c r="L18" s="1375"/>
    </row>
    <row r="19" spans="2:12" s="1277" customFormat="1" ht="13.5" customHeight="1" x14ac:dyDescent="0.2">
      <c r="B19" s="1387" t="s">
        <v>1739</v>
      </c>
      <c r="C19" s="1387"/>
      <c r="D19" s="1388"/>
      <c r="E19" s="1388"/>
      <c r="F19" s="1388"/>
      <c r="G19" s="1389"/>
      <c r="H19" s="1388"/>
      <c r="I19" s="1389"/>
      <c r="J19" s="1388"/>
      <c r="K19" s="1388"/>
      <c r="L19" s="1390"/>
    </row>
    <row r="20" spans="2:12" ht="45.75" customHeight="1" x14ac:dyDescent="0.2">
      <c r="B20" s="2494" t="s">
        <v>2188</v>
      </c>
      <c r="C20" s="2494"/>
      <c r="D20" s="2490"/>
      <c r="E20" s="2490"/>
      <c r="F20" s="2490"/>
      <c r="G20" s="2490"/>
      <c r="H20" s="2490"/>
      <c r="I20" s="2490"/>
      <c r="J20" s="2490"/>
      <c r="K20" s="2490"/>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0" t="s">
        <v>2184</v>
      </c>
      <c r="C23" s="2490"/>
      <c r="D23" s="2490"/>
      <c r="E23" s="2490"/>
      <c r="F23" s="2490"/>
      <c r="G23" s="2490"/>
      <c r="H23" s="2490"/>
      <c r="I23" s="2490"/>
      <c r="J23" s="2490"/>
      <c r="K23" s="2490"/>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0" t="s">
        <v>2189</v>
      </c>
      <c r="C26" s="2490"/>
      <c r="D26" s="2490"/>
      <c r="E26" s="2490"/>
      <c r="F26" s="2490"/>
      <c r="G26" s="2490"/>
      <c r="H26" s="2490"/>
      <c r="I26" s="2490"/>
      <c r="J26" s="2490"/>
      <c r="K26" s="2490"/>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5" t="s">
        <v>2185</v>
      </c>
      <c r="C29" s="2495"/>
      <c r="D29" s="2490"/>
      <c r="E29" s="2490"/>
      <c r="F29" s="2490"/>
      <c r="G29" s="2490"/>
      <c r="H29" s="2490"/>
      <c r="I29" s="2490"/>
      <c r="J29" s="2490"/>
      <c r="K29" s="249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5" t="s">
        <v>2186</v>
      </c>
      <c r="C32" s="2495"/>
      <c r="D32" s="2490"/>
      <c r="E32" s="2490"/>
      <c r="F32" s="2490"/>
      <c r="G32" s="2490"/>
      <c r="H32" s="2490"/>
      <c r="I32" s="2490"/>
      <c r="J32" s="2490"/>
      <c r="K32" s="2490"/>
      <c r="L32" s="1375"/>
    </row>
    <row r="33" spans="1:13" s="322" customFormat="1" ht="4.5" customHeight="1" x14ac:dyDescent="0.2">
      <c r="B33" s="1396"/>
      <c r="C33" s="1396"/>
      <c r="G33" s="1377"/>
      <c r="I33" s="1377"/>
      <c r="L33" s="1375"/>
    </row>
    <row r="34" spans="1:13" s="322" customFormat="1" x14ac:dyDescent="0.2">
      <c r="A34" s="1292"/>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5" t="s">
        <v>1836</v>
      </c>
      <c r="C36" s="1295"/>
      <c r="L36" s="1375"/>
    </row>
    <row r="37" spans="1:13" ht="9.6" customHeight="1" x14ac:dyDescent="0.2">
      <c r="B37" s="1295" t="s">
        <v>1837</v>
      </c>
      <c r="C37" s="1295"/>
    </row>
    <row r="38" spans="1:13" ht="11.85" customHeight="1" x14ac:dyDescent="0.2">
      <c r="B38" s="1401" t="s">
        <v>1742</v>
      </c>
      <c r="C38" s="1401"/>
    </row>
    <row r="39" spans="1:13" ht="9.6" customHeight="1" x14ac:dyDescent="0.2">
      <c r="B39" s="1295" t="s">
        <v>1286</v>
      </c>
      <c r="C39" s="1295"/>
      <c r="M39" s="1402"/>
    </row>
    <row r="40" spans="1:13" ht="12.6" customHeight="1" x14ac:dyDescent="0.2">
      <c r="B40" s="1401" t="s">
        <v>1743</v>
      </c>
      <c r="C40" s="1401"/>
      <c r="M40" s="1402"/>
    </row>
    <row r="41" spans="1:13" ht="9.6" customHeight="1" x14ac:dyDescent="0.2">
      <c r="B41" s="1295"/>
      <c r="C41" s="1295"/>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Clinton CUSD 15</v>
      </c>
      <c r="C1" s="2468"/>
      <c r="D1" s="2468"/>
      <c r="E1" s="2468"/>
      <c r="F1" s="2468"/>
      <c r="G1" s="2468"/>
      <c r="H1" s="2468"/>
      <c r="I1" s="2468"/>
      <c r="J1" s="2468"/>
      <c r="K1" s="2468"/>
      <c r="L1" s="1368"/>
      <c r="M1" s="1368"/>
    </row>
    <row r="2" spans="1:13" ht="12" customHeight="1" x14ac:dyDescent="0.2">
      <c r="B2" s="2470">
        <f>'Single Audit Cover'!E7</f>
        <v>17020015026</v>
      </c>
      <c r="C2" s="2470"/>
      <c r="D2" s="2470"/>
      <c r="E2" s="2470"/>
      <c r="F2" s="2470"/>
      <c r="G2" s="2470"/>
      <c r="H2" s="2470"/>
      <c r="I2" s="2470"/>
      <c r="J2" s="2470"/>
      <c r="K2" s="2470"/>
      <c r="L2" s="1369"/>
      <c r="M2" s="1370"/>
    </row>
    <row r="3" spans="1:13" ht="10.35" customHeight="1" x14ac:dyDescent="0.2">
      <c r="B3" s="2491" t="s">
        <v>1285</v>
      </c>
      <c r="C3" s="2491"/>
      <c r="D3" s="2491"/>
      <c r="E3" s="2491"/>
      <c r="F3" s="2491"/>
      <c r="G3" s="2491"/>
      <c r="H3" s="2491"/>
      <c r="I3" s="2491"/>
      <c r="J3" s="2491"/>
      <c r="K3" s="2491"/>
      <c r="L3" s="1947"/>
      <c r="M3" s="1947"/>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5" t="s">
        <v>1169</v>
      </c>
      <c r="C5" s="1255"/>
    </row>
    <row r="6" spans="1:13" ht="7.5" customHeight="1" x14ac:dyDescent="0.2">
      <c r="B6" s="1372"/>
      <c r="C6" s="1372"/>
      <c r="D6" s="1373"/>
      <c r="E6" s="1373"/>
      <c r="F6" s="1373"/>
      <c r="G6" s="1374"/>
      <c r="H6" s="1373"/>
      <c r="I6" s="1374"/>
      <c r="J6" s="1373"/>
      <c r="K6" s="1373"/>
      <c r="L6" s="1375"/>
    </row>
    <row r="7" spans="1:13" ht="12.75" customHeight="1" x14ac:dyDescent="0.2">
      <c r="A7" s="1277"/>
      <c r="B7" s="2492" t="s">
        <v>1296</v>
      </c>
      <c r="C7" s="2492"/>
      <c r="D7" s="2493"/>
      <c r="E7" s="2493"/>
      <c r="F7" s="2493"/>
      <c r="G7" s="2493"/>
      <c r="H7" s="2493"/>
      <c r="I7" s="2493"/>
      <c r="J7" s="2493"/>
      <c r="K7" s="249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1984</v>
      </c>
      <c r="D10" s="1380">
        <v>3</v>
      </c>
      <c r="E10" s="322"/>
      <c r="F10" s="1381" t="s">
        <v>1295</v>
      </c>
      <c r="G10" s="1382"/>
      <c r="H10" s="1383" t="s">
        <v>1294</v>
      </c>
      <c r="I10" s="1382" t="s">
        <v>2060</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89"/>
      <c r="C12" s="1289"/>
      <c r="D12" s="322"/>
      <c r="E12" s="322"/>
      <c r="F12" s="322"/>
      <c r="G12" s="1377"/>
      <c r="H12" s="322"/>
      <c r="I12" s="1377"/>
      <c r="J12" s="322"/>
      <c r="L12" s="1375"/>
    </row>
    <row r="13" spans="1:13" s="1277" customFormat="1" ht="13.5" customHeight="1" x14ac:dyDescent="0.2">
      <c r="B13" s="1387" t="s">
        <v>1291</v>
      </c>
      <c r="C13" s="1387"/>
      <c r="D13" s="1388"/>
      <c r="E13" s="1388"/>
      <c r="F13" s="1388"/>
      <c r="G13" s="1389"/>
      <c r="H13" s="1388"/>
      <c r="I13" s="1389"/>
      <c r="J13" s="1388"/>
      <c r="K13" s="1388"/>
      <c r="L13" s="1390"/>
    </row>
    <row r="14" spans="1:13" ht="45.75" customHeight="1" x14ac:dyDescent="0.2">
      <c r="B14" s="2497" t="s">
        <v>2190</v>
      </c>
      <c r="C14" s="2497"/>
      <c r="D14" s="2497"/>
      <c r="E14" s="2497"/>
      <c r="F14" s="2497"/>
      <c r="G14" s="2497"/>
      <c r="H14" s="2497"/>
      <c r="I14" s="2497"/>
      <c r="J14" s="2497"/>
      <c r="K14" s="2497"/>
      <c r="L14" s="1391"/>
    </row>
    <row r="15" spans="1:13" ht="4.5" customHeight="1" x14ac:dyDescent="0.2">
      <c r="B15" s="1392"/>
      <c r="C15" s="1392"/>
      <c r="D15" s="1393"/>
      <c r="E15" s="1393"/>
      <c r="F15" s="1393"/>
      <c r="H15" s="1393"/>
      <c r="J15" s="1393"/>
      <c r="K15" s="1393"/>
      <c r="L15" s="1391"/>
    </row>
    <row r="16" spans="1:13" s="1277" customFormat="1" ht="13.5" customHeight="1" x14ac:dyDescent="0.2">
      <c r="B16" s="1387" t="s">
        <v>1290</v>
      </c>
      <c r="C16" s="1387"/>
      <c r="D16" s="1388"/>
      <c r="E16" s="1388"/>
      <c r="F16" s="1388"/>
      <c r="G16" s="1389"/>
      <c r="H16" s="1388"/>
      <c r="I16" s="1389"/>
      <c r="J16" s="1388"/>
      <c r="K16" s="1388"/>
      <c r="L16" s="1390"/>
    </row>
    <row r="17" spans="2:12" ht="45.75" customHeight="1" x14ac:dyDescent="0.2">
      <c r="B17" s="2497" t="s">
        <v>2191</v>
      </c>
      <c r="C17" s="2497"/>
      <c r="D17" s="2497"/>
      <c r="E17" s="2497"/>
      <c r="F17" s="2497"/>
      <c r="G17" s="2497"/>
      <c r="H17" s="2497"/>
      <c r="I17" s="2497"/>
      <c r="J17" s="2497"/>
      <c r="K17" s="2497"/>
      <c r="L17" s="1375"/>
    </row>
    <row r="18" spans="2:12" ht="4.5" customHeight="1" x14ac:dyDescent="0.2">
      <c r="B18" s="1392"/>
      <c r="C18" s="1392"/>
      <c r="L18" s="1375"/>
    </row>
    <row r="19" spans="2:12" s="1277" customFormat="1" ht="13.5" customHeight="1" x14ac:dyDescent="0.2">
      <c r="B19" s="1387" t="s">
        <v>1739</v>
      </c>
      <c r="C19" s="1387"/>
      <c r="D19" s="1388"/>
      <c r="E19" s="1388"/>
      <c r="F19" s="1388"/>
      <c r="G19" s="1389"/>
      <c r="H19" s="1388"/>
      <c r="I19" s="1389"/>
      <c r="J19" s="1388"/>
      <c r="K19" s="1388"/>
      <c r="L19" s="1390"/>
    </row>
    <row r="20" spans="2:12" ht="45.75" customHeight="1" x14ac:dyDescent="0.2">
      <c r="B20" s="2498" t="s">
        <v>2194</v>
      </c>
      <c r="C20" s="2498"/>
      <c r="D20" s="2497"/>
      <c r="E20" s="2497"/>
      <c r="F20" s="2497"/>
      <c r="G20" s="2497"/>
      <c r="H20" s="2497"/>
      <c r="I20" s="2497"/>
      <c r="J20" s="2497"/>
      <c r="K20" s="249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7" t="s">
        <v>2192</v>
      </c>
      <c r="C23" s="2497"/>
      <c r="D23" s="2497"/>
      <c r="E23" s="2497"/>
      <c r="F23" s="2497"/>
      <c r="G23" s="2497"/>
      <c r="H23" s="2497"/>
      <c r="I23" s="2497"/>
      <c r="J23" s="2497"/>
      <c r="K23" s="249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7" t="s">
        <v>2195</v>
      </c>
      <c r="C26" s="2497"/>
      <c r="D26" s="2497"/>
      <c r="E26" s="2497"/>
      <c r="F26" s="2497"/>
      <c r="G26" s="2497"/>
      <c r="H26" s="2497"/>
      <c r="I26" s="2497"/>
      <c r="J26" s="2497"/>
      <c r="K26" s="249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6" t="s">
        <v>2193</v>
      </c>
      <c r="C29" s="2496"/>
      <c r="D29" s="2497"/>
      <c r="E29" s="2497"/>
      <c r="F29" s="2497"/>
      <c r="G29" s="2497"/>
      <c r="H29" s="2497"/>
      <c r="I29" s="2497"/>
      <c r="J29" s="2497"/>
      <c r="K29" s="249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6" t="s">
        <v>2196</v>
      </c>
      <c r="C32" s="2496"/>
      <c r="D32" s="2497"/>
      <c r="E32" s="2497"/>
      <c r="F32" s="2497"/>
      <c r="G32" s="2497"/>
      <c r="H32" s="2497"/>
      <c r="I32" s="2497"/>
      <c r="J32" s="2497"/>
      <c r="K32" s="2497"/>
      <c r="L32" s="1375"/>
    </row>
    <row r="33" spans="1:13" s="322" customFormat="1" ht="4.5" customHeight="1" x14ac:dyDescent="0.2">
      <c r="B33" s="1396"/>
      <c r="C33" s="1396"/>
      <c r="G33" s="1377"/>
      <c r="I33" s="1377"/>
      <c r="L33" s="1375"/>
    </row>
    <row r="34" spans="1:13" s="322" customFormat="1" x14ac:dyDescent="0.2">
      <c r="A34" s="1292"/>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5" t="s">
        <v>1836</v>
      </c>
      <c r="C36" s="1295"/>
      <c r="L36" s="1375"/>
    </row>
    <row r="37" spans="1:13" ht="9.6" customHeight="1" x14ac:dyDescent="0.2">
      <c r="B37" s="1295" t="s">
        <v>1837</v>
      </c>
      <c r="C37" s="1295"/>
    </row>
    <row r="38" spans="1:13" ht="11.85" customHeight="1" x14ac:dyDescent="0.2">
      <c r="B38" s="1401" t="s">
        <v>1742</v>
      </c>
      <c r="C38" s="1401"/>
    </row>
    <row r="39" spans="1:13" ht="9.6" customHeight="1" x14ac:dyDescent="0.2">
      <c r="B39" s="1295" t="s">
        <v>1286</v>
      </c>
      <c r="C39" s="1295"/>
      <c r="M39" s="1402"/>
    </row>
    <row r="40" spans="1:13" ht="12.6" customHeight="1" x14ac:dyDescent="0.2">
      <c r="B40" s="1401" t="s">
        <v>1743</v>
      </c>
      <c r="C40" s="1401"/>
      <c r="M40" s="1402"/>
    </row>
    <row r="41" spans="1:13" ht="9.6" customHeight="1" x14ac:dyDescent="0.2">
      <c r="B41" s="1295"/>
      <c r="C41" s="1295"/>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Clinton CUSD 15</v>
      </c>
      <c r="C1" s="2499"/>
      <c r="D1" s="2499"/>
      <c r="E1" s="2499"/>
      <c r="F1" s="2499"/>
      <c r="G1" s="2499"/>
      <c r="H1" s="2499"/>
      <c r="I1" s="2499"/>
      <c r="J1" s="2499"/>
      <c r="K1" s="2499"/>
      <c r="L1" s="1446"/>
    </row>
    <row r="2" spans="1:12" ht="12.75" customHeight="1" x14ac:dyDescent="0.2">
      <c r="B2" s="2500">
        <f>'Single Audit Cover'!E7</f>
        <v>17020015026</v>
      </c>
      <c r="C2" s="2500"/>
      <c r="D2" s="2500"/>
      <c r="E2" s="2500"/>
      <c r="F2" s="2500"/>
      <c r="G2" s="2500"/>
      <c r="H2" s="2500"/>
      <c r="I2" s="2500"/>
      <c r="J2" s="2500"/>
      <c r="K2" s="2500"/>
      <c r="L2" s="1447"/>
    </row>
    <row r="3" spans="1:12" ht="12.75" customHeight="1" x14ac:dyDescent="0.2">
      <c r="B3" s="2491" t="s">
        <v>1285</v>
      </c>
      <c r="C3" s="2491"/>
      <c r="D3" s="2491"/>
      <c r="E3" s="2491"/>
      <c r="F3" s="2491"/>
      <c r="G3" s="2491"/>
      <c r="H3" s="2491"/>
      <c r="I3" s="2491"/>
      <c r="J3" s="2491"/>
      <c r="K3" s="2491"/>
      <c r="L3" s="1371"/>
    </row>
    <row r="4" spans="1:12" ht="12.75" customHeight="1" x14ac:dyDescent="0.2">
      <c r="B4" s="2491" t="str">
        <f>'Single Audit Cover'!A4</f>
        <v>Year Ending June 30, 2019</v>
      </c>
      <c r="C4" s="2491"/>
      <c r="D4" s="2491"/>
      <c r="E4" s="2491"/>
      <c r="F4" s="2491"/>
      <c r="G4" s="2491"/>
      <c r="H4" s="2491"/>
      <c r="I4" s="2491"/>
      <c r="J4" s="2491"/>
      <c r="K4" s="2491"/>
      <c r="L4" s="1371"/>
    </row>
    <row r="5" spans="1:12" ht="5.25" customHeight="1" x14ac:dyDescent="0.2">
      <c r="B5" s="1255" t="s">
        <v>1169</v>
      </c>
      <c r="C5" s="1255"/>
      <c r="L5" s="322"/>
    </row>
    <row r="6" spans="1:12" ht="30.75" customHeight="1" x14ac:dyDescent="0.2">
      <c r="A6" s="322"/>
      <c r="B6" s="2501" t="s">
        <v>1308</v>
      </c>
      <c r="C6" s="2501"/>
      <c r="D6" s="2501"/>
      <c r="E6" s="2501"/>
      <c r="F6" s="2501"/>
      <c r="G6" s="2501"/>
      <c r="H6" s="2501"/>
      <c r="I6" s="2501"/>
      <c r="J6" s="2501"/>
      <c r="K6" s="2501"/>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1984</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5"/>
      <c r="G12" s="2475"/>
      <c r="H12" s="2475"/>
      <c r="I12" s="2475"/>
      <c r="J12" s="2475"/>
      <c r="K12" s="2475"/>
      <c r="L12" s="322"/>
    </row>
    <row r="13" spans="1:12" ht="9.6" customHeight="1" x14ac:dyDescent="0.2">
      <c r="B13" s="1252"/>
      <c r="C13" s="1252"/>
      <c r="D13" s="304"/>
      <c r="E13" s="322"/>
      <c r="F13" s="322"/>
      <c r="G13" s="1377"/>
      <c r="H13" s="322"/>
      <c r="I13" s="1377"/>
      <c r="J13" s="322"/>
      <c r="K13" s="1413"/>
      <c r="L13" s="322"/>
    </row>
    <row r="14" spans="1:12" ht="13.5" customHeight="1" x14ac:dyDescent="0.2">
      <c r="B14" s="1381" t="s">
        <v>1304</v>
      </c>
      <c r="C14" s="1381"/>
      <c r="D14" s="2502"/>
      <c r="E14" s="2502"/>
      <c r="F14" s="2502"/>
      <c r="H14" s="1456" t="s">
        <v>1303</v>
      </c>
      <c r="I14" s="2503"/>
      <c r="J14" s="2503"/>
      <c r="K14" s="2503"/>
      <c r="L14" s="322"/>
    </row>
    <row r="15" spans="1:12" ht="9.4" customHeight="1" x14ac:dyDescent="0.2">
      <c r="B15" s="1381"/>
      <c r="C15" s="1381"/>
      <c r="D15" s="1367"/>
      <c r="E15" s="1255"/>
      <c r="F15" s="1255"/>
      <c r="G15" s="1281"/>
      <c r="H15" s="1255"/>
      <c r="I15" s="1457"/>
      <c r="J15" s="1289"/>
      <c r="K15" s="1286"/>
      <c r="L15" s="322"/>
    </row>
    <row r="16" spans="1:12" ht="13.5" customHeight="1" x14ac:dyDescent="0.2">
      <c r="B16" s="1381" t="s">
        <v>1302</v>
      </c>
      <c r="C16" s="1381"/>
      <c r="D16" s="2503"/>
      <c r="E16" s="2503"/>
      <c r="F16" s="2503"/>
      <c r="G16" s="2503"/>
      <c r="H16" s="2503"/>
      <c r="I16" s="2503"/>
      <c r="J16" s="2503"/>
      <c r="K16" s="2503"/>
      <c r="L16" s="322"/>
    </row>
    <row r="17" spans="2:12" ht="13.5" customHeight="1" x14ac:dyDescent="0.2">
      <c r="B17" s="1381" t="s">
        <v>1301</v>
      </c>
      <c r="C17" s="1381"/>
      <c r="D17" s="2504"/>
      <c r="E17" s="2504"/>
      <c r="F17" s="2504"/>
      <c r="G17" s="2504"/>
      <c r="H17" s="2504"/>
      <c r="I17" s="2504"/>
      <c r="J17" s="2504"/>
      <c r="K17" s="250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7" t="s">
        <v>2208</v>
      </c>
      <c r="C20" s="2497"/>
      <c r="D20" s="2497"/>
      <c r="E20" s="2497"/>
      <c r="F20" s="2497"/>
      <c r="G20" s="2497"/>
      <c r="H20" s="2497"/>
      <c r="I20" s="2497"/>
      <c r="J20" s="2497"/>
      <c r="K20" s="249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8" t="str">
        <f>'Single Audit Cover'!A7</f>
        <v>Clinton CUSD 15</v>
      </c>
      <c r="C1" s="2468"/>
      <c r="D1" s="2468"/>
      <c r="E1" s="1466"/>
    </row>
    <row r="2" spans="2:5" s="1277" customFormat="1" ht="12.75" customHeight="1" x14ac:dyDescent="0.2">
      <c r="B2" s="2470">
        <f>'Single Audit Cover'!E7</f>
        <v>17020015026</v>
      </c>
      <c r="C2" s="2470"/>
      <c r="D2" s="2470"/>
      <c r="E2" s="1467"/>
    </row>
    <row r="3" spans="2:5" ht="12.75" customHeight="1" x14ac:dyDescent="0.2">
      <c r="B3" s="2491" t="s">
        <v>1762</v>
      </c>
      <c r="C3" s="2491"/>
      <c r="D3" s="2491"/>
      <c r="E3" s="1269"/>
    </row>
    <row r="4" spans="2:5" s="1277" customFormat="1" ht="12.75" customHeight="1" x14ac:dyDescent="0.2">
      <c r="B4" s="2505" t="str">
        <f>'Single Audit Cover'!A4</f>
        <v>Year Ending June 30, 2019</v>
      </c>
      <c r="C4" s="2505"/>
      <c r="D4" s="2505"/>
      <c r="E4" s="1468"/>
    </row>
    <row r="5" spans="2:5" s="1277" customFormat="1" ht="40.15" customHeight="1" x14ac:dyDescent="0.2">
      <c r="B5" s="1469"/>
      <c r="C5" s="328"/>
      <c r="D5" s="328"/>
      <c r="E5" s="328"/>
    </row>
    <row r="6" spans="2:5" s="1277" customFormat="1" ht="13.5" customHeight="1" x14ac:dyDescent="0.2">
      <c r="B6" s="1470" t="s">
        <v>1315</v>
      </c>
      <c r="C6" s="1470" t="s">
        <v>1314</v>
      </c>
      <c r="D6" s="1470" t="s">
        <v>1763</v>
      </c>
    </row>
    <row r="7" spans="2:5" ht="13.5" customHeight="1" x14ac:dyDescent="0.2">
      <c r="B7" s="1471"/>
      <c r="C7" s="324"/>
      <c r="D7" s="324"/>
      <c r="E7" s="324"/>
    </row>
    <row r="8" spans="2:5" ht="13.5" customHeight="1" x14ac:dyDescent="0.2">
      <c r="B8" s="1471" t="s">
        <v>2209</v>
      </c>
      <c r="C8" s="324" t="s">
        <v>2211</v>
      </c>
      <c r="D8" s="324" t="s">
        <v>2210</v>
      </c>
      <c r="E8" s="324"/>
    </row>
    <row r="9" spans="2:5" ht="13.5" customHeight="1" x14ac:dyDescent="0.2">
      <c r="B9" s="1472"/>
      <c r="C9" s="323" t="s">
        <v>2212</v>
      </c>
      <c r="D9" s="323"/>
      <c r="E9" s="323"/>
    </row>
    <row r="10" spans="2:5" ht="13.5" customHeight="1" x14ac:dyDescent="0.2">
      <c r="B10" s="1471"/>
      <c r="C10" s="323"/>
      <c r="D10" s="323"/>
      <c r="E10" s="323"/>
    </row>
    <row r="11" spans="2:5" ht="13.5" customHeight="1" x14ac:dyDescent="0.2">
      <c r="B11" s="1471" t="s">
        <v>2213</v>
      </c>
      <c r="C11" s="323" t="s">
        <v>2214</v>
      </c>
      <c r="D11" s="323" t="s">
        <v>2216</v>
      </c>
      <c r="E11" s="323"/>
    </row>
    <row r="12" spans="2:5" ht="13.5" customHeight="1" x14ac:dyDescent="0.2">
      <c r="B12" s="1471"/>
      <c r="C12" s="323" t="s">
        <v>2215</v>
      </c>
      <c r="D12" s="323"/>
      <c r="E12" s="323"/>
    </row>
    <row r="13" spans="2:5" ht="13.5" customHeight="1" x14ac:dyDescent="0.2">
      <c r="B13" s="1471"/>
      <c r="C13" s="323"/>
      <c r="D13" s="323"/>
      <c r="E13" s="323"/>
    </row>
    <row r="14" spans="2:5" ht="13.5" customHeight="1" x14ac:dyDescent="0.2">
      <c r="B14" s="1471" t="s">
        <v>2217</v>
      </c>
      <c r="C14" s="323" t="s">
        <v>2218</v>
      </c>
      <c r="D14" s="323" t="s">
        <v>2220</v>
      </c>
      <c r="E14" s="323"/>
    </row>
    <row r="15" spans="2:5" ht="13.5" customHeight="1" x14ac:dyDescent="0.2">
      <c r="B15" s="1471"/>
      <c r="C15" s="323" t="s">
        <v>2219</v>
      </c>
      <c r="D15" s="323"/>
      <c r="E15" s="323"/>
    </row>
    <row r="16" spans="2:5" ht="13.5" customHeight="1" x14ac:dyDescent="0.2">
      <c r="B16" s="1471"/>
      <c r="C16" s="323"/>
      <c r="D16" s="323"/>
      <c r="E16" s="323"/>
    </row>
    <row r="17" spans="2:5" ht="13.5" customHeight="1" x14ac:dyDescent="0.2">
      <c r="B17" s="1471" t="s">
        <v>2221</v>
      </c>
      <c r="C17" s="323" t="s">
        <v>2222</v>
      </c>
      <c r="D17" s="323" t="s">
        <v>2225</v>
      </c>
      <c r="E17" s="323"/>
    </row>
    <row r="18" spans="2:5" ht="13.5" customHeight="1" x14ac:dyDescent="0.2">
      <c r="B18" s="1471"/>
      <c r="C18" s="323" t="s">
        <v>2223</v>
      </c>
      <c r="D18" s="323"/>
      <c r="E18" s="323"/>
    </row>
    <row r="19" spans="2:5" ht="13.5" customHeight="1" x14ac:dyDescent="0.2">
      <c r="B19" s="1471"/>
      <c r="C19" s="323" t="s">
        <v>2224</v>
      </c>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2" t="s">
        <v>1313</v>
      </c>
      <c r="C44" s="322"/>
    </row>
    <row r="45" spans="2:5" ht="12.2" customHeight="1" x14ac:dyDescent="0.2">
      <c r="B45" s="1480" t="s">
        <v>1764</v>
      </c>
    </row>
    <row r="46" spans="2:5" ht="12.2" customHeight="1" x14ac:dyDescent="0.2">
      <c r="B46" s="1480" t="s">
        <v>1765</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5"/>
    </row>
    <row r="69" spans="2:2" x14ac:dyDescent="0.2">
      <c r="B69" s="1295"/>
    </row>
    <row r="70" spans="2:2" x14ac:dyDescent="0.2">
      <c r="B70" s="1401"/>
    </row>
    <row r="71" spans="2:2" x14ac:dyDescent="0.2">
      <c r="B71" s="1401"/>
    </row>
    <row r="72" spans="2:2" x14ac:dyDescent="0.2">
      <c r="B72" s="1401"/>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T43" sqref="T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467161492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25">
        <f>ROUND(D10+F10+H10,5)</f>
        <v>2.5399999999999999E-2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18594032</v>
      </c>
      <c r="E16" s="356"/>
      <c r="F16" s="1726">
        <f>SUM('Acct Summary 7-8'!C17,'Acct Summary 7-8'!D17,'Acct Summary 7-8'!F17)</f>
        <v>18301214</v>
      </c>
      <c r="G16" s="356"/>
      <c r="H16" s="1726">
        <f>SUM(D16-F16)</f>
        <v>292818</v>
      </c>
      <c r="I16" s="222"/>
      <c r="J16" s="1726">
        <f>SUM('Acct Summary 7-8'!C81,'Acct Summary 7-8'!D81,'Acct Summary 7-8'!F81,'Acct Summary 7-8'!I81)</f>
        <v>21048059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64468285.896000005</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14202572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43" sqref="T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Clinton CUSD 15</v>
      </c>
      <c r="E7" s="391"/>
      <c r="G7" s="252"/>
      <c r="H7" s="387"/>
      <c r="I7" s="387"/>
      <c r="J7" s="387"/>
      <c r="K7" s="387"/>
      <c r="L7" s="329"/>
      <c r="M7" s="329"/>
      <c r="N7" s="329"/>
      <c r="O7" s="329"/>
      <c r="P7" s="329"/>
    </row>
    <row r="8" spans="1:18" ht="12.75" x14ac:dyDescent="0.2">
      <c r="A8" s="329"/>
      <c r="B8" s="329"/>
      <c r="C8" s="389" t="s">
        <v>1125</v>
      </c>
      <c r="D8" s="392">
        <f>COVER!A13</f>
        <v>17020015026</v>
      </c>
      <c r="E8" s="393"/>
      <c r="G8" s="329"/>
      <c r="H8" s="329"/>
      <c r="I8" s="329"/>
      <c r="J8" s="329"/>
      <c r="K8" s="329"/>
      <c r="L8" s="329"/>
      <c r="M8" s="329"/>
      <c r="N8" s="329"/>
      <c r="O8" s="329"/>
      <c r="P8" s="329"/>
    </row>
    <row r="9" spans="1:18" ht="12.75" x14ac:dyDescent="0.2">
      <c r="A9" s="329"/>
      <c r="B9" s="329"/>
      <c r="C9" s="389" t="s">
        <v>713</v>
      </c>
      <c r="D9" s="394" t="str">
        <f>COVER!A15</f>
        <v>DEWITT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21048059</v>
      </c>
      <c r="I12" s="404"/>
      <c r="J12" s="404"/>
      <c r="K12" s="405">
        <f>TRUNC((H12/H13*100000),5)/100000</f>
        <v>1.1427291779000002</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18419114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-174918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18301214</v>
      </c>
      <c r="I17" s="404"/>
      <c r="J17" s="416"/>
      <c r="K17" s="405">
        <f>TRUNC((H17/H18*100000),5)/100000</f>
        <v>0.99359904060000004</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18419114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-174918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21150529</v>
      </c>
      <c r="I24" s="422"/>
      <c r="J24" s="422"/>
      <c r="K24" s="423">
        <f>TRUNC(((H24/H25*100000)/100000),2)</f>
        <v>416.04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50836.705560000002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10086016.61228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14202572</v>
      </c>
      <c r="I32" s="420"/>
      <c r="J32" s="420"/>
      <c r="K32" s="423">
        <f>TRUNC(100-((((H32/H33*100))*100)/100),2)</f>
        <v>77.959999999999994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64468285.896000005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T43" sqref="T43"/>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556"/>
      <c r="D3" s="1557"/>
      <c r="E3" s="1557"/>
      <c r="F3" s="1557"/>
      <c r="G3" s="1557"/>
      <c r="H3" s="1557"/>
      <c r="I3" s="1557"/>
      <c r="J3" s="1557"/>
      <c r="K3" s="1557"/>
      <c r="L3" s="1557"/>
      <c r="M3" s="1558"/>
      <c r="N3" s="1559"/>
    </row>
    <row r="4" spans="1:14" ht="13.5" customHeight="1" x14ac:dyDescent="0.2">
      <c r="A4" s="463" t="s">
        <v>1651</v>
      </c>
      <c r="B4" s="464"/>
      <c r="C4" s="465">
        <v>451103</v>
      </c>
      <c r="D4" s="466">
        <v>2883522</v>
      </c>
      <c r="E4" s="466">
        <v>22864</v>
      </c>
      <c r="F4" s="466">
        <v>770787</v>
      </c>
      <c r="G4" s="466">
        <v>741538</v>
      </c>
      <c r="H4" s="466">
        <v>908</v>
      </c>
      <c r="I4" s="466">
        <v>330134</v>
      </c>
      <c r="J4" s="467">
        <v>830857</v>
      </c>
      <c r="K4" s="466">
        <v>1209145</v>
      </c>
      <c r="L4" s="466">
        <v>216685</v>
      </c>
      <c r="M4" s="468"/>
      <c r="N4" s="469"/>
    </row>
    <row r="5" spans="1:14" x14ac:dyDescent="0.2">
      <c r="A5" s="463" t="s">
        <v>992</v>
      </c>
      <c r="B5" s="470">
        <v>120</v>
      </c>
      <c r="C5" s="465">
        <v>10920393</v>
      </c>
      <c r="D5" s="466">
        <v>1399802</v>
      </c>
      <c r="E5" s="466">
        <v>0</v>
      </c>
      <c r="F5" s="466">
        <v>2735132</v>
      </c>
      <c r="G5" s="466">
        <v>460937</v>
      </c>
      <c r="H5" s="466">
        <v>0</v>
      </c>
      <c r="I5" s="466">
        <v>1659656</v>
      </c>
      <c r="J5" s="467">
        <v>0</v>
      </c>
      <c r="K5" s="471">
        <v>124794</v>
      </c>
      <c r="L5" s="472">
        <v>60438</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1</v>
      </c>
      <c r="G12" s="466">
        <v>4897</v>
      </c>
      <c r="H12" s="466">
        <v>0</v>
      </c>
      <c r="I12" s="466">
        <v>0</v>
      </c>
      <c r="J12" s="467">
        <v>0</v>
      </c>
      <c r="K12" s="466">
        <v>0</v>
      </c>
      <c r="L12" s="466"/>
      <c r="M12" s="469"/>
      <c r="N12" s="469"/>
    </row>
    <row r="13" spans="1:14" ht="13.5" customHeight="1" thickBot="1" x14ac:dyDescent="0.25">
      <c r="A13" s="1729" t="s">
        <v>644</v>
      </c>
      <c r="B13" s="1702"/>
      <c r="C13" s="1730">
        <f>SUM(C4:C12)</f>
        <v>11371496</v>
      </c>
      <c r="D13" s="1730">
        <f t="shared" ref="D13:L13" si="0">SUM(D4:D12)</f>
        <v>4283324</v>
      </c>
      <c r="E13" s="1730">
        <f t="shared" si="0"/>
        <v>22864</v>
      </c>
      <c r="F13" s="1730">
        <f t="shared" si="0"/>
        <v>3505920</v>
      </c>
      <c r="G13" s="1730">
        <f t="shared" si="0"/>
        <v>1207372</v>
      </c>
      <c r="H13" s="1730">
        <f t="shared" si="0"/>
        <v>908</v>
      </c>
      <c r="I13" s="1730">
        <f t="shared" si="0"/>
        <v>1989790</v>
      </c>
      <c r="J13" s="1730">
        <f t="shared" si="0"/>
        <v>830857</v>
      </c>
      <c r="K13" s="1730">
        <f t="shared" si="0"/>
        <v>1333939</v>
      </c>
      <c r="L13" s="1730">
        <f t="shared" si="0"/>
        <v>277123</v>
      </c>
      <c r="M13" s="468"/>
      <c r="N13" s="469"/>
    </row>
    <row r="14" spans="1:14" ht="18" customHeight="1" thickTop="1" x14ac:dyDescent="0.2">
      <c r="A14" s="2125" t="s">
        <v>147</v>
      </c>
      <c r="B14" s="2126"/>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536629</v>
      </c>
      <c r="N16" s="484"/>
    </row>
    <row r="17" spans="1:14" s="485" customFormat="1" ht="12.75" customHeight="1" x14ac:dyDescent="0.2">
      <c r="A17" s="482" t="s">
        <v>1403</v>
      </c>
      <c r="B17" s="483">
        <v>230</v>
      </c>
      <c r="C17" s="477"/>
      <c r="D17" s="477"/>
      <c r="E17" s="477"/>
      <c r="F17" s="477"/>
      <c r="G17" s="477"/>
      <c r="H17" s="477"/>
      <c r="I17" s="477"/>
      <c r="J17" s="477"/>
      <c r="K17" s="477"/>
      <c r="L17" s="477"/>
      <c r="M17" s="467">
        <v>55553827</v>
      </c>
      <c r="N17" s="484"/>
    </row>
    <row r="18" spans="1:14" s="485" customFormat="1" ht="12.75" customHeight="1" x14ac:dyDescent="0.2">
      <c r="A18" s="482" t="s">
        <v>1404</v>
      </c>
      <c r="B18" s="483">
        <v>240</v>
      </c>
      <c r="C18" s="477"/>
      <c r="D18" s="477"/>
      <c r="E18" s="477"/>
      <c r="F18" s="477"/>
      <c r="G18" s="477"/>
      <c r="H18" s="477"/>
      <c r="I18" s="477"/>
      <c r="J18" s="477"/>
      <c r="K18" s="477"/>
      <c r="L18" s="477"/>
      <c r="M18" s="467">
        <v>3302203</v>
      </c>
      <c r="N18" s="484"/>
    </row>
    <row r="19" spans="1:14" s="485" customFormat="1" ht="12.75" customHeight="1" x14ac:dyDescent="0.2">
      <c r="A19" s="482" t="s">
        <v>1405</v>
      </c>
      <c r="B19" s="483">
        <v>250</v>
      </c>
      <c r="C19" s="477"/>
      <c r="D19" s="477"/>
      <c r="E19" s="477"/>
      <c r="F19" s="477"/>
      <c r="G19" s="477"/>
      <c r="H19" s="477"/>
      <c r="I19" s="477"/>
      <c r="J19" s="477"/>
      <c r="K19" s="477"/>
      <c r="L19" s="477"/>
      <c r="M19" s="467">
        <v>6789567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22864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14179708</v>
      </c>
    </row>
    <row r="23" spans="1:14" ht="13.5" customHeight="1" thickBot="1" x14ac:dyDescent="0.25">
      <c r="A23" s="1729" t="s">
        <v>643</v>
      </c>
      <c r="B23" s="1734"/>
      <c r="C23" s="468"/>
      <c r="D23" s="468"/>
      <c r="E23" s="468"/>
      <c r="F23" s="468"/>
      <c r="G23" s="468"/>
      <c r="H23" s="468"/>
      <c r="I23" s="468"/>
      <c r="J23" s="468"/>
      <c r="K23" s="468"/>
      <c r="L23" s="468"/>
      <c r="M23" s="1681">
        <f>SUM(M15:M22)</f>
        <v>66182226</v>
      </c>
      <c r="N23" s="1681">
        <f>SUM(N21:N22)</f>
        <v>14202572</v>
      </c>
    </row>
    <row r="24" spans="1:14" ht="18" customHeight="1" thickTop="1" x14ac:dyDescent="0.2">
      <c r="A24" s="2127" t="s">
        <v>598</v>
      </c>
      <c r="B24" s="2128"/>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102471</v>
      </c>
      <c r="D31" s="467">
        <v>0</v>
      </c>
      <c r="E31" s="467">
        <v>0</v>
      </c>
      <c r="F31" s="466">
        <v>0</v>
      </c>
      <c r="G31" s="467">
        <v>0</v>
      </c>
      <c r="H31" s="467">
        <v>0</v>
      </c>
      <c r="I31" s="467">
        <v>0</v>
      </c>
      <c r="J31" s="467">
        <v>130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277123</v>
      </c>
      <c r="M33" s="468"/>
      <c r="N33" s="469"/>
    </row>
    <row r="34" spans="1:14" ht="13.5" customHeight="1" thickBot="1" x14ac:dyDescent="0.25">
      <c r="A34" s="1731" t="s">
        <v>654</v>
      </c>
      <c r="B34" s="1732"/>
      <c r="C34" s="1733">
        <f>SUM(C25:C33)</f>
        <v>102471</v>
      </c>
      <c r="D34" s="1733">
        <f t="shared" ref="D34:K34" si="1">SUM(D25:D33)</f>
        <v>0</v>
      </c>
      <c r="E34" s="1733">
        <f t="shared" si="1"/>
        <v>0</v>
      </c>
      <c r="F34" s="1733">
        <f t="shared" si="1"/>
        <v>0</v>
      </c>
      <c r="G34" s="1733">
        <f t="shared" si="1"/>
        <v>0</v>
      </c>
      <c r="H34" s="1733">
        <f t="shared" si="1"/>
        <v>0</v>
      </c>
      <c r="I34" s="1733">
        <f t="shared" si="1"/>
        <v>0</v>
      </c>
      <c r="J34" s="1733">
        <f t="shared" si="1"/>
        <v>130</v>
      </c>
      <c r="K34" s="1733">
        <f t="shared" si="1"/>
        <v>0</v>
      </c>
      <c r="L34" s="1714">
        <f>SUM(L33)</f>
        <v>277123</v>
      </c>
      <c r="M34" s="468"/>
      <c r="N34" s="480"/>
    </row>
    <row r="35" spans="1:14" ht="18" customHeight="1" thickTop="1" x14ac:dyDescent="0.2">
      <c r="A35" s="2129" t="s">
        <v>529</v>
      </c>
      <c r="B35" s="2130"/>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14202572</v>
      </c>
    </row>
    <row r="37" spans="1:14" ht="13.5" thickBot="1" x14ac:dyDescent="0.25">
      <c r="A37" s="1729" t="s">
        <v>653</v>
      </c>
      <c r="B37" s="1734"/>
      <c r="C37" s="477"/>
      <c r="D37" s="477"/>
      <c r="E37" s="477"/>
      <c r="F37" s="477"/>
      <c r="G37" s="477"/>
      <c r="H37" s="477"/>
      <c r="I37" s="477"/>
      <c r="J37" s="477"/>
      <c r="K37" s="477"/>
      <c r="L37" s="480"/>
      <c r="M37" s="468"/>
      <c r="N37" s="1681">
        <f>SUM(N36:N36)</f>
        <v>14202572</v>
      </c>
    </row>
    <row r="38" spans="1:14" s="329" customFormat="1" ht="13.5" customHeight="1" thickTop="1" x14ac:dyDescent="0.2">
      <c r="A38" s="496" t="s">
        <v>420</v>
      </c>
      <c r="B38" s="483">
        <v>714</v>
      </c>
      <c r="C38" s="466"/>
      <c r="D38" s="466"/>
      <c r="E38" s="466"/>
      <c r="F38" s="466"/>
      <c r="G38" s="466"/>
      <c r="H38" s="466">
        <v>908</v>
      </c>
      <c r="I38" s="466"/>
      <c r="J38" s="467"/>
      <c r="K38" s="466"/>
      <c r="L38" s="568"/>
      <c r="M38" s="497"/>
      <c r="N38" s="497"/>
    </row>
    <row r="39" spans="1:14" s="329" customFormat="1" ht="13.5" customHeight="1" x14ac:dyDescent="0.2">
      <c r="A39" s="496" t="s">
        <v>342</v>
      </c>
      <c r="B39" s="483">
        <v>730</v>
      </c>
      <c r="C39" s="466">
        <v>11269025</v>
      </c>
      <c r="D39" s="466">
        <v>4283324</v>
      </c>
      <c r="E39" s="466">
        <v>22864</v>
      </c>
      <c r="F39" s="466">
        <v>3505920</v>
      </c>
      <c r="G39" s="466">
        <v>1207372</v>
      </c>
      <c r="H39" s="466"/>
      <c r="I39" s="466">
        <v>1989790</v>
      </c>
      <c r="J39" s="467">
        <v>830727</v>
      </c>
      <c r="K39" s="466">
        <v>1333939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66182226</v>
      </c>
      <c r="N40" s="497"/>
    </row>
    <row r="41" spans="1:14" ht="13.5" customHeight="1" thickBot="1" x14ac:dyDescent="0.25">
      <c r="A41" s="1729" t="s">
        <v>655</v>
      </c>
      <c r="B41" s="1699"/>
      <c r="C41" s="1681">
        <f>(SUM(C34,C37,C38,C39))</f>
        <v>11371496</v>
      </c>
      <c r="D41" s="1681">
        <f t="shared" ref="D41:L41" si="2">SUM(D34,D37,D38:D39)</f>
        <v>4283324</v>
      </c>
      <c r="E41" s="1681">
        <f t="shared" si="2"/>
        <v>22864</v>
      </c>
      <c r="F41" s="1681">
        <f t="shared" si="2"/>
        <v>3505920</v>
      </c>
      <c r="G41" s="1681">
        <f t="shared" si="2"/>
        <v>1207372</v>
      </c>
      <c r="H41" s="1681">
        <f t="shared" si="2"/>
        <v>908</v>
      </c>
      <c r="I41" s="1681">
        <f t="shared" si="2"/>
        <v>1989790</v>
      </c>
      <c r="J41" s="1681">
        <f t="shared" si="2"/>
        <v>830857</v>
      </c>
      <c r="K41" s="1681">
        <f t="shared" si="2"/>
        <v>1333939</v>
      </c>
      <c r="L41" s="1681">
        <f t="shared" si="2"/>
        <v>277123</v>
      </c>
      <c r="M41" s="1681">
        <f>SUM(M40)</f>
        <v>66182226</v>
      </c>
      <c r="N41" s="1681">
        <f>SUM(N37)</f>
        <v>14202572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
      <selection activeCell="T43" sqref="T43"/>
      <selection pane="bottomLeft" activeCell="T43" sqref="T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70"/>
      <c r="D3" s="1571"/>
      <c r="E3" s="1571"/>
      <c r="F3" s="1571"/>
      <c r="G3" s="1571"/>
      <c r="H3" s="1571"/>
      <c r="I3" s="1571"/>
      <c r="J3" s="1571"/>
      <c r="K3" s="1572"/>
      <c r="L3" s="506"/>
    </row>
    <row r="4" spans="1:13" ht="15.75" customHeight="1" x14ac:dyDescent="0.2">
      <c r="A4" s="1920" t="s">
        <v>1499</v>
      </c>
      <c r="B4" s="1921">
        <v>1000</v>
      </c>
      <c r="C4" s="1735">
        <f>'Revenues 9-14'!C109</f>
        <v>10513877</v>
      </c>
      <c r="D4" s="1735">
        <f>'Revenues 9-14'!D109</f>
        <v>2296460</v>
      </c>
      <c r="E4" s="1735">
        <f>'Revenues 9-14'!E109</f>
        <v>2148444</v>
      </c>
      <c r="F4" s="1735">
        <f>'Revenues 9-14'!F109</f>
        <v>919464</v>
      </c>
      <c r="G4" s="1735">
        <f>'Revenues 9-14'!G109</f>
        <v>670462</v>
      </c>
      <c r="H4" s="1735">
        <f>'Revenues 9-14'!H109</f>
        <v>0</v>
      </c>
      <c r="I4" s="1735">
        <f>'Revenues 9-14'!I109</f>
        <v>236970</v>
      </c>
      <c r="J4" s="1735">
        <f>'Revenues 9-14'!J109</f>
        <v>1224768</v>
      </c>
      <c r="K4" s="1735">
        <f>'Revenues 9-14'!K109</f>
        <v>229953</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2868458</v>
      </c>
      <c r="D6" s="1736">
        <f>'Revenues 9-14'!D170</f>
        <v>0</v>
      </c>
      <c r="E6" s="1736">
        <f>'Revenues 9-14'!E170</f>
        <v>0</v>
      </c>
      <c r="F6" s="1736">
        <f>'Revenues 9-14'!F170</f>
        <v>426902</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1331901</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14714236</v>
      </c>
      <c r="D8" s="1681">
        <f t="shared" ref="D8:K8" si="0">SUM(D4:D7)</f>
        <v>2296460</v>
      </c>
      <c r="E8" s="1681">
        <f t="shared" si="0"/>
        <v>2148444</v>
      </c>
      <c r="F8" s="1681">
        <f t="shared" si="0"/>
        <v>1346366</v>
      </c>
      <c r="G8" s="1681">
        <f t="shared" si="0"/>
        <v>670462</v>
      </c>
      <c r="H8" s="1681">
        <f t="shared" si="0"/>
        <v>0</v>
      </c>
      <c r="I8" s="1681">
        <f t="shared" si="0"/>
        <v>236970</v>
      </c>
      <c r="J8" s="1681">
        <f t="shared" si="0"/>
        <v>1224768</v>
      </c>
      <c r="K8" s="1681">
        <f t="shared" si="0"/>
        <v>229953</v>
      </c>
      <c r="L8" s="347"/>
    </row>
    <row r="9" spans="1:13" ht="15.75" thickTop="1" x14ac:dyDescent="0.2">
      <c r="A9" s="514" t="s">
        <v>1653</v>
      </c>
      <c r="B9" s="515">
        <v>3998</v>
      </c>
      <c r="C9" s="568">
        <v>6177088</v>
      </c>
      <c r="D9" s="516"/>
      <c r="E9" s="481"/>
      <c r="F9" s="481"/>
      <c r="G9" s="517"/>
      <c r="H9" s="481"/>
      <c r="I9" s="509" t="s">
        <v>1169</v>
      </c>
      <c r="J9" s="478"/>
      <c r="K9" s="481"/>
      <c r="L9" s="347"/>
    </row>
    <row r="10" spans="1:13" s="519" customFormat="1" ht="13.5" thickBot="1" x14ac:dyDescent="0.25">
      <c r="A10" s="1729" t="s">
        <v>1173</v>
      </c>
      <c r="B10" s="1702"/>
      <c r="C10" s="1681">
        <f>SUM(C8:C9)</f>
        <v>20891324</v>
      </c>
      <c r="D10" s="1681">
        <f t="shared" ref="D10:K10" si="1">SUM(D8:D9)</f>
        <v>2296460</v>
      </c>
      <c r="E10" s="1681">
        <f t="shared" si="1"/>
        <v>2148444</v>
      </c>
      <c r="F10" s="1681">
        <f t="shared" si="1"/>
        <v>1346366</v>
      </c>
      <c r="G10" s="1681">
        <f t="shared" si="1"/>
        <v>670462</v>
      </c>
      <c r="H10" s="1681">
        <f t="shared" si="1"/>
        <v>0</v>
      </c>
      <c r="I10" s="1681">
        <f t="shared" si="1"/>
        <v>236970</v>
      </c>
      <c r="J10" s="1681">
        <f t="shared" si="1"/>
        <v>1224768</v>
      </c>
      <c r="K10" s="1681">
        <f t="shared" si="1"/>
        <v>229953</v>
      </c>
      <c r="L10" s="518"/>
    </row>
    <row r="11" spans="1:13" s="519" customFormat="1" ht="16.7" customHeight="1" thickTop="1" x14ac:dyDescent="0.2">
      <c r="A11" s="2125" t="s">
        <v>1176</v>
      </c>
      <c r="B11" s="2126"/>
      <c r="C11" s="1567"/>
      <c r="D11" s="1568"/>
      <c r="E11" s="1568"/>
      <c r="F11" s="1568"/>
      <c r="G11" s="1568"/>
      <c r="H11" s="1568"/>
      <c r="I11" s="1568"/>
      <c r="J11" s="1568"/>
      <c r="K11" s="1569"/>
      <c r="L11" s="518"/>
    </row>
    <row r="12" spans="1:13" ht="15.75" customHeight="1" x14ac:dyDescent="0.2">
      <c r="A12" s="1573" t="s">
        <v>456</v>
      </c>
      <c r="B12" s="1575">
        <v>1000</v>
      </c>
      <c r="C12" s="1735">
        <f>'Expenditures 15-22'!K33</f>
        <v>11710957</v>
      </c>
      <c r="D12" s="520" t="s">
        <v>1169</v>
      </c>
      <c r="E12" s="468" t="s">
        <v>1169</v>
      </c>
      <c r="F12" s="468" t="s">
        <v>1169</v>
      </c>
      <c r="G12" s="1735">
        <f>'Expenditures 15-22'!K229</f>
        <v>242973</v>
      </c>
      <c r="H12" s="521"/>
      <c r="I12" s="468" t="s">
        <v>1169</v>
      </c>
      <c r="J12" s="468" t="s">
        <v>1169</v>
      </c>
      <c r="K12" s="521" t="s">
        <v>1169</v>
      </c>
      <c r="L12" s="347"/>
    </row>
    <row r="13" spans="1:13" ht="15.75" customHeight="1" x14ac:dyDescent="0.2">
      <c r="A13" s="1573" t="s">
        <v>457</v>
      </c>
      <c r="B13" s="1575">
        <v>2000</v>
      </c>
      <c r="C13" s="1736">
        <f>'Expenditures 15-22'!K74</f>
        <v>3316148</v>
      </c>
      <c r="D13" s="1736">
        <f>'Expenditures 15-22'!K129</f>
        <v>1712309</v>
      </c>
      <c r="E13" s="469" t="s">
        <v>1169</v>
      </c>
      <c r="F13" s="1736">
        <f>'Expenditures 15-22'!K184</f>
        <v>931369</v>
      </c>
      <c r="G13" s="1736">
        <f>'Expenditures 15-22'!K279</f>
        <v>338295</v>
      </c>
      <c r="H13" s="1736">
        <f>'Expenditures 15-22'!K303</f>
        <v>0</v>
      </c>
      <c r="I13" s="468" t="s">
        <v>1169</v>
      </c>
      <c r="J13" s="1736">
        <f>'Expenditures 15-22'!K330</f>
        <v>761754</v>
      </c>
      <c r="K13" s="1740">
        <f>'Expenditures 15-22'!K352</f>
        <v>10967</v>
      </c>
      <c r="L13" s="347"/>
    </row>
    <row r="14" spans="1:13" ht="15.75" customHeight="1" x14ac:dyDescent="0.2">
      <c r="A14" s="1573" t="s">
        <v>449</v>
      </c>
      <c r="B14" s="1575">
        <v>3000</v>
      </c>
      <c r="C14" s="1736">
        <f>'Expenditures 15-22'!K75</f>
        <v>3099</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3" t="s">
        <v>107</v>
      </c>
      <c r="B15" s="1575">
        <v>4000</v>
      </c>
      <c r="C15" s="1736">
        <f>'Expenditures 15-22'!K102</f>
        <v>617744</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2325802</v>
      </c>
      <c r="F16" s="1736">
        <f>'Expenditures 15-22'!K208</f>
        <v>9588</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15647948</v>
      </c>
      <c r="D17" s="1681">
        <f t="shared" si="2"/>
        <v>1712309</v>
      </c>
      <c r="E17" s="1681">
        <f t="shared" si="2"/>
        <v>2325802</v>
      </c>
      <c r="F17" s="1681">
        <f t="shared" si="2"/>
        <v>940957</v>
      </c>
      <c r="G17" s="1681">
        <f t="shared" si="2"/>
        <v>581268</v>
      </c>
      <c r="H17" s="1681">
        <f t="shared" si="2"/>
        <v>0</v>
      </c>
      <c r="I17" s="468"/>
      <c r="J17" s="1681">
        <f>SUM(J12:J16)</f>
        <v>761754</v>
      </c>
      <c r="K17" s="1681">
        <f>SUM(K12:K16)</f>
        <v>10967</v>
      </c>
      <c r="L17" s="347"/>
    </row>
    <row r="18" spans="1:12" ht="15" customHeight="1" thickTop="1" x14ac:dyDescent="0.2">
      <c r="A18" s="1737" t="s">
        <v>1654</v>
      </c>
      <c r="B18" s="1738">
        <v>4180</v>
      </c>
      <c r="C18" s="1735">
        <f t="shared" ref="C18:H18" si="3">C9</f>
        <v>6177088</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21825036</v>
      </c>
      <c r="D19" s="1681">
        <f t="shared" si="4"/>
        <v>1712309</v>
      </c>
      <c r="E19" s="1681">
        <f t="shared" si="4"/>
        <v>2325802</v>
      </c>
      <c r="F19" s="1681">
        <f t="shared" si="4"/>
        <v>940957</v>
      </c>
      <c r="G19" s="1681">
        <f t="shared" si="4"/>
        <v>581268</v>
      </c>
      <c r="H19" s="1681">
        <f t="shared" si="4"/>
        <v>0</v>
      </c>
      <c r="I19" s="468"/>
      <c r="J19" s="1681">
        <f>SUM(J17:J18)</f>
        <v>761754</v>
      </c>
      <c r="K19" s="1681">
        <f>SUM(K17:K18)</f>
        <v>10967</v>
      </c>
      <c r="L19" s="347"/>
    </row>
    <row r="20" spans="1:12" ht="16.5" thickTop="1" thickBot="1" x14ac:dyDescent="0.25">
      <c r="A20" s="2141" t="s">
        <v>1655</v>
      </c>
      <c r="B20" s="2142"/>
      <c r="C20" s="1739">
        <f>C8-C17</f>
        <v>-933712</v>
      </c>
      <c r="D20" s="1739">
        <f t="shared" ref="D20:K20" si="5">D8-D17</f>
        <v>584151</v>
      </c>
      <c r="E20" s="1739">
        <f t="shared" si="5"/>
        <v>-177358</v>
      </c>
      <c r="F20" s="1739">
        <f t="shared" si="5"/>
        <v>405409</v>
      </c>
      <c r="G20" s="1739">
        <f t="shared" si="5"/>
        <v>89194</v>
      </c>
      <c r="H20" s="1739">
        <f t="shared" si="5"/>
        <v>0</v>
      </c>
      <c r="I20" s="1739">
        <f t="shared" si="5"/>
        <v>236970</v>
      </c>
      <c r="J20" s="1739">
        <f t="shared" si="5"/>
        <v>463014</v>
      </c>
      <c r="K20" s="1739">
        <f t="shared" si="5"/>
        <v>218986</v>
      </c>
      <c r="L20" s="347"/>
    </row>
    <row r="21" spans="1:12" ht="16.7" customHeight="1" thickTop="1" x14ac:dyDescent="0.2">
      <c r="A21" s="2153" t="s">
        <v>595</v>
      </c>
      <c r="B21" s="2154"/>
      <c r="C21" s="1567"/>
      <c r="D21" s="1568"/>
      <c r="E21" s="1568"/>
      <c r="F21" s="1568"/>
      <c r="G21" s="1568"/>
      <c r="H21" s="1568"/>
      <c r="I21" s="1568"/>
      <c r="J21" s="1568"/>
      <c r="K21" s="1569"/>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1105000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1789</v>
      </c>
      <c r="B30" s="527">
        <v>7160</v>
      </c>
      <c r="C30" s="477"/>
      <c r="D30" s="467">
        <v>0</v>
      </c>
      <c r="E30" s="477"/>
      <c r="F30" s="477"/>
      <c r="G30" s="477"/>
      <c r="H30" s="477"/>
      <c r="I30" s="477"/>
      <c r="J30" s="477"/>
      <c r="K30" s="477"/>
      <c r="L30" s="524"/>
    </row>
    <row r="31" spans="1:12" s="485" customFormat="1" ht="26.25" x14ac:dyDescent="0.2">
      <c r="A31" s="1486" t="s">
        <v>1793</v>
      </c>
      <c r="B31" s="527">
        <v>7170</v>
      </c>
      <c r="C31" s="477"/>
      <c r="D31" s="477"/>
      <c r="E31" s="474">
        <v>0</v>
      </c>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20</v>
      </c>
      <c r="D36" s="467">
        <v>0</v>
      </c>
      <c r="E36" s="467">
        <v>0</v>
      </c>
      <c r="F36" s="467">
        <v>500</v>
      </c>
      <c r="G36" s="467">
        <v>0</v>
      </c>
      <c r="H36" s="467">
        <v>0</v>
      </c>
      <c r="I36" s="475"/>
      <c r="J36" s="467">
        <v>0</v>
      </c>
      <c r="K36" s="467">
        <v>0</v>
      </c>
      <c r="L36" s="524"/>
    </row>
    <row r="37" spans="1:12" s="485" customFormat="1" x14ac:dyDescent="0.2">
      <c r="A37" s="1486" t="s">
        <v>441</v>
      </c>
      <c r="B37" s="525">
        <v>7400</v>
      </c>
      <c r="C37" s="475"/>
      <c r="D37" s="475"/>
      <c r="E37" s="1736">
        <f>SUM(C54:D57,H54:H57)</f>
        <v>169644</v>
      </c>
      <c r="F37" s="475"/>
      <c r="G37" s="475"/>
      <c r="H37" s="475"/>
      <c r="I37" s="477"/>
      <c r="J37" s="475"/>
      <c r="K37" s="475"/>
      <c r="L37" s="524"/>
    </row>
    <row r="38" spans="1:12" s="485" customFormat="1" x14ac:dyDescent="0.2">
      <c r="A38" s="1486" t="s">
        <v>442</v>
      </c>
      <c r="B38" s="525">
        <v>7500</v>
      </c>
      <c r="C38" s="477"/>
      <c r="D38" s="477"/>
      <c r="E38" s="1736">
        <f>SUM(C58:D61,H58:H61)</f>
        <v>5274</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5" t="s">
        <v>374</v>
      </c>
      <c r="B44" s="2156"/>
      <c r="C44" s="1696">
        <f>SUM(C24:C43)</f>
        <v>1105020</v>
      </c>
      <c r="D44" s="1696">
        <f t="shared" ref="D44:K44" si="6">SUM(D24:D43)</f>
        <v>0</v>
      </c>
      <c r="E44" s="1696">
        <f t="shared" si="6"/>
        <v>174918</v>
      </c>
      <c r="F44" s="1696">
        <f t="shared" si="6"/>
        <v>500</v>
      </c>
      <c r="G44" s="1696">
        <f t="shared" si="6"/>
        <v>0</v>
      </c>
      <c r="H44" s="1696">
        <f t="shared" si="6"/>
        <v>0</v>
      </c>
      <c r="I44" s="1696">
        <f t="shared" si="6"/>
        <v>0</v>
      </c>
      <c r="J44" s="1696">
        <f t="shared" si="6"/>
        <v>0</v>
      </c>
      <c r="K44" s="1696">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1105000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1792</v>
      </c>
      <c r="B52" s="483">
        <v>8160</v>
      </c>
      <c r="C52" s="477"/>
      <c r="D52" s="477"/>
      <c r="E52" s="477"/>
      <c r="F52" s="477"/>
      <c r="G52" s="477"/>
      <c r="H52" s="477"/>
      <c r="I52" s="477"/>
      <c r="J52" s="477"/>
      <c r="K52" s="1736">
        <f>D30</f>
        <v>0</v>
      </c>
      <c r="L52" s="524"/>
    </row>
    <row r="53" spans="1:12" s="485" customFormat="1" ht="26.25" x14ac:dyDescent="0.2">
      <c r="A53" s="1487" t="s">
        <v>1791</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169644</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5274</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1" t="s">
        <v>440</v>
      </c>
      <c r="B76" s="2132"/>
      <c r="C76" s="1696">
        <f t="shared" ref="C76:K76" si="7">SUM(C47:C75)</f>
        <v>174918</v>
      </c>
      <c r="D76" s="1696">
        <f t="shared" si="7"/>
        <v>0</v>
      </c>
      <c r="E76" s="1696">
        <f t="shared" si="7"/>
        <v>0</v>
      </c>
      <c r="F76" s="1696">
        <f t="shared" si="7"/>
        <v>0</v>
      </c>
      <c r="G76" s="1696">
        <f t="shared" si="7"/>
        <v>0</v>
      </c>
      <c r="H76" s="1696">
        <f t="shared" si="7"/>
        <v>0</v>
      </c>
      <c r="I76" s="1696">
        <f t="shared" si="7"/>
        <v>1105000</v>
      </c>
      <c r="J76" s="1696">
        <f t="shared" si="7"/>
        <v>0</v>
      </c>
      <c r="K76" s="1696">
        <f t="shared" si="7"/>
        <v>0</v>
      </c>
      <c r="L76" s="524"/>
    </row>
    <row r="77" spans="1:12" ht="14.25" thickTop="1" thickBot="1" x14ac:dyDescent="0.25">
      <c r="A77" s="2133" t="s">
        <v>1177</v>
      </c>
      <c r="B77" s="2134"/>
      <c r="C77" s="1696">
        <f t="shared" ref="C77:K77" si="8">C44-C76</f>
        <v>930102</v>
      </c>
      <c r="D77" s="1696">
        <f t="shared" si="8"/>
        <v>0</v>
      </c>
      <c r="E77" s="1696">
        <f t="shared" si="8"/>
        <v>174918</v>
      </c>
      <c r="F77" s="1696">
        <f t="shared" si="8"/>
        <v>500</v>
      </c>
      <c r="G77" s="1696">
        <f t="shared" si="8"/>
        <v>0</v>
      </c>
      <c r="H77" s="1696">
        <f t="shared" si="8"/>
        <v>0</v>
      </c>
      <c r="I77" s="1696">
        <f t="shared" si="8"/>
        <v>-1105000</v>
      </c>
      <c r="J77" s="1696">
        <f t="shared" si="8"/>
        <v>0</v>
      </c>
      <c r="K77" s="1696">
        <f t="shared" si="8"/>
        <v>0</v>
      </c>
      <c r="L77" s="347"/>
    </row>
    <row r="78" spans="1:12" ht="21.75" customHeight="1" thickTop="1" thickBot="1" x14ac:dyDescent="0.25">
      <c r="A78" s="2137" t="s">
        <v>597</v>
      </c>
      <c r="B78" s="2138"/>
      <c r="C78" s="1695">
        <f t="shared" ref="C78:K78" si="9">C20+C77</f>
        <v>-3610</v>
      </c>
      <c r="D78" s="1695">
        <f t="shared" si="9"/>
        <v>584151</v>
      </c>
      <c r="E78" s="1695">
        <f t="shared" si="9"/>
        <v>-2440</v>
      </c>
      <c r="F78" s="1695">
        <f t="shared" si="9"/>
        <v>405909</v>
      </c>
      <c r="G78" s="1695">
        <f t="shared" si="9"/>
        <v>89194</v>
      </c>
      <c r="H78" s="1695">
        <f t="shared" si="9"/>
        <v>0</v>
      </c>
      <c r="I78" s="1695">
        <f t="shared" si="9"/>
        <v>-868030</v>
      </c>
      <c r="J78" s="1695">
        <f t="shared" si="9"/>
        <v>463014</v>
      </c>
      <c r="K78" s="1695">
        <f t="shared" si="9"/>
        <v>218986</v>
      </c>
      <c r="L78" s="533"/>
    </row>
    <row r="79" spans="1:12" ht="13.5" thickTop="1" x14ac:dyDescent="0.2">
      <c r="A79" s="1491" t="s">
        <v>1942</v>
      </c>
      <c r="B79" s="534"/>
      <c r="C79" s="639">
        <v>11272635</v>
      </c>
      <c r="D79" s="535">
        <v>3699173</v>
      </c>
      <c r="E79" s="535">
        <v>25304</v>
      </c>
      <c r="F79" s="535">
        <v>3100011</v>
      </c>
      <c r="G79" s="535">
        <v>1118178</v>
      </c>
      <c r="H79" s="535">
        <v>908</v>
      </c>
      <c r="I79" s="535">
        <v>2857820</v>
      </c>
      <c r="J79" s="535">
        <v>367713</v>
      </c>
      <c r="K79" s="535">
        <v>1114953</v>
      </c>
      <c r="L79" s="347"/>
    </row>
    <row r="80" spans="1:12" x14ac:dyDescent="0.2">
      <c r="A80" s="2143" t="s">
        <v>1790</v>
      </c>
      <c r="B80" s="2144"/>
      <c r="C80" s="467"/>
      <c r="D80" s="467"/>
      <c r="E80" s="467"/>
      <c r="F80" s="467"/>
      <c r="G80" s="467"/>
      <c r="H80" s="467"/>
      <c r="I80" s="467"/>
      <c r="J80" s="467"/>
      <c r="K80" s="467"/>
      <c r="L80" s="347"/>
    </row>
    <row r="81" spans="1:12" ht="13.5" thickBot="1" x14ac:dyDescent="0.25">
      <c r="A81" s="2135" t="s">
        <v>1943</v>
      </c>
      <c r="B81" s="2136"/>
      <c r="C81" s="1681">
        <f>(SUM(C78:C80))</f>
        <v>11269025</v>
      </c>
      <c r="D81" s="1681">
        <f>SUM(D78:D80)</f>
        <v>4283324</v>
      </c>
      <c r="E81" s="1681">
        <f t="shared" ref="E81:K81" si="10">SUM(E78:E80)</f>
        <v>22864</v>
      </c>
      <c r="F81" s="1681">
        <f t="shared" si="10"/>
        <v>3505920</v>
      </c>
      <c r="G81" s="1681">
        <f t="shared" si="10"/>
        <v>1207372</v>
      </c>
      <c r="H81" s="1681">
        <f t="shared" si="10"/>
        <v>908</v>
      </c>
      <c r="I81" s="1681">
        <f t="shared" si="10"/>
        <v>1989790</v>
      </c>
      <c r="J81" s="1681">
        <f t="shared" si="10"/>
        <v>830727</v>
      </c>
      <c r="K81" s="1681">
        <f t="shared" si="10"/>
        <v>1333939</v>
      </c>
      <c r="L81" s="347"/>
    </row>
    <row r="82" spans="1:12" ht="0.75" customHeight="1" thickTop="1" thickBot="1" x14ac:dyDescent="0.25">
      <c r="A82" s="536" t="s">
        <v>343</v>
      </c>
      <c r="B82" s="537"/>
      <c r="C82" s="538">
        <f>(C81-C79)</f>
        <v>-3610</v>
      </c>
      <c r="D82" s="538">
        <f t="shared" ref="D82:K82" si="11">(D81-D79)</f>
        <v>584151</v>
      </c>
      <c r="E82" s="538">
        <f t="shared" si="11"/>
        <v>-2440</v>
      </c>
      <c r="F82" s="538">
        <f t="shared" si="11"/>
        <v>405909</v>
      </c>
      <c r="G82" s="538">
        <f t="shared" si="11"/>
        <v>89194</v>
      </c>
      <c r="H82" s="538">
        <f t="shared" si="11"/>
        <v>0</v>
      </c>
      <c r="I82" s="538">
        <f t="shared" si="11"/>
        <v>-868030</v>
      </c>
      <c r="J82" s="538">
        <f t="shared" si="11"/>
        <v>463014</v>
      </c>
      <c r="K82" s="538">
        <f t="shared" si="11"/>
        <v>218986</v>
      </c>
    </row>
    <row r="83" spans="1:12" ht="14.25" hidden="1" thickTop="1" thickBot="1" x14ac:dyDescent="0.25">
      <c r="A83" s="539" t="s">
        <v>344</v>
      </c>
      <c r="B83" s="464"/>
      <c r="C83" s="540">
        <f>C82/C81</f>
        <v>-3.2034714627041826E-4</v>
      </c>
      <c r="D83" s="540">
        <f t="shared" ref="D83:K83" si="12">D82/D81</f>
        <v>0.13637796253563822</v>
      </c>
      <c r="E83" s="540">
        <f t="shared" si="12"/>
        <v>-0.10671798460461862</v>
      </c>
      <c r="F83" s="540">
        <f t="shared" si="12"/>
        <v>0.11577816949616648</v>
      </c>
      <c r="G83" s="540">
        <f t="shared" si="12"/>
        <v>7.3874497669318154E-2</v>
      </c>
      <c r="H83" s="540">
        <f t="shared" si="12"/>
        <v>0</v>
      </c>
      <c r="I83" s="540">
        <f t="shared" si="12"/>
        <v>-0.43624201548907171</v>
      </c>
      <c r="J83" s="540">
        <f t="shared" si="12"/>
        <v>0.55735999913328926</v>
      </c>
      <c r="K83" s="540">
        <f t="shared" si="12"/>
        <v>0.16416492808141903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243" activePane="bottomLeft" state="frozen"/>
      <selection activeCell="T43" sqref="T43"/>
      <selection pane="bottomLeft" activeCell="C263" sqref="C26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1797</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8374601</v>
      </c>
      <c r="D5" s="568">
        <v>2275722</v>
      </c>
      <c r="E5" s="466">
        <v>2148165</v>
      </c>
      <c r="F5" s="548">
        <v>910260</v>
      </c>
      <c r="G5" s="466">
        <v>309804</v>
      </c>
      <c r="H5" s="466">
        <v>0</v>
      </c>
      <c r="I5" s="466">
        <v>227600</v>
      </c>
      <c r="J5" s="467">
        <v>1224276</v>
      </c>
      <c r="K5" s="466">
        <v>227600</v>
      </c>
    </row>
    <row r="6" spans="1:12" ht="15" x14ac:dyDescent="0.2">
      <c r="A6" s="463" t="s">
        <v>1662</v>
      </c>
      <c r="B6" s="470">
        <v>1130</v>
      </c>
      <c r="C6" s="466">
        <v>227600</v>
      </c>
      <c r="D6" s="466">
        <v>0</v>
      </c>
      <c r="E6" s="475"/>
      <c r="F6" s="475"/>
      <c r="G6" s="468"/>
      <c r="H6" s="468"/>
      <c r="I6" s="468"/>
      <c r="J6" s="468"/>
      <c r="K6" s="468"/>
    </row>
    <row r="7" spans="1:12" x14ac:dyDescent="0.2">
      <c r="A7" s="463" t="s">
        <v>110</v>
      </c>
      <c r="B7" s="549">
        <v>1140</v>
      </c>
      <c r="C7" s="466">
        <v>182037</v>
      </c>
      <c r="D7" s="466">
        <v>0</v>
      </c>
      <c r="E7" s="468"/>
      <c r="F7" s="467">
        <v>0</v>
      </c>
      <c r="G7" s="467">
        <v>0</v>
      </c>
      <c r="H7" s="467">
        <v>0</v>
      </c>
      <c r="I7" s="468"/>
      <c r="J7" s="468"/>
      <c r="K7" s="468"/>
    </row>
    <row r="8" spans="1:12" x14ac:dyDescent="0.2">
      <c r="A8" s="463" t="s">
        <v>413</v>
      </c>
      <c r="B8" s="470">
        <v>1150</v>
      </c>
      <c r="C8" s="475"/>
      <c r="D8" s="475"/>
      <c r="E8" s="477"/>
      <c r="F8" s="477"/>
      <c r="G8" s="568">
        <v>309804</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8784238</v>
      </c>
      <c r="D12" s="1700">
        <f t="shared" si="0"/>
        <v>2275722</v>
      </c>
      <c r="E12" s="1700">
        <f t="shared" si="0"/>
        <v>2148165</v>
      </c>
      <c r="F12" s="1700">
        <f t="shared" si="0"/>
        <v>910260</v>
      </c>
      <c r="G12" s="1700">
        <f t="shared" si="0"/>
        <v>619608</v>
      </c>
      <c r="H12" s="1700">
        <f t="shared" si="0"/>
        <v>0</v>
      </c>
      <c r="I12" s="1700">
        <f t="shared" si="0"/>
        <v>227600</v>
      </c>
      <c r="J12" s="1700">
        <f t="shared" si="0"/>
        <v>1224276</v>
      </c>
      <c r="K12" s="1681">
        <f t="shared" si="0"/>
        <v>227600</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1036562</v>
      </c>
      <c r="D16" s="466">
        <v>0</v>
      </c>
      <c r="E16" s="466">
        <v>0</v>
      </c>
      <c r="F16" s="466">
        <v>0</v>
      </c>
      <c r="G16" s="466">
        <v>50000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1036562</v>
      </c>
      <c r="D18" s="1703">
        <f t="shared" ref="D18:K18" si="1">SUM(D14:D17)</f>
        <v>0</v>
      </c>
      <c r="E18" s="1703">
        <f t="shared" si="1"/>
        <v>0</v>
      </c>
      <c r="F18" s="1703">
        <f t="shared" si="1"/>
        <v>0</v>
      </c>
      <c r="G18" s="1703">
        <f t="shared" si="1"/>
        <v>50000</v>
      </c>
      <c r="H18" s="1703">
        <f t="shared" si="1"/>
        <v>0</v>
      </c>
      <c r="I18" s="1703">
        <f t="shared" si="1"/>
        <v>0</v>
      </c>
      <c r="J18" s="1703">
        <f t="shared" si="1"/>
        <v>0</v>
      </c>
      <c r="K18" s="1704">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15009</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15009</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54086</v>
      </c>
      <c r="D65" s="466">
        <v>3735</v>
      </c>
      <c r="E65" s="466">
        <v>267</v>
      </c>
      <c r="F65" s="467">
        <v>8704</v>
      </c>
      <c r="G65" s="466">
        <v>854</v>
      </c>
      <c r="H65" s="466">
        <v>0</v>
      </c>
      <c r="I65" s="466">
        <v>9370</v>
      </c>
      <c r="J65" s="467">
        <v>492</v>
      </c>
      <c r="K65" s="466">
        <v>2353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54086</v>
      </c>
      <c r="D67" s="1681">
        <f t="shared" ref="D67:K67" si="2">SUM(D65:D66)</f>
        <v>3735</v>
      </c>
      <c r="E67" s="1681">
        <f t="shared" si="2"/>
        <v>267</v>
      </c>
      <c r="F67" s="1681">
        <f t="shared" si="2"/>
        <v>8704</v>
      </c>
      <c r="G67" s="1681">
        <f t="shared" si="2"/>
        <v>854</v>
      </c>
      <c r="H67" s="1681">
        <f t="shared" si="2"/>
        <v>0</v>
      </c>
      <c r="I67" s="1681">
        <f t="shared" si="2"/>
        <v>9370</v>
      </c>
      <c r="J67" s="1681">
        <f t="shared" si="2"/>
        <v>492</v>
      </c>
      <c r="K67" s="1681">
        <f t="shared" si="2"/>
        <v>2353</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172727</v>
      </c>
      <c r="D69" s="468"/>
      <c r="E69" s="468"/>
      <c r="F69" s="468"/>
      <c r="G69" s="468"/>
      <c r="H69" s="468"/>
      <c r="I69" s="468"/>
      <c r="J69" s="468"/>
      <c r="K69" s="468"/>
    </row>
    <row r="70" spans="1:11" ht="12.75" customHeight="1" x14ac:dyDescent="0.2">
      <c r="A70" s="463" t="s">
        <v>997</v>
      </c>
      <c r="B70" s="470">
        <v>1612</v>
      </c>
      <c r="C70" s="551">
        <v>33047</v>
      </c>
      <c r="D70" s="468"/>
      <c r="E70" s="468"/>
      <c r="F70" s="468"/>
      <c r="G70" s="468"/>
      <c r="H70" s="468"/>
      <c r="I70" s="468"/>
      <c r="J70" s="468"/>
      <c r="K70" s="468"/>
    </row>
    <row r="71" spans="1:11" ht="12.75" customHeight="1" x14ac:dyDescent="0.2">
      <c r="A71" s="463" t="s">
        <v>273</v>
      </c>
      <c r="B71" s="470">
        <v>1613</v>
      </c>
      <c r="C71" s="551">
        <v>132940</v>
      </c>
      <c r="D71" s="468"/>
      <c r="E71" s="468"/>
      <c r="F71" s="468"/>
      <c r="G71" s="468"/>
      <c r="H71" s="468"/>
      <c r="I71" s="468"/>
      <c r="J71" s="468"/>
      <c r="K71" s="468"/>
    </row>
    <row r="72" spans="1:11" ht="12.75" customHeight="1" x14ac:dyDescent="0.2">
      <c r="A72" s="463" t="s">
        <v>24</v>
      </c>
      <c r="B72" s="470">
        <v>1614</v>
      </c>
      <c r="C72" s="551">
        <v>6533</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345247</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23082</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62786</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85868</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64342</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64342</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17003</v>
      </c>
      <c r="E95" s="521"/>
      <c r="F95" s="521"/>
      <c r="G95" s="521"/>
      <c r="H95" s="521"/>
      <c r="I95" s="521"/>
      <c r="J95" s="521"/>
      <c r="K95" s="521"/>
    </row>
    <row r="96" spans="1:11" ht="12.75" customHeight="1" x14ac:dyDescent="0.2">
      <c r="A96" s="463" t="s">
        <v>391</v>
      </c>
      <c r="B96" s="470">
        <v>1920</v>
      </c>
      <c r="C96" s="551">
        <v>11190</v>
      </c>
      <c r="D96" s="551">
        <v>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75000</v>
      </c>
      <c r="D98" s="466">
        <v>0</v>
      </c>
      <c r="E98" s="512"/>
      <c r="F98" s="466">
        <v>0</v>
      </c>
      <c r="G98" s="512"/>
      <c r="H98" s="512"/>
      <c r="I98" s="510"/>
      <c r="J98" s="512"/>
      <c r="K98" s="512"/>
    </row>
    <row r="99" spans="1:12" ht="12.75" customHeight="1" x14ac:dyDescent="0.2">
      <c r="A99" s="463" t="s">
        <v>821</v>
      </c>
      <c r="B99" s="470">
        <v>1950</v>
      </c>
      <c r="C99" s="489">
        <v>11438</v>
      </c>
      <c r="D99" s="466">
        <v>0</v>
      </c>
      <c r="E99" s="466">
        <v>12</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12715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0</v>
      </c>
      <c r="F103" s="468"/>
      <c r="G103" s="468"/>
      <c r="H103" s="489">
        <v>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17634</v>
      </c>
      <c r="D106" s="489">
        <v>0</v>
      </c>
      <c r="E106" s="467">
        <v>0</v>
      </c>
      <c r="F106" s="467">
        <v>0</v>
      </c>
      <c r="G106" s="467">
        <v>0</v>
      </c>
      <c r="H106" s="467">
        <v>0</v>
      </c>
      <c r="I106" s="521"/>
      <c r="J106" s="467">
        <v>0</v>
      </c>
      <c r="K106" s="467">
        <v>0</v>
      </c>
    </row>
    <row r="107" spans="1:12" ht="12.75" customHeight="1" x14ac:dyDescent="0.2">
      <c r="A107" s="463" t="s">
        <v>78</v>
      </c>
      <c r="B107" s="470">
        <v>1999</v>
      </c>
      <c r="C107" s="551">
        <v>548</v>
      </c>
      <c r="D107" s="466">
        <v>0</v>
      </c>
      <c r="E107" s="466">
        <v>0</v>
      </c>
      <c r="F107" s="466">
        <v>500</v>
      </c>
      <c r="G107" s="466">
        <v>0</v>
      </c>
      <c r="H107" s="466">
        <v>0</v>
      </c>
      <c r="I107" s="466">
        <v>0</v>
      </c>
      <c r="J107" s="467">
        <v>0</v>
      </c>
      <c r="K107" s="466">
        <v>0</v>
      </c>
    </row>
    <row r="108" spans="1:12" ht="12.75" customHeight="1" thickBot="1" x14ac:dyDescent="0.25">
      <c r="A108" s="1701" t="s">
        <v>487</v>
      </c>
      <c r="B108" s="1705"/>
      <c r="C108" s="1700">
        <f>SUM(C95:C107)</f>
        <v>128525</v>
      </c>
      <c r="D108" s="1700">
        <f t="shared" ref="D108:K108" si="3">SUM(D95:D107)</f>
        <v>17003</v>
      </c>
      <c r="E108" s="1700">
        <f t="shared" si="3"/>
        <v>12</v>
      </c>
      <c r="F108" s="1700">
        <f t="shared" si="3"/>
        <v>500</v>
      </c>
      <c r="G108" s="1700">
        <f t="shared" si="3"/>
        <v>0</v>
      </c>
      <c r="H108" s="1700">
        <f t="shared" si="3"/>
        <v>0</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10513877</v>
      </c>
      <c r="D109" s="1708">
        <f t="shared" si="4"/>
        <v>2296460</v>
      </c>
      <c r="E109" s="1708">
        <f t="shared" si="4"/>
        <v>2148444</v>
      </c>
      <c r="F109" s="1708">
        <f t="shared" si="4"/>
        <v>919464</v>
      </c>
      <c r="G109" s="1708">
        <f t="shared" si="4"/>
        <v>670462</v>
      </c>
      <c r="H109" s="1708">
        <f t="shared" si="4"/>
        <v>0</v>
      </c>
      <c r="I109" s="1708">
        <f t="shared" si="4"/>
        <v>236970</v>
      </c>
      <c r="J109" s="1708">
        <f t="shared" si="4"/>
        <v>1224768</v>
      </c>
      <c r="K109" s="1695">
        <f t="shared" si="4"/>
        <v>229953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2148340</v>
      </c>
      <c r="D117" s="568">
        <v>0</v>
      </c>
      <c r="E117" s="466">
        <v>0</v>
      </c>
      <c r="F117" s="568">
        <v>0</v>
      </c>
      <c r="G117" s="568">
        <v>0</v>
      </c>
      <c r="H117" s="466">
        <v>0</v>
      </c>
      <c r="I117" s="468"/>
      <c r="J117" s="467">
        <v>0</v>
      </c>
      <c r="K117" s="466">
        <v>0</v>
      </c>
    </row>
    <row r="118" spans="1:11" ht="12.75" customHeight="1" x14ac:dyDescent="0.2">
      <c r="A118" s="463" t="s">
        <v>1794</v>
      </c>
      <c r="B118" s="561">
        <v>3002</v>
      </c>
      <c r="C118" s="551">
        <v>0</v>
      </c>
      <c r="D118" s="466">
        <v>0</v>
      </c>
      <c r="E118" s="466">
        <v>0</v>
      </c>
      <c r="F118" s="466">
        <v>0</v>
      </c>
      <c r="G118" s="466">
        <v>0</v>
      </c>
      <c r="H118" s="466">
        <v>0</v>
      </c>
      <c r="I118" s="468"/>
      <c r="J118" s="467">
        <v>0</v>
      </c>
      <c r="K118" s="466">
        <v>0</v>
      </c>
    </row>
    <row r="119" spans="1:11" ht="12.75" customHeight="1" x14ac:dyDescent="0.2">
      <c r="A119" s="463" t="s">
        <v>1795</v>
      </c>
      <c r="B119" s="561">
        <v>3005</v>
      </c>
      <c r="C119" s="551">
        <v>0</v>
      </c>
      <c r="D119" s="466">
        <v>0</v>
      </c>
      <c r="E119" s="466">
        <v>0</v>
      </c>
      <c r="F119" s="466">
        <v>0</v>
      </c>
      <c r="G119" s="466">
        <v>0</v>
      </c>
      <c r="H119" s="466">
        <v>0</v>
      </c>
      <c r="I119" s="468"/>
      <c r="J119" s="467">
        <v>0</v>
      </c>
      <c r="K119" s="466">
        <v>0</v>
      </c>
    </row>
    <row r="120" spans="1:11" ht="12.75" customHeight="1" x14ac:dyDescent="0.2">
      <c r="A120" s="1922" t="s">
        <v>1929</v>
      </c>
      <c r="B120" s="561">
        <v>3030</v>
      </c>
      <c r="C120" s="551">
        <v>0</v>
      </c>
      <c r="D120" s="466">
        <v>0</v>
      </c>
      <c r="E120" s="466">
        <v>0</v>
      </c>
      <c r="F120" s="466">
        <v>0</v>
      </c>
      <c r="G120" s="466">
        <v>0</v>
      </c>
      <c r="H120" s="466">
        <v>0</v>
      </c>
      <c r="I120" s="468"/>
      <c r="J120" s="467">
        <v>0</v>
      </c>
      <c r="K120" s="466">
        <v>0</v>
      </c>
    </row>
    <row r="121" spans="1:11" x14ac:dyDescent="0.2">
      <c r="A121" s="1493" t="s">
        <v>1796</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2148340</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288337</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52150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340487</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8832</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8832</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8660</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26290</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93042</v>
      </c>
      <c r="G152" s="467">
        <v>0</v>
      </c>
      <c r="H152" s="468"/>
      <c r="I152" s="468"/>
      <c r="J152" s="468"/>
      <c r="K152" s="468"/>
    </row>
    <row r="153" spans="1:11" ht="12.75" customHeight="1" x14ac:dyDescent="0.2">
      <c r="A153" s="463" t="s">
        <v>1057</v>
      </c>
      <c r="B153" s="561">
        <v>3510</v>
      </c>
      <c r="C153" s="551">
        <v>0</v>
      </c>
      <c r="D153" s="466">
        <v>0</v>
      </c>
      <c r="E153" s="560"/>
      <c r="F153" s="466">
        <v>333860</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426902</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334533</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1316</v>
      </c>
      <c r="D168" s="579">
        <v>0</v>
      </c>
      <c r="E168" s="579">
        <v>0</v>
      </c>
      <c r="F168" s="579" t="s">
        <v>1169</v>
      </c>
      <c r="G168" s="580">
        <v>0</v>
      </c>
      <c r="H168" s="581">
        <v>0</v>
      </c>
      <c r="I168" s="580">
        <v>0</v>
      </c>
      <c r="J168" s="580">
        <v>0</v>
      </c>
      <c r="K168" s="581">
        <v>0</v>
      </c>
    </row>
    <row r="169" spans="1:11" ht="12.75" customHeight="1" thickTop="1" thickBot="1" x14ac:dyDescent="0.25">
      <c r="A169" s="2159" t="s">
        <v>398</v>
      </c>
      <c r="B169" s="2160"/>
      <c r="C169" s="1715">
        <f t="shared" ref="C169:K169" si="6">SUM(C132,C141,C145,C146:C150,C155,C156:C167,C168)</f>
        <v>720118</v>
      </c>
      <c r="D169" s="1715">
        <f t="shared" si="6"/>
        <v>0</v>
      </c>
      <c r="E169" s="1715">
        <f t="shared" si="6"/>
        <v>0</v>
      </c>
      <c r="F169" s="1715">
        <f t="shared" si="6"/>
        <v>426902</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2868458</v>
      </c>
      <c r="D170" s="1708">
        <f t="shared" si="7"/>
        <v>0</v>
      </c>
      <c r="E170" s="1708">
        <f t="shared" si="7"/>
        <v>0</v>
      </c>
      <c r="F170" s="1708">
        <f t="shared" si="7"/>
        <v>426902</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65" t="s">
        <v>1665</v>
      </c>
      <c r="B175" s="2166"/>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9" t="s">
        <v>1664</v>
      </c>
      <c r="B176" s="2170"/>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67" t="s">
        <v>785</v>
      </c>
      <c r="B181" s="2168"/>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63" t="s">
        <v>1798</v>
      </c>
      <c r="B182" s="2164"/>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365018</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129787</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494805</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392753</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400</v>
      </c>
      <c r="B204" s="1702"/>
      <c r="C204" s="1700">
        <f>SUM(C200:C203)</f>
        <v>392753</v>
      </c>
      <c r="D204" s="1700">
        <f>SUM(D200:D203)</f>
        <v>0</v>
      </c>
      <c r="E204" s="468"/>
      <c r="F204" s="1700">
        <f>SUM(F200:F203)</f>
        <v>0</v>
      </c>
      <c r="G204" s="1700">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32048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32048</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16991</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241585</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258576</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57825</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1930</v>
      </c>
      <c r="B261" s="470">
        <v>4981</v>
      </c>
      <c r="C261" s="574">
        <v>0</v>
      </c>
      <c r="D261" s="575">
        <v>0</v>
      </c>
      <c r="E261" s="468"/>
      <c r="F261" s="575">
        <v>0</v>
      </c>
      <c r="G261" s="575">
        <v>0</v>
      </c>
      <c r="H261" s="468"/>
      <c r="I261" s="468"/>
      <c r="J261" s="468"/>
      <c r="K261" s="468"/>
    </row>
    <row r="262" spans="1:11" ht="12.75" customHeight="1" thickTop="1" thickBot="1" x14ac:dyDescent="0.25">
      <c r="A262" s="1923" t="s">
        <v>1931</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23400</v>
      </c>
      <c r="D263" s="575">
        <v>0</v>
      </c>
      <c r="E263" s="468"/>
      <c r="F263" s="575">
        <v>0</v>
      </c>
      <c r="G263" s="575">
        <v>0</v>
      </c>
      <c r="H263" s="468"/>
      <c r="I263" s="468"/>
      <c r="J263" s="468"/>
      <c r="K263" s="468"/>
    </row>
    <row r="264" spans="1:11" ht="12.75" customHeight="1" thickTop="1" thickBot="1" x14ac:dyDescent="0.25">
      <c r="A264" s="463" t="s">
        <v>377</v>
      </c>
      <c r="B264" s="470">
        <v>4992</v>
      </c>
      <c r="C264" s="574">
        <v>72494</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1331901</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1331901</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14714236</v>
      </c>
      <c r="D268" s="1708">
        <f t="shared" si="12"/>
        <v>2296460</v>
      </c>
      <c r="E268" s="1708">
        <f t="shared" si="12"/>
        <v>2148444</v>
      </c>
      <c r="F268" s="1708">
        <f t="shared" si="12"/>
        <v>1346366</v>
      </c>
      <c r="G268" s="1708">
        <f t="shared" si="12"/>
        <v>670462</v>
      </c>
      <c r="H268" s="1708">
        <f t="shared" si="12"/>
        <v>0</v>
      </c>
      <c r="I268" s="1708">
        <f t="shared" si="12"/>
        <v>236970</v>
      </c>
      <c r="J268" s="1708">
        <f t="shared" si="12"/>
        <v>1224768</v>
      </c>
      <c r="K268" s="1695">
        <f t="shared" si="12"/>
        <v>229953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Normal="100" workbookViewId="0">
      <pane ySplit="2" topLeftCell="A339" activePane="bottomLeft" state="frozen"/>
      <selection activeCell="T43" sqref="T43"/>
      <selection pane="bottomLeft" activeCell="L349" sqref="L349"/>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9" t="s">
        <v>1797</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3"/>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9" t="s">
        <v>297</v>
      </c>
      <c r="B3" s="2180"/>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5580109</v>
      </c>
      <c r="D5" s="466">
        <v>791170</v>
      </c>
      <c r="E5" s="466">
        <v>130799</v>
      </c>
      <c r="F5" s="466">
        <v>394552</v>
      </c>
      <c r="G5" s="466">
        <v>264059</v>
      </c>
      <c r="H5" s="466">
        <v>1110</v>
      </c>
      <c r="I5" s="466">
        <v>0</v>
      </c>
      <c r="J5" s="466">
        <v>0</v>
      </c>
      <c r="K5" s="1664">
        <f>SUM(C5:J5)</f>
        <v>7161799</v>
      </c>
      <c r="L5" s="466">
        <v>7275608</v>
      </c>
    </row>
    <row r="6" spans="1:14" x14ac:dyDescent="0.2">
      <c r="A6" s="1501" t="s">
        <v>1433</v>
      </c>
      <c r="B6" s="613" t="s">
        <v>1431</v>
      </c>
      <c r="C6" s="477"/>
      <c r="D6" s="477"/>
      <c r="E6" s="466" t="s">
        <v>1169</v>
      </c>
      <c r="F6" s="477"/>
      <c r="G6" s="477"/>
      <c r="H6" s="477"/>
      <c r="I6" s="477"/>
      <c r="J6" s="477"/>
      <c r="K6" s="1664">
        <f>SUM(C6,E6)</f>
        <v>0</v>
      </c>
      <c r="L6" s="466"/>
    </row>
    <row r="7" spans="1:14" x14ac:dyDescent="0.2">
      <c r="A7" s="1501" t="s">
        <v>163</v>
      </c>
      <c r="B7" s="613" t="s">
        <v>967</v>
      </c>
      <c r="C7" s="466">
        <v>198006</v>
      </c>
      <c r="D7" s="466">
        <v>42700</v>
      </c>
      <c r="E7" s="466">
        <v>0</v>
      </c>
      <c r="F7" s="466">
        <v>10784</v>
      </c>
      <c r="G7" s="466">
        <v>2857</v>
      </c>
      <c r="H7" s="466">
        <v>0</v>
      </c>
      <c r="I7" s="466">
        <v>0</v>
      </c>
      <c r="J7" s="466">
        <v>0</v>
      </c>
      <c r="K7" s="1664">
        <f t="shared" ref="K7:K32" si="0">SUM(C7:J7)</f>
        <v>254347</v>
      </c>
      <c r="L7" s="466">
        <v>269509</v>
      </c>
    </row>
    <row r="8" spans="1:14" x14ac:dyDescent="0.2">
      <c r="A8" s="1501" t="s">
        <v>164</v>
      </c>
      <c r="B8" s="613">
        <v>1200</v>
      </c>
      <c r="C8" s="466">
        <v>1971826</v>
      </c>
      <c r="D8" s="466">
        <v>418924</v>
      </c>
      <c r="E8" s="466">
        <v>936</v>
      </c>
      <c r="F8" s="466">
        <v>5591</v>
      </c>
      <c r="G8" s="466">
        <v>0</v>
      </c>
      <c r="H8" s="466">
        <v>0</v>
      </c>
      <c r="I8" s="466">
        <v>0</v>
      </c>
      <c r="J8" s="466">
        <v>0</v>
      </c>
      <c r="K8" s="1664">
        <f t="shared" si="0"/>
        <v>2397277</v>
      </c>
      <c r="L8" s="466">
        <v>2446662</v>
      </c>
    </row>
    <row r="9" spans="1:14" x14ac:dyDescent="0.2">
      <c r="A9" s="1501" t="s">
        <v>721</v>
      </c>
      <c r="B9" s="613" t="s">
        <v>968</v>
      </c>
      <c r="C9" s="466">
        <v>118733</v>
      </c>
      <c r="D9" s="466">
        <v>21349</v>
      </c>
      <c r="E9" s="466">
        <v>0</v>
      </c>
      <c r="F9" s="466">
        <v>0</v>
      </c>
      <c r="G9" s="466">
        <v>0</v>
      </c>
      <c r="H9" s="466">
        <v>0</v>
      </c>
      <c r="I9" s="466">
        <v>0</v>
      </c>
      <c r="J9" s="466">
        <v>0</v>
      </c>
      <c r="K9" s="1664">
        <f t="shared" si="0"/>
        <v>140082</v>
      </c>
      <c r="L9" s="466">
        <v>143651</v>
      </c>
    </row>
    <row r="10" spans="1:14" x14ac:dyDescent="0.2">
      <c r="A10" s="1501" t="s">
        <v>722</v>
      </c>
      <c r="B10" s="613">
        <v>1250</v>
      </c>
      <c r="C10" s="466">
        <v>326891</v>
      </c>
      <c r="D10" s="466">
        <v>87317</v>
      </c>
      <c r="E10" s="466">
        <v>0</v>
      </c>
      <c r="F10" s="466">
        <v>0</v>
      </c>
      <c r="G10" s="466">
        <v>0</v>
      </c>
      <c r="H10" s="466">
        <v>0</v>
      </c>
      <c r="I10" s="466">
        <v>0</v>
      </c>
      <c r="J10" s="466">
        <v>0</v>
      </c>
      <c r="K10" s="1664">
        <f t="shared" si="0"/>
        <v>414208</v>
      </c>
      <c r="L10" s="466">
        <v>419828</v>
      </c>
    </row>
    <row r="11" spans="1:14" x14ac:dyDescent="0.2">
      <c r="A11" s="1501" t="s">
        <v>1130</v>
      </c>
      <c r="B11" s="613" t="s">
        <v>161</v>
      </c>
      <c r="C11" s="466">
        <v>0</v>
      </c>
      <c r="D11" s="466">
        <v>0</v>
      </c>
      <c r="E11" s="466">
        <v>0</v>
      </c>
      <c r="F11" s="466">
        <v>0</v>
      </c>
      <c r="G11" s="466">
        <v>0</v>
      </c>
      <c r="H11" s="466">
        <v>0</v>
      </c>
      <c r="I11" s="466">
        <v>0</v>
      </c>
      <c r="J11" s="466">
        <v>0</v>
      </c>
      <c r="K11" s="1664">
        <f t="shared" si="0"/>
        <v>0</v>
      </c>
      <c r="L11" s="466"/>
    </row>
    <row r="12" spans="1:14" x14ac:dyDescent="0.2">
      <c r="A12" s="1501" t="s">
        <v>962</v>
      </c>
      <c r="B12" s="613">
        <v>1300</v>
      </c>
      <c r="C12" s="466">
        <v>0</v>
      </c>
      <c r="D12" s="466">
        <v>0</v>
      </c>
      <c r="E12" s="466">
        <v>0</v>
      </c>
      <c r="F12" s="466">
        <v>0</v>
      </c>
      <c r="G12" s="466">
        <v>0</v>
      </c>
      <c r="H12" s="466">
        <v>0</v>
      </c>
      <c r="I12" s="466">
        <v>0</v>
      </c>
      <c r="J12" s="466">
        <v>0</v>
      </c>
      <c r="K12" s="1664">
        <f t="shared" si="0"/>
        <v>0</v>
      </c>
      <c r="L12" s="466"/>
    </row>
    <row r="13" spans="1:14" x14ac:dyDescent="0.2">
      <c r="A13" s="1501" t="s">
        <v>723</v>
      </c>
      <c r="B13" s="613">
        <v>1400</v>
      </c>
      <c r="C13" s="466">
        <v>0</v>
      </c>
      <c r="D13" s="466">
        <v>0</v>
      </c>
      <c r="E13" s="466">
        <v>0</v>
      </c>
      <c r="F13" s="466">
        <v>5396</v>
      </c>
      <c r="G13" s="466">
        <v>3362</v>
      </c>
      <c r="H13" s="466">
        <v>0</v>
      </c>
      <c r="I13" s="466">
        <v>0</v>
      </c>
      <c r="J13" s="466">
        <v>0</v>
      </c>
      <c r="K13" s="1664">
        <f t="shared" si="0"/>
        <v>8758</v>
      </c>
      <c r="L13" s="466">
        <v>9533</v>
      </c>
    </row>
    <row r="14" spans="1:14" x14ac:dyDescent="0.2">
      <c r="A14" s="1501" t="s">
        <v>963</v>
      </c>
      <c r="B14" s="613">
        <v>1500</v>
      </c>
      <c r="C14" s="466">
        <v>264052</v>
      </c>
      <c r="D14" s="466">
        <v>9435</v>
      </c>
      <c r="E14" s="466">
        <v>34983</v>
      </c>
      <c r="F14" s="466">
        <v>76103</v>
      </c>
      <c r="G14" s="466">
        <v>10351</v>
      </c>
      <c r="H14" s="466">
        <v>0</v>
      </c>
      <c r="I14" s="466">
        <v>0</v>
      </c>
      <c r="J14" s="466">
        <v>0</v>
      </c>
      <c r="K14" s="1664">
        <f t="shared" si="0"/>
        <v>394924</v>
      </c>
      <c r="L14" s="466">
        <v>353963</v>
      </c>
    </row>
    <row r="15" spans="1:14" x14ac:dyDescent="0.2">
      <c r="A15" s="1501" t="s">
        <v>964</v>
      </c>
      <c r="B15" s="613">
        <v>1600</v>
      </c>
      <c r="C15" s="466">
        <v>0</v>
      </c>
      <c r="D15" s="466">
        <v>0</v>
      </c>
      <c r="E15" s="466">
        <v>0</v>
      </c>
      <c r="F15" s="466">
        <v>0</v>
      </c>
      <c r="G15" s="466">
        <v>0</v>
      </c>
      <c r="H15" s="466">
        <v>0</v>
      </c>
      <c r="I15" s="466">
        <v>0</v>
      </c>
      <c r="J15" s="466">
        <v>0</v>
      </c>
      <c r="K15" s="1664">
        <f t="shared" si="0"/>
        <v>0</v>
      </c>
      <c r="L15" s="466"/>
    </row>
    <row r="16" spans="1:14" x14ac:dyDescent="0.2">
      <c r="A16" s="1501" t="s">
        <v>987</v>
      </c>
      <c r="B16" s="613" t="s">
        <v>424</v>
      </c>
      <c r="C16" s="466">
        <v>0</v>
      </c>
      <c r="D16" s="466">
        <v>0</v>
      </c>
      <c r="E16" s="466">
        <v>0</v>
      </c>
      <c r="F16" s="466">
        <v>0</v>
      </c>
      <c r="G16" s="466">
        <v>0</v>
      </c>
      <c r="H16" s="466">
        <v>0</v>
      </c>
      <c r="I16" s="466">
        <v>0</v>
      </c>
      <c r="J16" s="466">
        <v>0</v>
      </c>
      <c r="K16" s="1664">
        <f t="shared" si="0"/>
        <v>0</v>
      </c>
      <c r="L16" s="466"/>
    </row>
    <row r="17" spans="1:12" x14ac:dyDescent="0.2">
      <c r="A17" s="1501" t="s">
        <v>724</v>
      </c>
      <c r="B17" s="613" t="s">
        <v>162</v>
      </c>
      <c r="C17" s="466">
        <v>89659</v>
      </c>
      <c r="D17" s="466">
        <v>9366</v>
      </c>
      <c r="E17" s="466">
        <v>921</v>
      </c>
      <c r="F17" s="466">
        <v>0</v>
      </c>
      <c r="G17" s="466">
        <v>0</v>
      </c>
      <c r="H17" s="466">
        <v>0</v>
      </c>
      <c r="I17" s="466">
        <v>0</v>
      </c>
      <c r="J17" s="466">
        <v>0</v>
      </c>
      <c r="K17" s="1664">
        <f t="shared" si="0"/>
        <v>99946</v>
      </c>
      <c r="L17" s="466">
        <v>101085</v>
      </c>
    </row>
    <row r="18" spans="1:12" x14ac:dyDescent="0.2">
      <c r="A18" s="1501" t="s">
        <v>1087</v>
      </c>
      <c r="B18" s="613">
        <v>1800</v>
      </c>
      <c r="C18" s="466">
        <v>0</v>
      </c>
      <c r="D18" s="466">
        <v>0</v>
      </c>
      <c r="E18" s="466">
        <v>0</v>
      </c>
      <c r="F18" s="466">
        <v>0</v>
      </c>
      <c r="G18" s="466">
        <v>0</v>
      </c>
      <c r="H18" s="466">
        <v>0</v>
      </c>
      <c r="I18" s="466">
        <v>0</v>
      </c>
      <c r="J18" s="466">
        <v>0</v>
      </c>
      <c r="K18" s="1664">
        <f t="shared" si="0"/>
        <v>0</v>
      </c>
      <c r="L18" s="466"/>
    </row>
    <row r="19" spans="1:12" x14ac:dyDescent="0.2">
      <c r="A19" s="1501" t="s">
        <v>134</v>
      </c>
      <c r="B19" s="613">
        <v>1900</v>
      </c>
      <c r="C19" s="466">
        <v>109556</v>
      </c>
      <c r="D19" s="466">
        <v>15365</v>
      </c>
      <c r="E19" s="466">
        <v>0</v>
      </c>
      <c r="F19" s="466">
        <v>249</v>
      </c>
      <c r="G19" s="466">
        <v>0</v>
      </c>
      <c r="H19" s="466">
        <v>0</v>
      </c>
      <c r="I19" s="466">
        <v>0</v>
      </c>
      <c r="J19" s="466">
        <v>0</v>
      </c>
      <c r="K19" s="1664">
        <f t="shared" si="0"/>
        <v>125170</v>
      </c>
      <c r="L19" s="466">
        <v>127253</v>
      </c>
    </row>
    <row r="20" spans="1:12" x14ac:dyDescent="0.2">
      <c r="A20" s="1502" t="s">
        <v>738</v>
      </c>
      <c r="B20" s="601" t="s">
        <v>725</v>
      </c>
      <c r="C20" s="477"/>
      <c r="D20" s="477"/>
      <c r="E20" s="477"/>
      <c r="F20" s="477"/>
      <c r="G20" s="477"/>
      <c r="H20" s="466">
        <v>0</v>
      </c>
      <c r="I20" s="615"/>
      <c r="J20" s="475"/>
      <c r="K20" s="1664">
        <f t="shared" si="0"/>
        <v>0</v>
      </c>
      <c r="L20" s="471"/>
    </row>
    <row r="21" spans="1:12" x14ac:dyDescent="0.2">
      <c r="A21" s="1502" t="s">
        <v>739</v>
      </c>
      <c r="B21" s="601" t="s">
        <v>726</v>
      </c>
      <c r="C21" s="477"/>
      <c r="D21" s="477"/>
      <c r="E21" s="477"/>
      <c r="F21" s="477"/>
      <c r="G21" s="477"/>
      <c r="H21" s="466">
        <v>0</v>
      </c>
      <c r="I21" s="615"/>
      <c r="J21" s="477"/>
      <c r="K21" s="1664">
        <f t="shared" si="0"/>
        <v>0</v>
      </c>
      <c r="L21" s="471"/>
    </row>
    <row r="22" spans="1:12" x14ac:dyDescent="0.2">
      <c r="A22" s="1502" t="s">
        <v>740</v>
      </c>
      <c r="B22" s="601" t="s">
        <v>727</v>
      </c>
      <c r="C22" s="477"/>
      <c r="D22" s="477"/>
      <c r="E22" s="477"/>
      <c r="F22" s="477"/>
      <c r="G22" s="477"/>
      <c r="H22" s="466">
        <v>714446</v>
      </c>
      <c r="I22" s="615"/>
      <c r="J22" s="477"/>
      <c r="K22" s="1664">
        <f t="shared" si="0"/>
        <v>714446</v>
      </c>
      <c r="L22" s="471">
        <v>780162</v>
      </c>
    </row>
    <row r="23" spans="1:12" x14ac:dyDescent="0.2">
      <c r="A23" s="1502" t="s">
        <v>741</v>
      </c>
      <c r="B23" s="601" t="s">
        <v>728</v>
      </c>
      <c r="C23" s="477"/>
      <c r="D23" s="477"/>
      <c r="E23" s="477"/>
      <c r="F23" s="477"/>
      <c r="G23" s="477"/>
      <c r="H23" s="466">
        <v>0</v>
      </c>
      <c r="I23" s="615"/>
      <c r="J23" s="477"/>
      <c r="K23" s="1664">
        <f t="shared" si="0"/>
        <v>0</v>
      </c>
      <c r="L23" s="471"/>
    </row>
    <row r="24" spans="1:12" ht="12.75" customHeight="1" x14ac:dyDescent="0.2">
      <c r="A24" s="1502" t="s">
        <v>742</v>
      </c>
      <c r="B24" s="601" t="s">
        <v>729</v>
      </c>
      <c r="C24" s="477"/>
      <c r="D24" s="477"/>
      <c r="E24" s="477"/>
      <c r="F24" s="477"/>
      <c r="G24" s="477"/>
      <c r="H24" s="466">
        <v>0</v>
      </c>
      <c r="I24" s="615"/>
      <c r="J24" s="477"/>
      <c r="K24" s="1664">
        <f t="shared" si="0"/>
        <v>0</v>
      </c>
      <c r="L24" s="471"/>
    </row>
    <row r="25" spans="1:12" ht="12.75" customHeight="1" x14ac:dyDescent="0.2">
      <c r="A25" s="1502" t="s">
        <v>802</v>
      </c>
      <c r="B25" s="601" t="s">
        <v>730</v>
      </c>
      <c r="C25" s="477"/>
      <c r="D25" s="477"/>
      <c r="E25" s="477"/>
      <c r="F25" s="477"/>
      <c r="G25" s="477"/>
      <c r="H25" s="466">
        <v>0</v>
      </c>
      <c r="I25" s="615"/>
      <c r="J25" s="477"/>
      <c r="K25" s="1664">
        <f t="shared" si="0"/>
        <v>0</v>
      </c>
      <c r="L25" s="471"/>
    </row>
    <row r="26" spans="1:12" x14ac:dyDescent="0.2">
      <c r="A26" s="1502" t="s">
        <v>622</v>
      </c>
      <c r="B26" s="601" t="s">
        <v>731</v>
      </c>
      <c r="C26" s="477"/>
      <c r="D26" s="477"/>
      <c r="E26" s="477"/>
      <c r="F26" s="477"/>
      <c r="G26" s="477"/>
      <c r="H26" s="466">
        <v>0</v>
      </c>
      <c r="I26" s="615"/>
      <c r="J26" s="477"/>
      <c r="K26" s="1664">
        <f t="shared" si="0"/>
        <v>0</v>
      </c>
      <c r="L26" s="471"/>
    </row>
    <row r="27" spans="1:12" x14ac:dyDescent="0.2">
      <c r="A27" s="1502" t="s">
        <v>623</v>
      </c>
      <c r="B27" s="601" t="s">
        <v>732</v>
      </c>
      <c r="C27" s="477"/>
      <c r="D27" s="477"/>
      <c r="E27" s="477"/>
      <c r="F27" s="477"/>
      <c r="G27" s="477"/>
      <c r="H27" s="466">
        <v>0</v>
      </c>
      <c r="I27" s="615"/>
      <c r="J27" s="477"/>
      <c r="K27" s="1664">
        <f t="shared" si="0"/>
        <v>0</v>
      </c>
      <c r="L27" s="471"/>
    </row>
    <row r="28" spans="1:12" x14ac:dyDescent="0.2">
      <c r="A28" s="1502" t="s">
        <v>150</v>
      </c>
      <c r="B28" s="601" t="s">
        <v>733</v>
      </c>
      <c r="C28" s="477"/>
      <c r="D28" s="477"/>
      <c r="E28" s="477"/>
      <c r="F28" s="477"/>
      <c r="G28" s="477"/>
      <c r="H28" s="466">
        <v>0</v>
      </c>
      <c r="I28" s="615"/>
      <c r="J28" s="477"/>
      <c r="K28" s="1664">
        <f t="shared" si="0"/>
        <v>0</v>
      </c>
      <c r="L28" s="471"/>
    </row>
    <row r="29" spans="1:12" x14ac:dyDescent="0.2">
      <c r="A29" s="1502" t="s">
        <v>151</v>
      </c>
      <c r="B29" s="601" t="s">
        <v>734</v>
      </c>
      <c r="C29" s="477"/>
      <c r="D29" s="477"/>
      <c r="E29" s="477"/>
      <c r="F29" s="477"/>
      <c r="G29" s="477"/>
      <c r="H29" s="466" t="s">
        <v>1169</v>
      </c>
      <c r="I29" s="615"/>
      <c r="J29" s="477"/>
      <c r="K29" s="1664">
        <f t="shared" si="0"/>
        <v>0</v>
      </c>
      <c r="L29" s="471"/>
    </row>
    <row r="30" spans="1:12" x14ac:dyDescent="0.2">
      <c r="A30" s="1502" t="s">
        <v>152</v>
      </c>
      <c r="B30" s="601" t="s">
        <v>735</v>
      </c>
      <c r="C30" s="477"/>
      <c r="D30" s="477"/>
      <c r="E30" s="477"/>
      <c r="F30" s="477"/>
      <c r="G30" s="477"/>
      <c r="H30" s="466">
        <v>0</v>
      </c>
      <c r="I30" s="615"/>
      <c r="J30" s="477"/>
      <c r="K30" s="1664">
        <f t="shared" si="0"/>
        <v>0</v>
      </c>
      <c r="L30" s="471"/>
    </row>
    <row r="31" spans="1:12" x14ac:dyDescent="0.2">
      <c r="A31" s="1502" t="s">
        <v>153</v>
      </c>
      <c r="B31" s="601" t="s">
        <v>736</v>
      </c>
      <c r="C31" s="477"/>
      <c r="D31" s="477"/>
      <c r="E31" s="477"/>
      <c r="F31" s="477"/>
      <c r="G31" s="477"/>
      <c r="H31" s="466">
        <v>0</v>
      </c>
      <c r="I31" s="615"/>
      <c r="J31" s="477"/>
      <c r="K31" s="1664">
        <f t="shared" si="0"/>
        <v>0</v>
      </c>
      <c r="L31" s="471"/>
    </row>
    <row r="32" spans="1:12" x14ac:dyDescent="0.2">
      <c r="A32" s="1503" t="s">
        <v>1129</v>
      </c>
      <c r="B32" s="613" t="s">
        <v>737</v>
      </c>
      <c r="C32" s="477"/>
      <c r="D32" s="477"/>
      <c r="E32" s="477"/>
      <c r="F32" s="477"/>
      <c r="G32" s="477"/>
      <c r="H32" s="466">
        <v>0</v>
      </c>
      <c r="I32" s="615"/>
      <c r="J32" s="480"/>
      <c r="K32" s="1664">
        <f t="shared" si="0"/>
        <v>0</v>
      </c>
      <c r="L32" s="471"/>
    </row>
    <row r="33" spans="1:14" ht="12.75" customHeight="1" thickBot="1" x14ac:dyDescent="0.25">
      <c r="A33" s="1661" t="s">
        <v>1668</v>
      </c>
      <c r="B33" s="1662" t="s">
        <v>570</v>
      </c>
      <c r="C33" s="1663">
        <f>SUM(C5:C32)</f>
        <v>8658832</v>
      </c>
      <c r="D33" s="1663">
        <f t="shared" ref="D33:L33" si="1">SUM(D5:D32)</f>
        <v>1395626</v>
      </c>
      <c r="E33" s="1663">
        <f t="shared" si="1"/>
        <v>167639</v>
      </c>
      <c r="F33" s="1663">
        <f t="shared" si="1"/>
        <v>492675</v>
      </c>
      <c r="G33" s="1663">
        <f t="shared" si="1"/>
        <v>280629</v>
      </c>
      <c r="H33" s="1663">
        <f t="shared" si="1"/>
        <v>715556</v>
      </c>
      <c r="I33" s="1663">
        <f t="shared" si="1"/>
        <v>0</v>
      </c>
      <c r="J33" s="1663">
        <f t="shared" si="1"/>
        <v>0</v>
      </c>
      <c r="K33" s="1663">
        <f t="shared" si="1"/>
        <v>11710957</v>
      </c>
      <c r="L33" s="1663">
        <f t="shared" si="1"/>
        <v>11927254</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0</v>
      </c>
      <c r="I36" s="466">
        <v>0</v>
      </c>
      <c r="J36" s="466">
        <v>0</v>
      </c>
      <c r="K36" s="1664">
        <f t="shared" ref="K36:K41" si="2">SUM(C36:J36)</f>
        <v>0</v>
      </c>
      <c r="L36" s="466"/>
    </row>
    <row r="37" spans="1:14" x14ac:dyDescent="0.2">
      <c r="A37" s="1501" t="s">
        <v>1090</v>
      </c>
      <c r="B37" s="613">
        <v>2120</v>
      </c>
      <c r="C37" s="466">
        <v>208962</v>
      </c>
      <c r="D37" s="466">
        <v>36301</v>
      </c>
      <c r="E37" s="466">
        <v>83</v>
      </c>
      <c r="F37" s="466">
        <v>507</v>
      </c>
      <c r="G37" s="466">
        <v>0</v>
      </c>
      <c r="H37" s="466">
        <v>0</v>
      </c>
      <c r="I37" s="466">
        <v>0</v>
      </c>
      <c r="J37" s="466">
        <v>0</v>
      </c>
      <c r="K37" s="1664">
        <f t="shared" si="2"/>
        <v>245853</v>
      </c>
      <c r="L37" s="466">
        <v>248397</v>
      </c>
    </row>
    <row r="38" spans="1:14" x14ac:dyDescent="0.2">
      <c r="A38" s="1501" t="s">
        <v>198</v>
      </c>
      <c r="B38" s="613">
        <v>2130</v>
      </c>
      <c r="C38" s="466">
        <v>81092</v>
      </c>
      <c r="D38" s="466">
        <v>7498</v>
      </c>
      <c r="E38" s="466">
        <v>1128</v>
      </c>
      <c r="F38" s="466">
        <v>2722</v>
      </c>
      <c r="G38" s="466">
        <v>0</v>
      </c>
      <c r="H38" s="466">
        <v>0</v>
      </c>
      <c r="I38" s="466">
        <v>0</v>
      </c>
      <c r="J38" s="466">
        <v>0</v>
      </c>
      <c r="K38" s="1664">
        <f t="shared" si="2"/>
        <v>92440</v>
      </c>
      <c r="L38" s="466">
        <v>95148</v>
      </c>
    </row>
    <row r="39" spans="1:14" x14ac:dyDescent="0.2">
      <c r="A39" s="1501" t="s">
        <v>199</v>
      </c>
      <c r="B39" s="613">
        <v>2140</v>
      </c>
      <c r="C39" s="466">
        <v>0</v>
      </c>
      <c r="D39" s="466">
        <v>0</v>
      </c>
      <c r="E39" s="466">
        <v>0</v>
      </c>
      <c r="F39" s="466">
        <v>0</v>
      </c>
      <c r="G39" s="466">
        <v>0</v>
      </c>
      <c r="H39" s="466">
        <v>0</v>
      </c>
      <c r="I39" s="466">
        <v>0</v>
      </c>
      <c r="J39" s="466">
        <v>0</v>
      </c>
      <c r="K39" s="1664">
        <f t="shared" si="2"/>
        <v>0</v>
      </c>
      <c r="L39" s="466"/>
    </row>
    <row r="40" spans="1:14" x14ac:dyDescent="0.2">
      <c r="A40" s="1501" t="s">
        <v>200</v>
      </c>
      <c r="B40" s="613">
        <v>2150</v>
      </c>
      <c r="C40" s="466">
        <v>157047</v>
      </c>
      <c r="D40" s="466">
        <v>23210</v>
      </c>
      <c r="E40" s="466">
        <v>85</v>
      </c>
      <c r="F40" s="466">
        <v>487</v>
      </c>
      <c r="G40" s="466">
        <v>0</v>
      </c>
      <c r="H40" s="466">
        <v>0</v>
      </c>
      <c r="I40" s="466">
        <v>0</v>
      </c>
      <c r="J40" s="466">
        <v>0</v>
      </c>
      <c r="K40" s="1664">
        <f t="shared" si="2"/>
        <v>180829</v>
      </c>
      <c r="L40" s="466">
        <v>183184</v>
      </c>
    </row>
    <row r="41" spans="1:14" x14ac:dyDescent="0.2">
      <c r="A41" s="1501" t="s">
        <v>1669</v>
      </c>
      <c r="B41" s="613">
        <v>2190</v>
      </c>
      <c r="C41" s="466">
        <v>0</v>
      </c>
      <c r="D41" s="466">
        <v>0</v>
      </c>
      <c r="E41" s="466">
        <v>0</v>
      </c>
      <c r="F41" s="466">
        <v>6878</v>
      </c>
      <c r="G41" s="466">
        <v>0</v>
      </c>
      <c r="H41" s="466">
        <v>0</v>
      </c>
      <c r="I41" s="466">
        <v>0</v>
      </c>
      <c r="J41" s="466">
        <v>0</v>
      </c>
      <c r="K41" s="1664">
        <f t="shared" si="2"/>
        <v>6878</v>
      </c>
      <c r="L41" s="466">
        <v>6760</v>
      </c>
    </row>
    <row r="42" spans="1:14" ht="12.75" customHeight="1" thickBot="1" x14ac:dyDescent="0.25">
      <c r="A42" s="1661" t="s">
        <v>560</v>
      </c>
      <c r="B42" s="1662" t="s">
        <v>716</v>
      </c>
      <c r="C42" s="1663">
        <f>SUM(C36:C41)</f>
        <v>447101</v>
      </c>
      <c r="D42" s="1663">
        <f t="shared" ref="D42:L42" si="3">SUM(D36:D41)</f>
        <v>67009</v>
      </c>
      <c r="E42" s="1663">
        <f t="shared" si="3"/>
        <v>1296</v>
      </c>
      <c r="F42" s="1663">
        <f t="shared" si="3"/>
        <v>10594</v>
      </c>
      <c r="G42" s="1663">
        <f t="shared" si="3"/>
        <v>0</v>
      </c>
      <c r="H42" s="1663">
        <f t="shared" si="3"/>
        <v>0</v>
      </c>
      <c r="I42" s="1663">
        <f t="shared" si="3"/>
        <v>0</v>
      </c>
      <c r="J42" s="1663">
        <f t="shared" si="3"/>
        <v>0</v>
      </c>
      <c r="K42" s="1663">
        <f t="shared" si="3"/>
        <v>526000</v>
      </c>
      <c r="L42" s="1663">
        <f t="shared" si="3"/>
        <v>533489</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0</v>
      </c>
      <c r="D44" s="466">
        <v>0</v>
      </c>
      <c r="E44" s="466">
        <v>35507</v>
      </c>
      <c r="F44" s="466">
        <v>13721</v>
      </c>
      <c r="G44" s="466">
        <v>4228</v>
      </c>
      <c r="H44" s="466">
        <v>0</v>
      </c>
      <c r="I44" s="466">
        <v>0</v>
      </c>
      <c r="J44" s="466">
        <v>0</v>
      </c>
      <c r="K44" s="1665">
        <f>SUM(C44:J44)</f>
        <v>53456</v>
      </c>
      <c r="L44" s="568">
        <v>49935</v>
      </c>
    </row>
    <row r="45" spans="1:14" x14ac:dyDescent="0.2">
      <c r="A45" s="1501" t="s">
        <v>815</v>
      </c>
      <c r="B45" s="613">
        <v>2220</v>
      </c>
      <c r="C45" s="466">
        <v>251802</v>
      </c>
      <c r="D45" s="466">
        <v>43737</v>
      </c>
      <c r="E45" s="466">
        <v>0</v>
      </c>
      <c r="F45" s="466">
        <v>19877</v>
      </c>
      <c r="G45" s="466">
        <v>0</v>
      </c>
      <c r="H45" s="466">
        <v>0</v>
      </c>
      <c r="I45" s="466">
        <v>0</v>
      </c>
      <c r="J45" s="466">
        <v>0</v>
      </c>
      <c r="K45" s="1665">
        <f>SUM(C45:J45)</f>
        <v>315416</v>
      </c>
      <c r="L45" s="466">
        <v>322162</v>
      </c>
    </row>
    <row r="46" spans="1:14" x14ac:dyDescent="0.2">
      <c r="A46" s="1501" t="s">
        <v>816</v>
      </c>
      <c r="B46" s="613">
        <v>2230</v>
      </c>
      <c r="C46" s="466">
        <v>0</v>
      </c>
      <c r="D46" s="466">
        <v>0</v>
      </c>
      <c r="E46" s="466">
        <v>15377</v>
      </c>
      <c r="F46" s="466">
        <v>367</v>
      </c>
      <c r="G46" s="466">
        <v>0</v>
      </c>
      <c r="H46" s="466">
        <v>0</v>
      </c>
      <c r="I46" s="466">
        <v>0</v>
      </c>
      <c r="J46" s="466">
        <v>0</v>
      </c>
      <c r="K46" s="1665">
        <f>SUM(C46:J46)</f>
        <v>15744</v>
      </c>
      <c r="L46" s="466">
        <v>16312</v>
      </c>
    </row>
    <row r="47" spans="1:14" ht="12.75" customHeight="1" thickBot="1" x14ac:dyDescent="0.25">
      <c r="A47" s="1661" t="s">
        <v>561</v>
      </c>
      <c r="B47" s="1662" t="s">
        <v>32</v>
      </c>
      <c r="C47" s="1663">
        <f>SUM(C44:C46)</f>
        <v>251802</v>
      </c>
      <c r="D47" s="1663">
        <f t="shared" ref="D47:K47" si="4">SUM(D44:D46)</f>
        <v>43737</v>
      </c>
      <c r="E47" s="1663">
        <f t="shared" si="4"/>
        <v>50884</v>
      </c>
      <c r="F47" s="1663">
        <f t="shared" si="4"/>
        <v>33965</v>
      </c>
      <c r="G47" s="1663">
        <f t="shared" si="4"/>
        <v>4228</v>
      </c>
      <c r="H47" s="1663">
        <f t="shared" si="4"/>
        <v>0</v>
      </c>
      <c r="I47" s="1663">
        <f t="shared" si="4"/>
        <v>0</v>
      </c>
      <c r="J47" s="1663">
        <f t="shared" si="4"/>
        <v>0</v>
      </c>
      <c r="K47" s="1663">
        <f t="shared" si="4"/>
        <v>384616</v>
      </c>
      <c r="L47" s="1663">
        <f>SUM(L44:L46)</f>
        <v>388409</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0</v>
      </c>
      <c r="D49" s="466">
        <v>31100</v>
      </c>
      <c r="E49" s="466">
        <v>55536</v>
      </c>
      <c r="F49" s="466">
        <v>3171</v>
      </c>
      <c r="G49" s="466">
        <v>0</v>
      </c>
      <c r="H49" s="466">
        <v>16705</v>
      </c>
      <c r="I49" s="466">
        <v>0</v>
      </c>
      <c r="J49" s="466">
        <v>0</v>
      </c>
      <c r="K49" s="1665">
        <f>SUM(C49:J49)</f>
        <v>106512</v>
      </c>
      <c r="L49" s="568">
        <v>91699</v>
      </c>
    </row>
    <row r="50" spans="1:14" x14ac:dyDescent="0.2">
      <c r="A50" s="1501" t="s">
        <v>818</v>
      </c>
      <c r="B50" s="613">
        <v>2320</v>
      </c>
      <c r="C50" s="466">
        <v>181824</v>
      </c>
      <c r="D50" s="466">
        <v>38567</v>
      </c>
      <c r="E50" s="466">
        <v>8400</v>
      </c>
      <c r="F50" s="466">
        <v>328</v>
      </c>
      <c r="G50" s="466">
        <v>1024</v>
      </c>
      <c r="H50" s="466">
        <v>0</v>
      </c>
      <c r="I50" s="466">
        <v>0</v>
      </c>
      <c r="J50" s="466">
        <v>0</v>
      </c>
      <c r="K50" s="1665">
        <f>SUM(C50:J50)</f>
        <v>230143</v>
      </c>
      <c r="L50" s="466">
        <v>220716</v>
      </c>
    </row>
    <row r="51" spans="1:14" x14ac:dyDescent="0.2">
      <c r="A51" s="1501" t="s">
        <v>42</v>
      </c>
      <c r="B51" s="613">
        <v>2330</v>
      </c>
      <c r="C51" s="466">
        <v>0</v>
      </c>
      <c r="D51" s="466">
        <v>0</v>
      </c>
      <c r="E51" s="466">
        <v>0</v>
      </c>
      <c r="F51" s="466">
        <v>0</v>
      </c>
      <c r="G51" s="466">
        <v>0</v>
      </c>
      <c r="H51" s="466">
        <v>0</v>
      </c>
      <c r="I51" s="466" t="s">
        <v>1169</v>
      </c>
      <c r="J51" s="466">
        <v>0</v>
      </c>
      <c r="K51" s="1665">
        <f>SUM(C51:J51)</f>
        <v>0</v>
      </c>
      <c r="L51" s="466"/>
    </row>
    <row r="52" spans="1:14" ht="22.5" x14ac:dyDescent="0.2">
      <c r="A52" s="1502" t="s">
        <v>298</v>
      </c>
      <c r="B52" s="626" t="s">
        <v>366</v>
      </c>
      <c r="C52" s="466">
        <v>0</v>
      </c>
      <c r="D52" s="466">
        <v>0</v>
      </c>
      <c r="E52" s="466">
        <v>0</v>
      </c>
      <c r="F52" s="466">
        <v>0</v>
      </c>
      <c r="G52" s="466">
        <v>0</v>
      </c>
      <c r="H52" s="466">
        <v>0</v>
      </c>
      <c r="I52" s="466">
        <v>0</v>
      </c>
      <c r="J52" s="466">
        <v>0</v>
      </c>
      <c r="K52" s="1665">
        <f>SUM(C52:J52)</f>
        <v>0</v>
      </c>
      <c r="L52" s="474"/>
    </row>
    <row r="53" spans="1:14" ht="12.75" customHeight="1" thickBot="1" x14ac:dyDescent="0.25">
      <c r="A53" s="1661" t="s">
        <v>717</v>
      </c>
      <c r="B53" s="1662" t="s">
        <v>33</v>
      </c>
      <c r="C53" s="1663">
        <f>SUM(C49:C52)</f>
        <v>181824</v>
      </c>
      <c r="D53" s="1663">
        <f t="shared" ref="D53:L53" si="5">SUM(D49:D52)</f>
        <v>69667</v>
      </c>
      <c r="E53" s="1663">
        <f t="shared" si="5"/>
        <v>63936</v>
      </c>
      <c r="F53" s="1663">
        <f t="shared" si="5"/>
        <v>3499</v>
      </c>
      <c r="G53" s="1663">
        <f t="shared" si="5"/>
        <v>1024</v>
      </c>
      <c r="H53" s="1663">
        <f t="shared" si="5"/>
        <v>16705</v>
      </c>
      <c r="I53" s="1663">
        <f t="shared" si="5"/>
        <v>0</v>
      </c>
      <c r="J53" s="1663">
        <f t="shared" si="5"/>
        <v>0</v>
      </c>
      <c r="K53" s="1663">
        <f t="shared" si="5"/>
        <v>336655</v>
      </c>
      <c r="L53" s="1663">
        <f t="shared" si="5"/>
        <v>312415</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687633</v>
      </c>
      <c r="D55" s="466">
        <v>94553</v>
      </c>
      <c r="E55" s="466">
        <v>0</v>
      </c>
      <c r="F55" s="466">
        <v>0</v>
      </c>
      <c r="G55" s="466">
        <v>0</v>
      </c>
      <c r="H55" s="466">
        <v>0</v>
      </c>
      <c r="I55" s="466">
        <v>0</v>
      </c>
      <c r="J55" s="466">
        <v>0</v>
      </c>
      <c r="K55" s="1665">
        <f>SUM(C55:J55)</f>
        <v>782186</v>
      </c>
      <c r="L55" s="568">
        <v>781670</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row>
    <row r="57" spans="1:14" s="343" customFormat="1" ht="12.75" customHeight="1" thickBot="1" x14ac:dyDescent="0.25">
      <c r="A57" s="1661" t="s">
        <v>263</v>
      </c>
      <c r="B57" s="1666" t="s">
        <v>34</v>
      </c>
      <c r="C57" s="1667">
        <f>SUM(C55:C56)</f>
        <v>687633</v>
      </c>
      <c r="D57" s="1667">
        <f t="shared" ref="D57:K57" si="6">SUM(D55:D56)</f>
        <v>94553</v>
      </c>
      <c r="E57" s="1667">
        <f t="shared" si="6"/>
        <v>0</v>
      </c>
      <c r="F57" s="1667">
        <f t="shared" si="6"/>
        <v>0</v>
      </c>
      <c r="G57" s="1667">
        <f t="shared" si="6"/>
        <v>0</v>
      </c>
      <c r="H57" s="1667">
        <f t="shared" si="6"/>
        <v>0</v>
      </c>
      <c r="I57" s="1667">
        <f t="shared" si="6"/>
        <v>0</v>
      </c>
      <c r="J57" s="1667">
        <f t="shared" si="6"/>
        <v>0</v>
      </c>
      <c r="K57" s="1667">
        <f t="shared" si="6"/>
        <v>782186</v>
      </c>
      <c r="L57" s="1663">
        <f>SUM(L55:L56)</f>
        <v>781670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76000</v>
      </c>
      <c r="D59" s="466">
        <v>6437</v>
      </c>
      <c r="E59" s="466">
        <v>0</v>
      </c>
      <c r="F59" s="466">
        <v>0</v>
      </c>
      <c r="G59" s="466">
        <v>0</v>
      </c>
      <c r="H59" s="466">
        <v>0</v>
      </c>
      <c r="I59" s="466">
        <v>0</v>
      </c>
      <c r="J59" s="466">
        <v>0</v>
      </c>
      <c r="K59" s="1665">
        <f t="shared" ref="K59:K64" si="7">SUM(C59:J59)</f>
        <v>82437</v>
      </c>
      <c r="L59" s="568">
        <v>83191</v>
      </c>
      <c r="M59" s="608"/>
      <c r="N59" s="608"/>
    </row>
    <row r="60" spans="1:14" s="343" customFormat="1" x14ac:dyDescent="0.2">
      <c r="A60" s="1501" t="s">
        <v>463</v>
      </c>
      <c r="B60" s="613">
        <v>2520</v>
      </c>
      <c r="C60" s="466">
        <v>140238</v>
      </c>
      <c r="D60" s="466">
        <v>17730</v>
      </c>
      <c r="E60" s="466">
        <v>53708</v>
      </c>
      <c r="F60" s="466">
        <v>5922</v>
      </c>
      <c r="G60" s="466">
        <v>2496</v>
      </c>
      <c r="H60" s="466">
        <v>12916</v>
      </c>
      <c r="I60" s="466">
        <v>0</v>
      </c>
      <c r="J60" s="466">
        <v>0</v>
      </c>
      <c r="K60" s="1665">
        <f t="shared" si="7"/>
        <v>233010</v>
      </c>
      <c r="L60" s="466">
        <v>218858</v>
      </c>
      <c r="M60" s="608"/>
      <c r="N60" s="608"/>
    </row>
    <row r="61" spans="1:14" s="343" customFormat="1" x14ac:dyDescent="0.2">
      <c r="A61" s="1501" t="s">
        <v>197</v>
      </c>
      <c r="B61" s="613">
        <v>2540</v>
      </c>
      <c r="C61" s="466">
        <v>0</v>
      </c>
      <c r="D61" s="466">
        <v>0</v>
      </c>
      <c r="E61" s="466">
        <v>100197</v>
      </c>
      <c r="F61" s="466">
        <v>0</v>
      </c>
      <c r="G61" s="466">
        <v>0</v>
      </c>
      <c r="H61" s="466">
        <v>0</v>
      </c>
      <c r="I61" s="466">
        <v>0</v>
      </c>
      <c r="J61" s="466">
        <v>0</v>
      </c>
      <c r="K61" s="1665">
        <f t="shared" si="7"/>
        <v>100197</v>
      </c>
      <c r="L61" s="466">
        <v>97811</v>
      </c>
      <c r="M61" s="608"/>
      <c r="N61" s="608"/>
    </row>
    <row r="62" spans="1:14" s="343" customFormat="1" x14ac:dyDescent="0.2">
      <c r="A62" s="1501" t="s">
        <v>953</v>
      </c>
      <c r="B62" s="613">
        <v>2550</v>
      </c>
      <c r="C62" s="466">
        <v>0</v>
      </c>
      <c r="D62" s="466">
        <v>0</v>
      </c>
      <c r="E62" s="466">
        <v>0</v>
      </c>
      <c r="F62" s="466">
        <v>0</v>
      </c>
      <c r="G62" s="466">
        <v>9577</v>
      </c>
      <c r="H62" s="466">
        <v>0</v>
      </c>
      <c r="I62" s="466">
        <v>0</v>
      </c>
      <c r="J62" s="466">
        <v>0</v>
      </c>
      <c r="K62" s="1665">
        <f t="shared" si="7"/>
        <v>9577</v>
      </c>
      <c r="L62" s="466">
        <v>70118</v>
      </c>
      <c r="M62" s="608"/>
      <c r="N62" s="608"/>
    </row>
    <row r="63" spans="1:14" s="608" customFormat="1" x14ac:dyDescent="0.2">
      <c r="A63" s="1501" t="s">
        <v>100</v>
      </c>
      <c r="B63" s="613">
        <v>2560</v>
      </c>
      <c r="C63" s="466">
        <v>277653</v>
      </c>
      <c r="D63" s="466">
        <v>47113</v>
      </c>
      <c r="E63" s="466">
        <v>3394</v>
      </c>
      <c r="F63" s="466">
        <v>479586</v>
      </c>
      <c r="G63" s="466">
        <v>10657</v>
      </c>
      <c r="H63" s="466">
        <v>0</v>
      </c>
      <c r="I63" s="466">
        <v>0</v>
      </c>
      <c r="J63" s="466">
        <v>0</v>
      </c>
      <c r="K63" s="1665">
        <f t="shared" si="7"/>
        <v>818403</v>
      </c>
      <c r="L63" s="466">
        <v>820894</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row>
    <row r="65" spans="1:14" s="343" customFormat="1" ht="12.75" customHeight="1" thickBot="1" x14ac:dyDescent="0.25">
      <c r="A65" s="1661" t="s">
        <v>719</v>
      </c>
      <c r="B65" s="1662" t="s">
        <v>35</v>
      </c>
      <c r="C65" s="1663">
        <f>SUM(C59:C64)</f>
        <v>493891</v>
      </c>
      <c r="D65" s="1663">
        <f t="shared" ref="D65:L65" si="8">SUM(D59:D64)</f>
        <v>71280</v>
      </c>
      <c r="E65" s="1663">
        <f t="shared" si="8"/>
        <v>157299</v>
      </c>
      <c r="F65" s="1663">
        <f t="shared" si="8"/>
        <v>485508</v>
      </c>
      <c r="G65" s="1663">
        <f t="shared" si="8"/>
        <v>22730</v>
      </c>
      <c r="H65" s="1663">
        <f t="shared" si="8"/>
        <v>12916</v>
      </c>
      <c r="I65" s="1663">
        <f t="shared" si="8"/>
        <v>0</v>
      </c>
      <c r="J65" s="1663">
        <f t="shared" si="8"/>
        <v>0</v>
      </c>
      <c r="K65" s="1663">
        <f t="shared" si="8"/>
        <v>1243624</v>
      </c>
      <c r="L65" s="1663">
        <f t="shared" si="8"/>
        <v>1290872</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c r="M68" s="608"/>
      <c r="N68" s="608"/>
    </row>
    <row r="69" spans="1:14" s="343" customFormat="1" x14ac:dyDescent="0.2">
      <c r="A69" s="1501" t="s">
        <v>1061</v>
      </c>
      <c r="B69" s="613">
        <v>2630</v>
      </c>
      <c r="C69" s="466">
        <v>0</v>
      </c>
      <c r="D69" s="466">
        <v>0</v>
      </c>
      <c r="E69" s="466">
        <v>13726</v>
      </c>
      <c r="F69" s="466">
        <v>0</v>
      </c>
      <c r="G69" s="466">
        <v>0</v>
      </c>
      <c r="H69" s="466">
        <v>0</v>
      </c>
      <c r="I69" s="466">
        <v>0</v>
      </c>
      <c r="J69" s="466" t="s">
        <v>1169</v>
      </c>
      <c r="K69" s="1665">
        <f>SUM(C69:J69)</f>
        <v>13726</v>
      </c>
      <c r="L69" s="466">
        <v>22033</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c r="M70" s="608"/>
      <c r="N70" s="608"/>
    </row>
    <row r="71" spans="1:14" s="343" customFormat="1" x14ac:dyDescent="0.2">
      <c r="A71" s="1501" t="s">
        <v>404</v>
      </c>
      <c r="B71" s="613">
        <v>2660</v>
      </c>
      <c r="C71" s="466">
        <v>0</v>
      </c>
      <c r="D71" s="466">
        <v>0</v>
      </c>
      <c r="E71" s="466">
        <v>0</v>
      </c>
      <c r="F71" s="466">
        <v>1811</v>
      </c>
      <c r="G71" s="466">
        <v>0</v>
      </c>
      <c r="H71" s="466">
        <v>0</v>
      </c>
      <c r="I71" s="466">
        <v>0</v>
      </c>
      <c r="J71" s="466">
        <v>0</v>
      </c>
      <c r="K71" s="1665">
        <f>SUM(C71:J71)</f>
        <v>1811</v>
      </c>
      <c r="L71" s="466">
        <v>1810</v>
      </c>
      <c r="M71" s="608"/>
      <c r="N71" s="608"/>
    </row>
    <row r="72" spans="1:14" s="343" customFormat="1" ht="12.75" customHeight="1" thickBot="1" x14ac:dyDescent="0.25">
      <c r="A72" s="1661" t="s">
        <v>37</v>
      </c>
      <c r="B72" s="1668" t="s">
        <v>36</v>
      </c>
      <c r="C72" s="1663">
        <f>SUM(C67:C71)</f>
        <v>0</v>
      </c>
      <c r="D72" s="1663">
        <f t="shared" ref="D72:K72" si="9">SUM(D67:D71)</f>
        <v>0</v>
      </c>
      <c r="E72" s="1663">
        <f t="shared" si="9"/>
        <v>13726</v>
      </c>
      <c r="F72" s="1663">
        <f t="shared" si="9"/>
        <v>1811</v>
      </c>
      <c r="G72" s="1663">
        <f t="shared" si="9"/>
        <v>0</v>
      </c>
      <c r="H72" s="1663">
        <f t="shared" si="9"/>
        <v>0</v>
      </c>
      <c r="I72" s="1663">
        <f t="shared" si="9"/>
        <v>0</v>
      </c>
      <c r="J72" s="1663">
        <f t="shared" si="9"/>
        <v>0</v>
      </c>
      <c r="K72" s="1663">
        <f t="shared" si="9"/>
        <v>15537</v>
      </c>
      <c r="L72" s="1663">
        <f>SUM(L67:L71)</f>
        <v>23843</v>
      </c>
      <c r="M72" s="608"/>
      <c r="N72" s="608"/>
    </row>
    <row r="73" spans="1:14" s="343" customFormat="1" ht="14.25" thickTop="1" thickBot="1" x14ac:dyDescent="0.25">
      <c r="A73" s="1507" t="s">
        <v>980</v>
      </c>
      <c r="B73" s="631" t="s">
        <v>574</v>
      </c>
      <c r="C73" s="466">
        <v>0</v>
      </c>
      <c r="D73" s="466">
        <v>27179</v>
      </c>
      <c r="E73" s="466">
        <v>0</v>
      </c>
      <c r="F73" s="466">
        <v>351</v>
      </c>
      <c r="G73" s="466">
        <v>0</v>
      </c>
      <c r="H73" s="466">
        <v>0</v>
      </c>
      <c r="I73" s="466">
        <v>0</v>
      </c>
      <c r="J73" s="466">
        <v>0</v>
      </c>
      <c r="K73" s="1663">
        <f>SUM(C73:J73)</f>
        <v>27530</v>
      </c>
      <c r="L73" s="575">
        <v>24610</v>
      </c>
      <c r="M73" s="608"/>
      <c r="N73" s="608"/>
    </row>
    <row r="74" spans="1:14" ht="12.75" customHeight="1" thickTop="1" thickBot="1" x14ac:dyDescent="0.25">
      <c r="A74" s="1661" t="s">
        <v>811</v>
      </c>
      <c r="B74" s="1669">
        <v>2000</v>
      </c>
      <c r="C74" s="1670">
        <f>SUM(C42,C47,C53,C57,C65,C72,C73)</f>
        <v>2062251</v>
      </c>
      <c r="D74" s="1670">
        <f t="shared" ref="D74:K74" si="10">SUM(D42,D47,D53,D57,D65,D72,D73)</f>
        <v>373425</v>
      </c>
      <c r="E74" s="1670">
        <f t="shared" si="10"/>
        <v>287141</v>
      </c>
      <c r="F74" s="1670">
        <f t="shared" si="10"/>
        <v>535728</v>
      </c>
      <c r="G74" s="1670">
        <f t="shared" si="10"/>
        <v>27982</v>
      </c>
      <c r="H74" s="1670">
        <f t="shared" si="10"/>
        <v>29621</v>
      </c>
      <c r="I74" s="1670">
        <f t="shared" si="10"/>
        <v>0</v>
      </c>
      <c r="J74" s="1670">
        <f t="shared" si="10"/>
        <v>0</v>
      </c>
      <c r="K74" s="1670">
        <f t="shared" si="10"/>
        <v>3316148</v>
      </c>
      <c r="L74" s="1670">
        <f>SUM(L42,L47,L53,L57,L65,L72,L73)</f>
        <v>3355308</v>
      </c>
    </row>
    <row r="75" spans="1:14" s="259" customFormat="1" ht="15.75" customHeight="1" thickTop="1" thickBot="1" x14ac:dyDescent="0.25">
      <c r="A75" s="1607" t="s">
        <v>47</v>
      </c>
      <c r="B75" s="1608" t="s">
        <v>575</v>
      </c>
      <c r="C75" s="466">
        <v>0</v>
      </c>
      <c r="D75" s="466">
        <v>0</v>
      </c>
      <c r="E75" s="466">
        <v>322</v>
      </c>
      <c r="F75" s="466">
        <v>2777</v>
      </c>
      <c r="G75" s="466">
        <v>0</v>
      </c>
      <c r="H75" s="466">
        <v>0</v>
      </c>
      <c r="I75" s="466">
        <v>0</v>
      </c>
      <c r="J75" s="466">
        <v>0</v>
      </c>
      <c r="K75" s="1663">
        <f>SUM(C75:J75)</f>
        <v>3099</v>
      </c>
      <c r="L75" s="575">
        <v>756</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4">
        <f t="shared" ref="K78:K83" si="11">SUM(C78:J78)</f>
        <v>0</v>
      </c>
      <c r="L78" s="568"/>
    </row>
    <row r="79" spans="1:14" x14ac:dyDescent="0.2">
      <c r="A79" s="1501" t="s">
        <v>304</v>
      </c>
      <c r="B79" s="613">
        <v>4120</v>
      </c>
      <c r="C79" s="615"/>
      <c r="D79" s="615"/>
      <c r="E79" s="466">
        <v>480869</v>
      </c>
      <c r="F79" s="615"/>
      <c r="G79" s="615"/>
      <c r="H79" s="466">
        <v>0</v>
      </c>
      <c r="I79" s="477"/>
      <c r="J79" s="477"/>
      <c r="K79" s="1664">
        <f t="shared" si="11"/>
        <v>480869</v>
      </c>
      <c r="L79" s="466">
        <v>470014</v>
      </c>
    </row>
    <row r="80" spans="1:14" x14ac:dyDescent="0.2">
      <c r="A80" s="1501" t="s">
        <v>305</v>
      </c>
      <c r="B80" s="613">
        <v>4130</v>
      </c>
      <c r="C80" s="615"/>
      <c r="D80" s="615"/>
      <c r="E80" s="466">
        <v>0</v>
      </c>
      <c r="F80" s="615"/>
      <c r="G80" s="615"/>
      <c r="H80" s="466">
        <v>0</v>
      </c>
      <c r="I80" s="477"/>
      <c r="J80" s="477"/>
      <c r="K80" s="1664">
        <f t="shared" si="11"/>
        <v>0</v>
      </c>
      <c r="L80" s="466"/>
    </row>
    <row r="81" spans="1:12" x14ac:dyDescent="0.2">
      <c r="A81" s="1501" t="s">
        <v>697</v>
      </c>
      <c r="B81" s="613">
        <v>4140</v>
      </c>
      <c r="C81" s="615"/>
      <c r="D81" s="615"/>
      <c r="E81" s="466">
        <v>0</v>
      </c>
      <c r="F81" s="615"/>
      <c r="G81" s="615"/>
      <c r="H81" s="466">
        <v>0</v>
      </c>
      <c r="I81" s="477"/>
      <c r="J81" s="477"/>
      <c r="K81" s="1664">
        <f t="shared" si="11"/>
        <v>0</v>
      </c>
      <c r="L81" s="466"/>
    </row>
    <row r="82" spans="1:12" x14ac:dyDescent="0.2">
      <c r="A82" s="1501" t="s">
        <v>86</v>
      </c>
      <c r="B82" s="613">
        <v>4170</v>
      </c>
      <c r="C82" s="615"/>
      <c r="D82" s="615"/>
      <c r="E82" s="466">
        <v>13650</v>
      </c>
      <c r="F82" s="615"/>
      <c r="G82" s="615"/>
      <c r="H82" s="466">
        <v>0</v>
      </c>
      <c r="I82" s="477"/>
      <c r="J82" s="477"/>
      <c r="K82" s="1664">
        <f t="shared" si="11"/>
        <v>13650</v>
      </c>
      <c r="L82" s="466"/>
    </row>
    <row r="83" spans="1:12" x14ac:dyDescent="0.2">
      <c r="A83" s="1505" t="s">
        <v>698</v>
      </c>
      <c r="B83" s="627">
        <v>4190</v>
      </c>
      <c r="C83" s="615"/>
      <c r="D83" s="615"/>
      <c r="E83" s="466">
        <v>0</v>
      </c>
      <c r="F83" s="615"/>
      <c r="G83" s="615"/>
      <c r="H83" s="466">
        <v>3755</v>
      </c>
      <c r="I83" s="477"/>
      <c r="J83" s="477"/>
      <c r="K83" s="1664">
        <f t="shared" si="11"/>
        <v>3755</v>
      </c>
      <c r="L83" s="466">
        <v>7457</v>
      </c>
    </row>
    <row r="84" spans="1:12" ht="13.5" thickBot="1" x14ac:dyDescent="0.25">
      <c r="A84" s="1661" t="s">
        <v>1485</v>
      </c>
      <c r="B84" s="1671">
        <v>4100</v>
      </c>
      <c r="C84" s="615"/>
      <c r="D84" s="615"/>
      <c r="E84" s="1663">
        <f>SUM(E78:E83)</f>
        <v>494519</v>
      </c>
      <c r="F84" s="615"/>
      <c r="G84" s="615"/>
      <c r="H84" s="1663">
        <f>SUM(H78:H83)</f>
        <v>3755</v>
      </c>
      <c r="I84" s="477"/>
      <c r="J84" s="477"/>
      <c r="K84" s="1663">
        <f>SUM(K78:K83)</f>
        <v>498274</v>
      </c>
      <c r="L84" s="1663">
        <f>SUM(L78:L83)</f>
        <v>477471</v>
      </c>
    </row>
    <row r="85" spans="1:12" ht="12.75" customHeight="1" thickTop="1" thickBot="1" x14ac:dyDescent="0.25">
      <c r="A85" s="1508" t="s">
        <v>255</v>
      </c>
      <c r="B85" s="633">
        <v>4210</v>
      </c>
      <c r="C85" s="615"/>
      <c r="D85" s="615"/>
      <c r="E85" s="634"/>
      <c r="F85" s="615"/>
      <c r="G85" s="615"/>
      <c r="H85" s="466">
        <v>0</v>
      </c>
      <c r="I85" s="477"/>
      <c r="J85" s="477"/>
      <c r="K85" s="1670">
        <f>H85</f>
        <v>0</v>
      </c>
      <c r="L85" s="530"/>
    </row>
    <row r="86" spans="1:12" ht="12.75" customHeight="1" thickTop="1" thickBot="1" x14ac:dyDescent="0.25">
      <c r="A86" s="1509" t="s">
        <v>699</v>
      </c>
      <c r="B86" s="635">
        <v>4220</v>
      </c>
      <c r="C86" s="615"/>
      <c r="D86" s="615"/>
      <c r="E86" s="636"/>
      <c r="F86" s="615"/>
      <c r="G86" s="615"/>
      <c r="H86" s="466">
        <v>85836</v>
      </c>
      <c r="I86" s="477"/>
      <c r="J86" s="477"/>
      <c r="K86" s="1670">
        <f t="shared" ref="K86:K98" si="12">H86</f>
        <v>85836</v>
      </c>
      <c r="L86" s="530"/>
    </row>
    <row r="87" spans="1:12" ht="14.25" thickTop="1" thickBot="1" x14ac:dyDescent="0.25">
      <c r="A87" s="1510" t="s">
        <v>700</v>
      </c>
      <c r="B87" s="637">
        <v>4230</v>
      </c>
      <c r="C87" s="615"/>
      <c r="D87" s="615"/>
      <c r="E87" s="636"/>
      <c r="F87" s="615"/>
      <c r="G87" s="615"/>
      <c r="H87" s="466">
        <v>0</v>
      </c>
      <c r="I87" s="477"/>
      <c r="J87" s="477"/>
      <c r="K87" s="1670">
        <f t="shared" si="12"/>
        <v>0</v>
      </c>
      <c r="L87" s="530"/>
    </row>
    <row r="88" spans="1:12" ht="12.75" customHeight="1" thickTop="1" thickBot="1" x14ac:dyDescent="0.25">
      <c r="A88" s="1510" t="s">
        <v>765</v>
      </c>
      <c r="B88" s="637">
        <v>4240</v>
      </c>
      <c r="C88" s="615"/>
      <c r="D88" s="615"/>
      <c r="E88" s="636"/>
      <c r="F88" s="615"/>
      <c r="G88" s="615"/>
      <c r="H88" s="466">
        <v>33634</v>
      </c>
      <c r="I88" s="477"/>
      <c r="J88" s="477"/>
      <c r="K88" s="1670">
        <f t="shared" si="12"/>
        <v>33634</v>
      </c>
      <c r="L88" s="530">
        <v>33634</v>
      </c>
    </row>
    <row r="89" spans="1:12" ht="12.75" customHeight="1" thickTop="1" thickBot="1" x14ac:dyDescent="0.25">
      <c r="A89" s="1510" t="s">
        <v>701</v>
      </c>
      <c r="B89" s="637">
        <v>4270</v>
      </c>
      <c r="C89" s="615"/>
      <c r="D89" s="615"/>
      <c r="E89" s="636"/>
      <c r="F89" s="615"/>
      <c r="G89" s="615"/>
      <c r="H89" s="466">
        <v>0</v>
      </c>
      <c r="I89" s="477"/>
      <c r="J89" s="477"/>
      <c r="K89" s="1670">
        <f t="shared" si="12"/>
        <v>0</v>
      </c>
      <c r="L89" s="530"/>
    </row>
    <row r="90" spans="1:12" ht="12.75" customHeight="1" thickTop="1" thickBot="1" x14ac:dyDescent="0.25">
      <c r="A90" s="1510" t="s">
        <v>686</v>
      </c>
      <c r="B90" s="637">
        <v>4280</v>
      </c>
      <c r="C90" s="615"/>
      <c r="D90" s="615"/>
      <c r="E90" s="636"/>
      <c r="F90" s="615"/>
      <c r="G90" s="615"/>
      <c r="H90" s="466">
        <v>0</v>
      </c>
      <c r="I90" s="477"/>
      <c r="J90" s="477"/>
      <c r="K90" s="1670">
        <f t="shared" si="12"/>
        <v>0</v>
      </c>
      <c r="L90" s="530"/>
    </row>
    <row r="91" spans="1:12" ht="12.75" customHeight="1" thickTop="1" thickBot="1" x14ac:dyDescent="0.25">
      <c r="A91" s="1510" t="s">
        <v>687</v>
      </c>
      <c r="B91" s="637">
        <v>4290</v>
      </c>
      <c r="C91" s="615"/>
      <c r="D91" s="615"/>
      <c r="E91" s="636"/>
      <c r="F91" s="615"/>
      <c r="G91" s="615"/>
      <c r="H91" s="466">
        <v>0</v>
      </c>
      <c r="I91" s="477"/>
      <c r="J91" s="477"/>
      <c r="K91" s="1670">
        <f t="shared" si="12"/>
        <v>0</v>
      </c>
      <c r="L91" s="530"/>
    </row>
    <row r="92" spans="1:12" ht="14.25" thickTop="1" thickBot="1" x14ac:dyDescent="0.25">
      <c r="A92" s="1673" t="s">
        <v>1560</v>
      </c>
      <c r="B92" s="1671">
        <v>4200</v>
      </c>
      <c r="C92" s="615"/>
      <c r="D92" s="615"/>
      <c r="E92" s="636"/>
      <c r="F92" s="615"/>
      <c r="G92" s="615"/>
      <c r="H92" s="1663">
        <f>SUM(H85:H91)</f>
        <v>119470</v>
      </c>
      <c r="I92" s="477"/>
      <c r="J92" s="477"/>
      <c r="K92" s="1670">
        <f t="shared" si="12"/>
        <v>119470</v>
      </c>
      <c r="L92" s="1663">
        <f>SUM(L85:L91)</f>
        <v>33634</v>
      </c>
    </row>
    <row r="93" spans="1:12" ht="14.25" thickTop="1" thickBot="1" x14ac:dyDescent="0.25">
      <c r="A93" s="1509" t="s">
        <v>688</v>
      </c>
      <c r="B93" s="638">
        <v>4310</v>
      </c>
      <c r="C93" s="615"/>
      <c r="D93" s="615"/>
      <c r="E93" s="636"/>
      <c r="F93" s="615"/>
      <c r="G93" s="615"/>
      <c r="H93" s="466">
        <v>0</v>
      </c>
      <c r="I93" s="477"/>
      <c r="J93" s="477"/>
      <c r="K93" s="1670">
        <f t="shared" si="12"/>
        <v>0</v>
      </c>
      <c r="L93" s="532"/>
    </row>
    <row r="94" spans="1:12" ht="12.75" customHeight="1" thickTop="1" thickBot="1" x14ac:dyDescent="0.25">
      <c r="A94" s="1510" t="s">
        <v>689</v>
      </c>
      <c r="B94" s="637">
        <v>4320</v>
      </c>
      <c r="C94" s="615"/>
      <c r="D94" s="615"/>
      <c r="E94" s="636"/>
      <c r="F94" s="615"/>
      <c r="G94" s="615"/>
      <c r="H94" s="466">
        <v>0</v>
      </c>
      <c r="I94" s="477"/>
      <c r="J94" s="477"/>
      <c r="K94" s="1670">
        <f t="shared" si="12"/>
        <v>0</v>
      </c>
      <c r="L94" s="530"/>
    </row>
    <row r="95" spans="1:12" ht="15" customHeight="1" thickTop="1" thickBot="1" x14ac:dyDescent="0.25">
      <c r="A95" s="1510" t="s">
        <v>1488</v>
      </c>
      <c r="B95" s="637">
        <v>4330</v>
      </c>
      <c r="C95" s="615"/>
      <c r="D95" s="615"/>
      <c r="E95" s="636"/>
      <c r="F95" s="615"/>
      <c r="G95" s="615"/>
      <c r="H95" s="466">
        <v>0</v>
      </c>
      <c r="I95" s="477"/>
      <c r="J95" s="477"/>
      <c r="K95" s="1670">
        <f t="shared" si="12"/>
        <v>0</v>
      </c>
      <c r="L95" s="530"/>
    </row>
    <row r="96" spans="1:12" ht="14.25" thickTop="1" thickBot="1" x14ac:dyDescent="0.25">
      <c r="A96" s="1510" t="s">
        <v>690</v>
      </c>
      <c r="B96" s="637">
        <v>4340</v>
      </c>
      <c r="C96" s="615"/>
      <c r="D96" s="615"/>
      <c r="E96" s="636"/>
      <c r="F96" s="615"/>
      <c r="G96" s="615"/>
      <c r="H96" s="466">
        <v>0</v>
      </c>
      <c r="I96" s="477"/>
      <c r="J96" s="477"/>
      <c r="K96" s="1670">
        <f t="shared" si="12"/>
        <v>0</v>
      </c>
      <c r="L96" s="530"/>
    </row>
    <row r="97" spans="1:14" ht="12.75" customHeight="1" thickTop="1" thickBot="1" x14ac:dyDescent="0.25">
      <c r="A97" s="1510" t="s">
        <v>763</v>
      </c>
      <c r="B97" s="637">
        <v>4370</v>
      </c>
      <c r="C97" s="615"/>
      <c r="D97" s="615"/>
      <c r="E97" s="636"/>
      <c r="F97" s="615"/>
      <c r="G97" s="615"/>
      <c r="H97" s="466">
        <v>0</v>
      </c>
      <c r="I97" s="477"/>
      <c r="J97" s="477"/>
      <c r="K97" s="1670">
        <f t="shared" si="12"/>
        <v>0</v>
      </c>
      <c r="L97" s="530"/>
    </row>
    <row r="98" spans="1:14" ht="14.25" thickTop="1" thickBot="1" x14ac:dyDescent="0.25">
      <c r="A98" s="1510" t="s">
        <v>764</v>
      </c>
      <c r="B98" s="637">
        <v>4380</v>
      </c>
      <c r="C98" s="615"/>
      <c r="D98" s="615"/>
      <c r="E98" s="640"/>
      <c r="F98" s="615"/>
      <c r="G98" s="615"/>
      <c r="H98" s="466">
        <v>0</v>
      </c>
      <c r="I98" s="477"/>
      <c r="J98" s="477"/>
      <c r="K98" s="1670">
        <f t="shared" si="12"/>
        <v>0</v>
      </c>
      <c r="L98" s="530"/>
    </row>
    <row r="99" spans="1:14" ht="14.25" thickTop="1" thickBot="1" x14ac:dyDescent="0.25">
      <c r="A99" s="1510" t="s">
        <v>367</v>
      </c>
      <c r="B99" s="637">
        <v>4390</v>
      </c>
      <c r="C99" s="615"/>
      <c r="D99" s="615"/>
      <c r="E99" s="466">
        <v>0</v>
      </c>
      <c r="F99" s="615"/>
      <c r="G99" s="615"/>
      <c r="H99" s="466">
        <v>0</v>
      </c>
      <c r="I99" s="477"/>
      <c r="J99" s="477"/>
      <c r="K99" s="1670">
        <f>SUM(E99,H99)</f>
        <v>0</v>
      </c>
      <c r="L99" s="530"/>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row>
    <row r="102" spans="1:14" ht="12.75" customHeight="1" thickTop="1" thickBot="1" x14ac:dyDescent="0.25">
      <c r="A102" s="1661" t="s">
        <v>1487</v>
      </c>
      <c r="B102" s="1671">
        <v>4000</v>
      </c>
      <c r="C102" s="615"/>
      <c r="D102" s="615"/>
      <c r="E102" s="1670">
        <f>SUM(E84,E92,E100,E101)</f>
        <v>494519</v>
      </c>
      <c r="F102" s="615"/>
      <c r="G102" s="615"/>
      <c r="H102" s="1670">
        <f>SUM(H84,H92,H100,H101)</f>
        <v>123225</v>
      </c>
      <c r="I102" s="477"/>
      <c r="J102" s="477"/>
      <c r="K102" s="1670">
        <f>SUM(K84,K92,K100,K101)</f>
        <v>617744</v>
      </c>
      <c r="L102" s="1670">
        <f>SUM(L84,L92,L100,L101)</f>
        <v>511105</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c r="M113" s="612"/>
      <c r="N113" s="612"/>
    </row>
    <row r="114" spans="1:14" ht="12.75" customHeight="1" thickTop="1" thickBot="1" x14ac:dyDescent="0.25">
      <c r="A114" s="1661" t="s">
        <v>48</v>
      </c>
      <c r="B114" s="1675"/>
      <c r="C114" s="1663">
        <f>SUM(C33,C74,C75,C102,C112,C113)</f>
        <v>10721083</v>
      </c>
      <c r="D114" s="1663">
        <f t="shared" ref="D114:K114" si="13">SUM(D33,D74,D75,D102,D112,D113)</f>
        <v>1769051</v>
      </c>
      <c r="E114" s="1663">
        <f t="shared" si="13"/>
        <v>949621</v>
      </c>
      <c r="F114" s="1663">
        <f t="shared" si="13"/>
        <v>1031180</v>
      </c>
      <c r="G114" s="1663">
        <f t="shared" si="13"/>
        <v>308611</v>
      </c>
      <c r="H114" s="1663">
        <f>SUM(H33,H74,H75,H102,H112,H113)</f>
        <v>868402</v>
      </c>
      <c r="I114" s="1663">
        <f t="shared" si="13"/>
        <v>0</v>
      </c>
      <c r="J114" s="1663">
        <f t="shared" si="13"/>
        <v>0</v>
      </c>
      <c r="K114" s="1663">
        <f t="shared" si="13"/>
        <v>15647948</v>
      </c>
      <c r="L114" s="1663">
        <f>SUM(L33,L74,L75,L102,L112,L113)</f>
        <v>15794423</v>
      </c>
    </row>
    <row r="115" spans="1:14" ht="13.5" thickTop="1" x14ac:dyDescent="0.2">
      <c r="A115" s="2171" t="s">
        <v>996</v>
      </c>
      <c r="B115" s="2172"/>
      <c r="C115" s="617"/>
      <c r="D115" s="617"/>
      <c r="E115" s="617"/>
      <c r="F115" s="617"/>
      <c r="G115" s="617"/>
      <c r="H115" s="617"/>
      <c r="I115" s="617"/>
      <c r="J115" s="617"/>
      <c r="K115" s="1677">
        <f>'Revenues 9-14'!C268-'Expenditures 15-22'!K114</f>
        <v>-933712</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6" t="s">
        <v>296</v>
      </c>
      <c r="B117" s="2177"/>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2053</v>
      </c>
      <c r="B120" s="627" t="s">
        <v>716</v>
      </c>
      <c r="C120" s="466">
        <v>0</v>
      </c>
      <c r="D120" s="466">
        <v>0</v>
      </c>
      <c r="E120" s="466">
        <v>0</v>
      </c>
      <c r="F120" s="466">
        <v>0</v>
      </c>
      <c r="G120" s="466">
        <v>0</v>
      </c>
      <c r="H120" s="466">
        <v>0</v>
      </c>
      <c r="I120" s="466">
        <v>0</v>
      </c>
      <c r="J120" s="466">
        <v>0</v>
      </c>
      <c r="K120" s="1664">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row>
    <row r="124" spans="1:14" ht="14.25" thickTop="1" thickBot="1" x14ac:dyDescent="0.25">
      <c r="A124" s="1501" t="s">
        <v>197</v>
      </c>
      <c r="B124" s="613">
        <v>2540</v>
      </c>
      <c r="C124" s="466">
        <v>666092</v>
      </c>
      <c r="D124" s="466">
        <v>128008</v>
      </c>
      <c r="E124" s="466">
        <v>129497</v>
      </c>
      <c r="F124" s="466">
        <v>594533</v>
      </c>
      <c r="G124" s="466">
        <v>194164</v>
      </c>
      <c r="H124" s="466">
        <v>15</v>
      </c>
      <c r="I124" s="466">
        <v>0</v>
      </c>
      <c r="J124" s="466">
        <v>0</v>
      </c>
      <c r="K124" s="1663">
        <f>SUM(C124:J124)</f>
        <v>1712309</v>
      </c>
      <c r="L124" s="466">
        <v>1723569</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row>
    <row r="126" spans="1:14" ht="14.25" thickTop="1" thickBot="1" x14ac:dyDescent="0.25">
      <c r="A126" s="1501" t="s">
        <v>100</v>
      </c>
      <c r="B126" s="613">
        <v>2560</v>
      </c>
      <c r="C126" s="652"/>
      <c r="D126" s="652"/>
      <c r="E126" s="652"/>
      <c r="F126" s="652"/>
      <c r="G126" s="466">
        <v>0</v>
      </c>
      <c r="H126" s="652"/>
      <c r="I126" s="466">
        <v>0</v>
      </c>
      <c r="J126" s="615"/>
      <c r="K126" s="1663">
        <f>SUM(C126:J126)</f>
        <v>0</v>
      </c>
      <c r="L126" s="466"/>
    </row>
    <row r="127" spans="1:14" ht="12.75" customHeight="1" thickTop="1" thickBot="1" x14ac:dyDescent="0.25">
      <c r="A127" s="1661" t="s">
        <v>719</v>
      </c>
      <c r="B127" s="1662" t="s">
        <v>35</v>
      </c>
      <c r="C127" s="1663">
        <f>SUM(C122:C126)</f>
        <v>666092</v>
      </c>
      <c r="D127" s="1663">
        <f t="shared" ref="D127:L127" si="14">SUM(D122:D126)</f>
        <v>128008</v>
      </c>
      <c r="E127" s="1663">
        <f t="shared" si="14"/>
        <v>129497</v>
      </c>
      <c r="F127" s="1663">
        <f t="shared" si="14"/>
        <v>594533</v>
      </c>
      <c r="G127" s="1663">
        <f t="shared" si="14"/>
        <v>194164</v>
      </c>
      <c r="H127" s="1663">
        <f t="shared" si="14"/>
        <v>15</v>
      </c>
      <c r="I127" s="1663">
        <f t="shared" si="14"/>
        <v>0</v>
      </c>
      <c r="J127" s="1663">
        <f t="shared" si="14"/>
        <v>0</v>
      </c>
      <c r="K127" s="1663">
        <f t="shared" si="14"/>
        <v>1712309</v>
      </c>
      <c r="L127" s="1663">
        <f t="shared" si="14"/>
        <v>1723569</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row>
    <row r="129" spans="1:14" ht="12.75" customHeight="1" thickBot="1" x14ac:dyDescent="0.25">
      <c r="A129" s="1679" t="s">
        <v>811</v>
      </c>
      <c r="B129" s="1680" t="s">
        <v>569</v>
      </c>
      <c r="C129" s="1670">
        <f>SUM(C120,C127,C128)</f>
        <v>666092</v>
      </c>
      <c r="D129" s="1670">
        <f t="shared" ref="D129:L129" si="15">SUM(D120,D127,D128)</f>
        <v>128008</v>
      </c>
      <c r="E129" s="1670">
        <f t="shared" si="15"/>
        <v>129497</v>
      </c>
      <c r="F129" s="1670">
        <f t="shared" si="15"/>
        <v>594533</v>
      </c>
      <c r="G129" s="1670">
        <f t="shared" si="15"/>
        <v>194164</v>
      </c>
      <c r="H129" s="1670">
        <f t="shared" si="15"/>
        <v>15</v>
      </c>
      <c r="I129" s="1670">
        <f t="shared" si="15"/>
        <v>0</v>
      </c>
      <c r="J129" s="1670">
        <f t="shared" si="15"/>
        <v>0</v>
      </c>
      <c r="K129" s="1670">
        <f t="shared" si="15"/>
        <v>1712309</v>
      </c>
      <c r="L129" s="1670">
        <f t="shared" si="15"/>
        <v>1723569</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1839</v>
      </c>
      <c r="C133" s="468"/>
      <c r="D133" s="468"/>
      <c r="E133" s="466" t="s">
        <v>1169</v>
      </c>
      <c r="F133" s="468"/>
      <c r="G133" s="468"/>
      <c r="H133" s="466" t="s">
        <v>1169</v>
      </c>
      <c r="I133" s="468"/>
      <c r="J133" s="468"/>
      <c r="K133" s="1814">
        <f>SUM(E133,H133)</f>
        <v>0</v>
      </c>
      <c r="L133" s="639"/>
      <c r="M133" s="206"/>
      <c r="N133" s="206"/>
    </row>
    <row r="134" spans="1:14" x14ac:dyDescent="0.2">
      <c r="A134" s="1501" t="s">
        <v>304</v>
      </c>
      <c r="B134" s="613">
        <v>4120</v>
      </c>
      <c r="C134" s="615"/>
      <c r="D134" s="615"/>
      <c r="E134" s="466">
        <v>0</v>
      </c>
      <c r="F134" s="615"/>
      <c r="G134" s="615"/>
      <c r="H134" s="466">
        <v>0</v>
      </c>
      <c r="I134" s="477"/>
      <c r="J134" s="615"/>
      <c r="K134" s="1665">
        <f>SUM(E134,H134)</f>
        <v>0</v>
      </c>
      <c r="L134" s="568"/>
    </row>
    <row r="135" spans="1:14" x14ac:dyDescent="0.2">
      <c r="A135" s="1501" t="s">
        <v>697</v>
      </c>
      <c r="B135" s="613">
        <v>4140</v>
      </c>
      <c r="C135" s="615"/>
      <c r="D135" s="615"/>
      <c r="E135" s="466">
        <v>0</v>
      </c>
      <c r="F135" s="615"/>
      <c r="G135" s="615"/>
      <c r="H135" s="466">
        <v>0</v>
      </c>
      <c r="I135" s="477"/>
      <c r="J135" s="615"/>
      <c r="K135" s="1665">
        <f>SUM(E135,H135)</f>
        <v>0</v>
      </c>
      <c r="L135" s="466"/>
    </row>
    <row r="136" spans="1:14" x14ac:dyDescent="0.2">
      <c r="A136" s="1505" t="s">
        <v>698</v>
      </c>
      <c r="B136" s="627">
        <v>4190</v>
      </c>
      <c r="C136" s="615"/>
      <c r="D136" s="615"/>
      <c r="E136" s="466">
        <v>0</v>
      </c>
      <c r="F136" s="615"/>
      <c r="G136" s="615"/>
      <c r="H136" s="466">
        <v>0</v>
      </c>
      <c r="I136" s="477"/>
      <c r="J136" s="615"/>
      <c r="K136" s="1665">
        <f>SUM(E136,H136)</f>
        <v>0</v>
      </c>
      <c r="L136" s="466"/>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row>
    <row r="143" spans="1:14" x14ac:dyDescent="0.2">
      <c r="A143" s="1501" t="s">
        <v>88</v>
      </c>
      <c r="B143" s="613">
        <v>5120</v>
      </c>
      <c r="C143" s="615"/>
      <c r="D143" s="615"/>
      <c r="E143" s="615"/>
      <c r="F143" s="615"/>
      <c r="G143" s="615"/>
      <c r="H143" s="466">
        <v>0</v>
      </c>
      <c r="I143" s="468"/>
      <c r="J143" s="615"/>
      <c r="K143" s="1665">
        <f>SUM(H143)</f>
        <v>0</v>
      </c>
      <c r="L143" s="466"/>
    </row>
    <row r="144" spans="1:14" ht="12.75" customHeight="1" x14ac:dyDescent="0.2">
      <c r="A144" s="1501" t="s">
        <v>1170</v>
      </c>
      <c r="B144" s="627" t="s">
        <v>617</v>
      </c>
      <c r="C144" s="615"/>
      <c r="D144" s="615"/>
      <c r="E144" s="615"/>
      <c r="F144" s="615"/>
      <c r="G144" s="615"/>
      <c r="H144" s="466">
        <v>0</v>
      </c>
      <c r="I144" s="468"/>
      <c r="J144" s="615"/>
      <c r="K144" s="1665">
        <f>SUM(H144)</f>
        <v>0</v>
      </c>
      <c r="L144" s="466"/>
    </row>
    <row r="145" spans="1:14" x14ac:dyDescent="0.2">
      <c r="A145" s="1501" t="s">
        <v>89</v>
      </c>
      <c r="B145" s="613" t="s">
        <v>589</v>
      </c>
      <c r="C145" s="615"/>
      <c r="D145" s="615"/>
      <c r="E145" s="615"/>
      <c r="F145" s="615"/>
      <c r="G145" s="615"/>
      <c r="H145" s="466">
        <v>0</v>
      </c>
      <c r="I145" s="468"/>
      <c r="J145" s="615"/>
      <c r="K145" s="1665">
        <f>SUM(H145)</f>
        <v>0</v>
      </c>
      <c r="L145" s="466"/>
    </row>
    <row r="146" spans="1:14" ht="12.75" customHeight="1" x14ac:dyDescent="0.2">
      <c r="A146" s="1501" t="s">
        <v>619</v>
      </c>
      <c r="B146" s="613" t="s">
        <v>618</v>
      </c>
      <c r="C146" s="615"/>
      <c r="D146" s="615"/>
      <c r="E146" s="615"/>
      <c r="F146" s="615"/>
      <c r="G146" s="615"/>
      <c r="H146" s="466">
        <v>0</v>
      </c>
      <c r="I146" s="468"/>
      <c r="J146" s="615"/>
      <c r="K146" s="1665">
        <f>SUM(H146)</f>
        <v>0</v>
      </c>
      <c r="L146" s="466"/>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row>
    <row r="151" spans="1:14" ht="12.75" customHeight="1" thickTop="1" thickBot="1" x14ac:dyDescent="0.25">
      <c r="A151" s="2188" t="s">
        <v>620</v>
      </c>
      <c r="B151" s="2168"/>
      <c r="C151" s="1663">
        <f>SUM(C129,C130,C139,C149,C150)</f>
        <v>666092</v>
      </c>
      <c r="D151" s="1663">
        <f t="shared" ref="D151:K151" si="16">SUM(D129,D130,D139,D149,D150)</f>
        <v>128008</v>
      </c>
      <c r="E151" s="1663">
        <f t="shared" si="16"/>
        <v>129497</v>
      </c>
      <c r="F151" s="1663">
        <f t="shared" si="16"/>
        <v>594533</v>
      </c>
      <c r="G151" s="1663">
        <f t="shared" si="16"/>
        <v>194164</v>
      </c>
      <c r="H151" s="1663">
        <f t="shared" si="16"/>
        <v>15</v>
      </c>
      <c r="I151" s="1663">
        <f t="shared" si="16"/>
        <v>0</v>
      </c>
      <c r="J151" s="1663">
        <f t="shared" si="16"/>
        <v>0</v>
      </c>
      <c r="K151" s="1663">
        <f t="shared" si="16"/>
        <v>1712309</v>
      </c>
      <c r="L151" s="1663">
        <f>SUM(L129,L130,L139,L149,L150)</f>
        <v>1723569</v>
      </c>
    </row>
    <row r="152" spans="1:14" ht="12.75" customHeight="1" thickTop="1" x14ac:dyDescent="0.2">
      <c r="A152" s="2191" t="s">
        <v>1178</v>
      </c>
      <c r="B152" s="2192"/>
      <c r="C152" s="617"/>
      <c r="D152" s="617"/>
      <c r="E152" s="617"/>
      <c r="F152" s="617"/>
      <c r="G152" s="617"/>
      <c r="H152" s="617"/>
      <c r="I152" s="617"/>
      <c r="J152" s="615"/>
      <c r="K152" s="1677">
        <f>'Revenues 9-14'!D268-'Expenditures 15-22'!K151</f>
        <v>584151</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6" t="s">
        <v>621</v>
      </c>
      <c r="B154" s="2178"/>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1840</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1839</v>
      </c>
      <c r="C157" s="615"/>
      <c r="D157" s="615"/>
      <c r="E157" s="615"/>
      <c r="F157" s="615"/>
      <c r="G157" s="615"/>
      <c r="H157" s="639" t="s">
        <v>1169</v>
      </c>
      <c r="I157" s="615"/>
      <c r="J157" s="615"/>
      <c r="K157" s="1664" t="str">
        <f>H157</f>
        <v xml:space="preserve"> </v>
      </c>
      <c r="L157" s="467"/>
      <c r="M157" s="618"/>
      <c r="N157" s="618"/>
    </row>
    <row r="158" spans="1:14" s="619" customFormat="1" ht="12" x14ac:dyDescent="0.2">
      <c r="A158" s="1819" t="s">
        <v>304</v>
      </c>
      <c r="B158" s="1820" t="s">
        <v>1841</v>
      </c>
      <c r="C158" s="615"/>
      <c r="D158" s="615"/>
      <c r="E158" s="615"/>
      <c r="F158" s="615"/>
      <c r="G158" s="615"/>
      <c r="H158" s="467" t="s">
        <v>1169</v>
      </c>
      <c r="I158" s="615"/>
      <c r="J158" s="615"/>
      <c r="K158" s="1664" t="str">
        <f>H158</f>
        <v xml:space="preserve"> </v>
      </c>
      <c r="L158" s="467"/>
      <c r="M158" s="618"/>
      <c r="N158" s="618"/>
    </row>
    <row r="159" spans="1:14" s="619" customFormat="1" ht="12" x14ac:dyDescent="0.2">
      <c r="A159" s="1819" t="s">
        <v>1842</v>
      </c>
      <c r="B159" s="1820" t="s">
        <v>558</v>
      </c>
      <c r="C159" s="615"/>
      <c r="D159" s="615"/>
      <c r="E159" s="615"/>
      <c r="F159" s="615"/>
      <c r="G159" s="615"/>
      <c r="H159" s="467" t="s">
        <v>1169</v>
      </c>
      <c r="I159" s="615"/>
      <c r="J159" s="615"/>
      <c r="K159" s="1664" t="str">
        <f>H159</f>
        <v xml:space="preserve"> </v>
      </c>
      <c r="L159" s="467"/>
      <c r="M159" s="618"/>
      <c r="N159" s="618"/>
    </row>
    <row r="160" spans="1:14" s="619" customFormat="1" ht="15.75" customHeight="1" thickBot="1" x14ac:dyDescent="0.25">
      <c r="A160" s="1821" t="s">
        <v>1843</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row>
    <row r="164" spans="1:14" x14ac:dyDescent="0.2">
      <c r="A164" s="1501" t="s">
        <v>88</v>
      </c>
      <c r="B164" s="613">
        <v>5120</v>
      </c>
      <c r="C164" s="615"/>
      <c r="D164" s="615"/>
      <c r="E164" s="615"/>
      <c r="F164" s="615"/>
      <c r="G164" s="615"/>
      <c r="H164" s="466">
        <v>0</v>
      </c>
      <c r="I164" s="615"/>
      <c r="J164" s="615"/>
      <c r="K164" s="1664">
        <f>SUM(C164:J164)</f>
        <v>0</v>
      </c>
      <c r="L164" s="466"/>
    </row>
    <row r="165" spans="1:14" ht="12.75" customHeight="1" x14ac:dyDescent="0.2">
      <c r="A165" s="1501" t="s">
        <v>1170</v>
      </c>
      <c r="B165" s="613" t="s">
        <v>617</v>
      </c>
      <c r="C165" s="615"/>
      <c r="D165" s="615"/>
      <c r="E165" s="615"/>
      <c r="F165" s="615"/>
      <c r="G165" s="615"/>
      <c r="H165" s="466">
        <v>0</v>
      </c>
      <c r="I165" s="615"/>
      <c r="J165" s="615"/>
      <c r="K165" s="1664">
        <f>SUM(C165:J165)</f>
        <v>0</v>
      </c>
      <c r="L165" s="466"/>
    </row>
    <row r="166" spans="1:14" x14ac:dyDescent="0.2">
      <c r="A166" s="1501" t="s">
        <v>89</v>
      </c>
      <c r="B166" s="627" t="s">
        <v>589</v>
      </c>
      <c r="C166" s="615"/>
      <c r="D166" s="615"/>
      <c r="E166" s="615"/>
      <c r="F166" s="615"/>
      <c r="G166" s="615"/>
      <c r="H166" s="466">
        <v>0</v>
      </c>
      <c r="I166" s="615"/>
      <c r="J166" s="615"/>
      <c r="K166" s="1664">
        <f>SUM(C166:J166)</f>
        <v>0</v>
      </c>
      <c r="L166" s="466"/>
    </row>
    <row r="167" spans="1:14" ht="12.75" customHeight="1" x14ac:dyDescent="0.2">
      <c r="A167" s="1501" t="s">
        <v>619</v>
      </c>
      <c r="B167" s="613" t="s">
        <v>618</v>
      </c>
      <c r="C167" s="615"/>
      <c r="D167" s="615"/>
      <c r="E167" s="615"/>
      <c r="F167" s="615"/>
      <c r="G167" s="615"/>
      <c r="H167" s="466">
        <v>0</v>
      </c>
      <c r="I167" s="615"/>
      <c r="J167" s="615"/>
      <c r="K167" s="1664">
        <f>SUM(C167:J167)</f>
        <v>0</v>
      </c>
      <c r="L167" s="466"/>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496758</v>
      </c>
      <c r="I169" s="615"/>
      <c r="J169" s="615"/>
      <c r="K169" s="1664">
        <f>SUM(C169:H169)</f>
        <v>496758</v>
      </c>
      <c r="L169" s="654">
        <v>506432</v>
      </c>
    </row>
    <row r="170" spans="1:14" ht="33.75" customHeight="1" x14ac:dyDescent="0.2">
      <c r="A170" s="667" t="s">
        <v>1670</v>
      </c>
      <c r="B170" s="669" t="s">
        <v>31</v>
      </c>
      <c r="C170" s="615"/>
      <c r="D170" s="615"/>
      <c r="E170" s="615"/>
      <c r="F170" s="615"/>
      <c r="G170" s="615"/>
      <c r="H170" s="568">
        <v>1827644</v>
      </c>
      <c r="I170" s="615"/>
      <c r="J170" s="615"/>
      <c r="K170" s="1664">
        <f>SUM(C170:J170)</f>
        <v>1827644</v>
      </c>
      <c r="L170" s="568">
        <v>1586000</v>
      </c>
    </row>
    <row r="171" spans="1:14" ht="15.75" customHeight="1" x14ac:dyDescent="0.2">
      <c r="A171" s="620" t="s">
        <v>766</v>
      </c>
      <c r="B171" s="670" t="s">
        <v>84</v>
      </c>
      <c r="C171" s="615"/>
      <c r="D171" s="615"/>
      <c r="E171" s="466">
        <v>1400</v>
      </c>
      <c r="F171" s="615"/>
      <c r="G171" s="615"/>
      <c r="H171" s="568">
        <v>0</v>
      </c>
      <c r="I171" s="477"/>
      <c r="J171" s="615"/>
      <c r="K171" s="1664">
        <f>SUM(C171:J171)</f>
        <v>1400</v>
      </c>
      <c r="L171" s="568"/>
    </row>
    <row r="172" spans="1:14" ht="12.75" customHeight="1" thickBot="1" x14ac:dyDescent="0.25">
      <c r="A172" s="1661" t="s">
        <v>638</v>
      </c>
      <c r="B172" s="1662" t="s">
        <v>492</v>
      </c>
      <c r="C172" s="615"/>
      <c r="D172" s="615"/>
      <c r="E172" s="1670">
        <f>SUM(E168,E169,E170,E171)</f>
        <v>1400</v>
      </c>
      <c r="F172" s="615"/>
      <c r="G172" s="615"/>
      <c r="H172" s="1670">
        <f>SUM(H168,H169,H170,H171)</f>
        <v>2324402</v>
      </c>
      <c r="I172" s="636"/>
      <c r="J172" s="615"/>
      <c r="K172" s="1670">
        <f>SUM(K168,K169,K170,K171)</f>
        <v>2325802</v>
      </c>
      <c r="L172" s="1670">
        <f>SUM(L168,L169,L170,L171)</f>
        <v>2092432</v>
      </c>
    </row>
    <row r="173" spans="1:14" ht="15.75" customHeight="1" thickTop="1" thickBot="1" x14ac:dyDescent="0.25">
      <c r="A173" s="1616" t="s">
        <v>85</v>
      </c>
      <c r="B173" s="1608" t="s">
        <v>861</v>
      </c>
      <c r="C173" s="615"/>
      <c r="D173" s="615"/>
      <c r="E173" s="622"/>
      <c r="F173" s="615"/>
      <c r="G173" s="615"/>
      <c r="H173" s="625"/>
      <c r="I173" s="636"/>
      <c r="J173" s="615"/>
      <c r="K173" s="622"/>
      <c r="L173" s="575"/>
    </row>
    <row r="174" spans="1:14" ht="12.75" customHeight="1" thickTop="1" thickBot="1" x14ac:dyDescent="0.25">
      <c r="A174" s="1682" t="s">
        <v>90</v>
      </c>
      <c r="B174" s="1683"/>
      <c r="C174" s="615"/>
      <c r="D174" s="615"/>
      <c r="E174" s="1670">
        <f>SUM(E172,E173)</f>
        <v>1400</v>
      </c>
      <c r="F174" s="615"/>
      <c r="G174" s="615"/>
      <c r="H174" s="1670">
        <f>SUM(H160,H172,H173)</f>
        <v>2324402</v>
      </c>
      <c r="I174" s="636"/>
      <c r="J174" s="615"/>
      <c r="K174" s="1670">
        <f>SUM(K160,K172,K173)</f>
        <v>2325802</v>
      </c>
      <c r="L174" s="1670">
        <f>SUM(L160,L172,L173)</f>
        <v>2092432</v>
      </c>
    </row>
    <row r="175" spans="1:14" ht="13.5" thickTop="1" x14ac:dyDescent="0.2">
      <c r="A175" s="2171" t="s">
        <v>996</v>
      </c>
      <c r="B175" s="2172"/>
      <c r="C175" s="615"/>
      <c r="D175" s="615"/>
      <c r="E175" s="615"/>
      <c r="F175" s="615"/>
      <c r="G175" s="615"/>
      <c r="H175" s="617"/>
      <c r="I175" s="615"/>
      <c r="J175" s="615"/>
      <c r="K175" s="1677">
        <f>'Revenues 9-14'!E268-'Expenditures 15-22'!K174</f>
        <v>-177358</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2053</v>
      </c>
      <c r="B180" s="613" t="s">
        <v>716</v>
      </c>
      <c r="C180" s="466">
        <v>0</v>
      </c>
      <c r="D180" s="466">
        <v>0</v>
      </c>
      <c r="E180" s="466">
        <v>0</v>
      </c>
      <c r="F180" s="466">
        <v>0</v>
      </c>
      <c r="G180" s="466">
        <v>0</v>
      </c>
      <c r="H180" s="466">
        <v>0</v>
      </c>
      <c r="I180" s="466">
        <v>0</v>
      </c>
      <c r="J180" s="466">
        <v>0</v>
      </c>
      <c r="K180" s="1664">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669571</v>
      </c>
      <c r="D182" s="466">
        <v>88436</v>
      </c>
      <c r="E182" s="466">
        <v>10168</v>
      </c>
      <c r="F182" s="466">
        <v>160780</v>
      </c>
      <c r="G182" s="466">
        <v>0</v>
      </c>
      <c r="H182" s="466">
        <v>2414</v>
      </c>
      <c r="I182" s="466">
        <v>0</v>
      </c>
      <c r="J182" s="466">
        <v>0</v>
      </c>
      <c r="K182" s="1664">
        <f>SUM(C182:J182)</f>
        <v>931369</v>
      </c>
      <c r="L182" s="466">
        <v>1137372</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row>
    <row r="184" spans="1:14" ht="12.75" customHeight="1" thickTop="1" thickBot="1" x14ac:dyDescent="0.25">
      <c r="A184" s="1684" t="s">
        <v>811</v>
      </c>
      <c r="B184" s="1662" t="s">
        <v>569</v>
      </c>
      <c r="C184" s="1670">
        <f>SUM(C180,C182,C183)</f>
        <v>669571</v>
      </c>
      <c r="D184" s="1670">
        <f t="shared" ref="D184:J184" si="17">SUM(D180,D182,D183)</f>
        <v>88436</v>
      </c>
      <c r="E184" s="1670">
        <f t="shared" si="17"/>
        <v>10168</v>
      </c>
      <c r="F184" s="1670">
        <f t="shared" si="17"/>
        <v>160780</v>
      </c>
      <c r="G184" s="1670">
        <f t="shared" si="17"/>
        <v>0</v>
      </c>
      <c r="H184" s="1670">
        <f t="shared" si="17"/>
        <v>2414</v>
      </c>
      <c r="I184" s="1670">
        <f t="shared" si="17"/>
        <v>0</v>
      </c>
      <c r="J184" s="1670">
        <f t="shared" si="17"/>
        <v>0</v>
      </c>
      <c r="K184" s="1670">
        <f>SUM(K180,K182,K183)</f>
        <v>931369</v>
      </c>
      <c r="L184" s="1670">
        <f>SUM(L180, L182:L183)</f>
        <v>1137372</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row>
    <row r="189" spans="1:14" x14ac:dyDescent="0.2">
      <c r="A189" s="1501" t="s">
        <v>304</v>
      </c>
      <c r="B189" s="613">
        <v>4120</v>
      </c>
      <c r="C189" s="615"/>
      <c r="D189" s="615"/>
      <c r="E189" s="466">
        <v>0</v>
      </c>
      <c r="F189" s="615"/>
      <c r="G189" s="615"/>
      <c r="H189" s="466">
        <v>0</v>
      </c>
      <c r="I189" s="477"/>
      <c r="J189" s="615"/>
      <c r="K189" s="1664">
        <f t="shared" si="18"/>
        <v>0</v>
      </c>
      <c r="L189" s="466"/>
    </row>
    <row r="190" spans="1:14" x14ac:dyDescent="0.2">
      <c r="A190" s="1501" t="s">
        <v>305</v>
      </c>
      <c r="B190" s="627">
        <v>4130</v>
      </c>
      <c r="C190" s="615"/>
      <c r="D190" s="615"/>
      <c r="E190" s="466">
        <v>0</v>
      </c>
      <c r="F190" s="615"/>
      <c r="G190" s="615"/>
      <c r="H190" s="466">
        <v>0</v>
      </c>
      <c r="I190" s="477"/>
      <c r="J190" s="615"/>
      <c r="K190" s="1664">
        <f t="shared" si="18"/>
        <v>0</v>
      </c>
      <c r="L190" s="466"/>
    </row>
    <row r="191" spans="1:14" x14ac:dyDescent="0.2">
      <c r="A191" s="1501" t="s">
        <v>697</v>
      </c>
      <c r="B191" s="613">
        <v>4140</v>
      </c>
      <c r="C191" s="615"/>
      <c r="D191" s="615"/>
      <c r="E191" s="466">
        <v>0</v>
      </c>
      <c r="F191" s="615"/>
      <c r="G191" s="615"/>
      <c r="H191" s="466">
        <v>0</v>
      </c>
      <c r="I191" s="477"/>
      <c r="J191" s="615"/>
      <c r="K191" s="1664">
        <f t="shared" si="18"/>
        <v>0</v>
      </c>
      <c r="L191" s="466"/>
    </row>
    <row r="192" spans="1:14" x14ac:dyDescent="0.2">
      <c r="A192" s="1501" t="s">
        <v>86</v>
      </c>
      <c r="B192" s="613">
        <v>4170</v>
      </c>
      <c r="C192" s="615"/>
      <c r="D192" s="615"/>
      <c r="E192" s="466">
        <v>0</v>
      </c>
      <c r="F192" s="615"/>
      <c r="G192" s="615"/>
      <c r="H192" s="466">
        <v>0</v>
      </c>
      <c r="I192" s="477"/>
      <c r="J192" s="615"/>
      <c r="K192" s="1664">
        <f t="shared" si="18"/>
        <v>0</v>
      </c>
      <c r="L192" s="466"/>
    </row>
    <row r="193" spans="1:14" x14ac:dyDescent="0.2">
      <c r="A193" s="1505" t="s">
        <v>698</v>
      </c>
      <c r="B193" s="627">
        <v>4190</v>
      </c>
      <c r="C193" s="615"/>
      <c r="D193" s="615"/>
      <c r="E193" s="466">
        <v>0</v>
      </c>
      <c r="F193" s="615"/>
      <c r="G193" s="615"/>
      <c r="H193" s="466">
        <v>0</v>
      </c>
      <c r="I193" s="477"/>
      <c r="J193" s="615"/>
      <c r="K193" s="1664">
        <f t="shared" si="18"/>
        <v>0</v>
      </c>
      <c r="L193" s="466"/>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row>
    <row r="200" spans="1:14" x14ac:dyDescent="0.2">
      <c r="A200" s="1501" t="s">
        <v>88</v>
      </c>
      <c r="B200" s="613">
        <v>5120</v>
      </c>
      <c r="C200" s="615"/>
      <c r="D200" s="615"/>
      <c r="E200" s="615"/>
      <c r="F200" s="615"/>
      <c r="G200" s="615"/>
      <c r="H200" s="466">
        <v>0</v>
      </c>
      <c r="I200" s="615"/>
      <c r="J200" s="615"/>
      <c r="K200" s="1664">
        <f>SUM(H200)</f>
        <v>0</v>
      </c>
      <c r="L200" s="466"/>
    </row>
    <row r="201" spans="1:14" ht="12.75" customHeight="1" x14ac:dyDescent="0.2">
      <c r="A201" s="1501" t="s">
        <v>1170</v>
      </c>
      <c r="B201" s="627" t="s">
        <v>617</v>
      </c>
      <c r="C201" s="615"/>
      <c r="D201" s="615"/>
      <c r="E201" s="615"/>
      <c r="F201" s="615"/>
      <c r="G201" s="615"/>
      <c r="H201" s="466">
        <v>0</v>
      </c>
      <c r="I201" s="615"/>
      <c r="J201" s="615"/>
      <c r="K201" s="1664">
        <f>SUM(H201)</f>
        <v>0</v>
      </c>
      <c r="L201" s="466"/>
    </row>
    <row r="202" spans="1:14" x14ac:dyDescent="0.2">
      <c r="A202" s="1501" t="s">
        <v>89</v>
      </c>
      <c r="B202" s="613" t="s">
        <v>589</v>
      </c>
      <c r="C202" s="615"/>
      <c r="D202" s="615"/>
      <c r="E202" s="615"/>
      <c r="F202" s="615"/>
      <c r="G202" s="615"/>
      <c r="H202" s="466">
        <v>0</v>
      </c>
      <c r="I202" s="615"/>
      <c r="J202" s="615"/>
      <c r="K202" s="1664">
        <f>SUM(H202)</f>
        <v>0</v>
      </c>
      <c r="L202" s="466"/>
    </row>
    <row r="203" spans="1:14" x14ac:dyDescent="0.2">
      <c r="A203" s="1513" t="s">
        <v>619</v>
      </c>
      <c r="B203" s="613" t="s">
        <v>618</v>
      </c>
      <c r="C203" s="615"/>
      <c r="D203" s="615"/>
      <c r="E203" s="615"/>
      <c r="F203" s="615"/>
      <c r="G203" s="615"/>
      <c r="H203" s="471">
        <v>0</v>
      </c>
      <c r="I203" s="615"/>
      <c r="J203" s="615"/>
      <c r="K203" s="1664">
        <f>SUM(H203)</f>
        <v>0</v>
      </c>
      <c r="L203" s="471"/>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2530</v>
      </c>
      <c r="I205" s="615"/>
      <c r="J205" s="615"/>
      <c r="K205" s="1678">
        <f>SUM(H205)</f>
        <v>2530</v>
      </c>
      <c r="L205" s="535"/>
    </row>
    <row r="206" spans="1:14" ht="30" customHeight="1" x14ac:dyDescent="0.2">
      <c r="A206" s="679" t="s">
        <v>1671</v>
      </c>
      <c r="B206" s="670" t="s">
        <v>31</v>
      </c>
      <c r="C206" s="615"/>
      <c r="D206" s="615"/>
      <c r="E206" s="615"/>
      <c r="F206" s="615"/>
      <c r="G206" s="615"/>
      <c r="H206" s="471">
        <v>7058</v>
      </c>
      <c r="I206" s="615"/>
      <c r="J206" s="615"/>
      <c r="K206" s="1664">
        <f>SUM(H206)</f>
        <v>7058</v>
      </c>
      <c r="L206" s="466"/>
    </row>
    <row r="207" spans="1:14" ht="15.75" customHeight="1" x14ac:dyDescent="0.2">
      <c r="A207" s="620" t="s">
        <v>766</v>
      </c>
      <c r="B207" s="670" t="s">
        <v>84</v>
      </c>
      <c r="C207" s="615"/>
      <c r="D207" s="615"/>
      <c r="E207" s="615"/>
      <c r="F207" s="615"/>
      <c r="G207" s="615"/>
      <c r="H207" s="471">
        <v>0</v>
      </c>
      <c r="I207" s="615"/>
      <c r="J207" s="615"/>
      <c r="K207" s="1664">
        <f>H207</f>
        <v>0</v>
      </c>
      <c r="L207" s="466"/>
    </row>
    <row r="208" spans="1:14" ht="12.75" customHeight="1" thickBot="1" x14ac:dyDescent="0.25">
      <c r="A208" s="1679" t="s">
        <v>638</v>
      </c>
      <c r="B208" s="1680" t="s">
        <v>492</v>
      </c>
      <c r="C208" s="615"/>
      <c r="D208" s="615"/>
      <c r="E208" s="615"/>
      <c r="F208" s="615"/>
      <c r="G208" s="615"/>
      <c r="H208" s="1670">
        <f>SUM(H204,H205,H206,H207)</f>
        <v>9588</v>
      </c>
      <c r="I208" s="615"/>
      <c r="J208" s="615"/>
      <c r="K208" s="1670">
        <f>SUM(K204,K205,K206,K207)</f>
        <v>9588</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row>
    <row r="210" spans="1:14" ht="12.75" customHeight="1" thickTop="1" thickBot="1" x14ac:dyDescent="0.25">
      <c r="A210" s="1685" t="s">
        <v>277</v>
      </c>
      <c r="B210" s="1686"/>
      <c r="C210" s="1663">
        <f>SUM(C184,C185)</f>
        <v>669571</v>
      </c>
      <c r="D210" s="1663">
        <f>SUM(D184,D185)</f>
        <v>88436</v>
      </c>
      <c r="E210" s="1663">
        <f>SUM(E184,E185,E196)</f>
        <v>10168</v>
      </c>
      <c r="F210" s="1663">
        <f>SUM(F184,F185)</f>
        <v>160780</v>
      </c>
      <c r="G210" s="1663">
        <f>SUM(G184,G185)</f>
        <v>0</v>
      </c>
      <c r="H210" s="1663">
        <f>SUM(H184,H185,H196,H208,H209)</f>
        <v>12002</v>
      </c>
      <c r="I210" s="1663">
        <f>SUM(I184,I185)</f>
        <v>0</v>
      </c>
      <c r="J210" s="1663">
        <f>SUM(J184,J185)</f>
        <v>0</v>
      </c>
      <c r="K210" s="1664">
        <f>SUM(K184,K185,K196,K208,K209)</f>
        <v>940957</v>
      </c>
      <c r="L210" s="1663">
        <f>SUM(L184,L185,L196,L208,L209)</f>
        <v>1137372</v>
      </c>
    </row>
    <row r="211" spans="1:14" ht="13.5" thickTop="1" x14ac:dyDescent="0.2">
      <c r="A211" s="2171" t="s">
        <v>996</v>
      </c>
      <c r="B211" s="2172"/>
      <c r="C211" s="617"/>
      <c r="D211" s="617"/>
      <c r="E211" s="617"/>
      <c r="F211" s="617"/>
      <c r="G211" s="617"/>
      <c r="H211" s="617"/>
      <c r="I211" s="615"/>
      <c r="J211" s="615"/>
      <c r="K211" s="1677">
        <f>'Revenues 9-14'!F268-'Expenditures 15-22'!K210</f>
        <v>405409</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93" t="s">
        <v>965</v>
      </c>
      <c r="B213" s="2194"/>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92252</v>
      </c>
      <c r="E215" s="615"/>
      <c r="F215" s="615"/>
      <c r="G215" s="615"/>
      <c r="H215" s="615"/>
      <c r="I215" s="615"/>
      <c r="J215" s="615"/>
      <c r="K215" s="1664">
        <f>D215</f>
        <v>92252</v>
      </c>
      <c r="L215" s="466">
        <v>91998</v>
      </c>
    </row>
    <row r="216" spans="1:14" x14ac:dyDescent="0.2">
      <c r="A216" s="1501" t="s">
        <v>163</v>
      </c>
      <c r="B216" s="613" t="s">
        <v>967</v>
      </c>
      <c r="C216" s="615"/>
      <c r="D216" s="467">
        <v>11930</v>
      </c>
      <c r="E216" s="615"/>
      <c r="F216" s="615"/>
      <c r="G216" s="615"/>
      <c r="H216" s="615"/>
      <c r="I216" s="615"/>
      <c r="J216" s="615"/>
      <c r="K216" s="1664">
        <f t="shared" ref="K216:K228" si="19">D216</f>
        <v>11930</v>
      </c>
      <c r="L216" s="466">
        <v>11804</v>
      </c>
    </row>
    <row r="217" spans="1:14" x14ac:dyDescent="0.2">
      <c r="A217" s="1501" t="s">
        <v>164</v>
      </c>
      <c r="B217" s="613">
        <v>1200</v>
      </c>
      <c r="C217" s="615"/>
      <c r="D217" s="466">
        <v>109622</v>
      </c>
      <c r="E217" s="615"/>
      <c r="F217" s="615"/>
      <c r="G217" s="615"/>
      <c r="H217" s="615"/>
      <c r="I217" s="615"/>
      <c r="J217" s="615"/>
      <c r="K217" s="1664">
        <f t="shared" si="19"/>
        <v>109622</v>
      </c>
      <c r="L217" s="466">
        <v>112096</v>
      </c>
    </row>
    <row r="218" spans="1:14" x14ac:dyDescent="0.2">
      <c r="A218" s="1501" t="s">
        <v>278</v>
      </c>
      <c r="B218" s="613" t="s">
        <v>968</v>
      </c>
      <c r="C218" s="615"/>
      <c r="D218" s="467">
        <v>3223</v>
      </c>
      <c r="E218" s="615"/>
      <c r="F218" s="615"/>
      <c r="G218" s="615"/>
      <c r="H218" s="615"/>
      <c r="I218" s="615"/>
      <c r="J218" s="615"/>
      <c r="K218" s="1664">
        <f t="shared" si="19"/>
        <v>3223</v>
      </c>
      <c r="L218" s="466">
        <v>3356</v>
      </c>
    </row>
    <row r="219" spans="1:14" x14ac:dyDescent="0.2">
      <c r="A219" s="1501" t="s">
        <v>279</v>
      </c>
      <c r="B219" s="613">
        <v>1250</v>
      </c>
      <c r="C219" s="615"/>
      <c r="D219" s="466">
        <v>11278</v>
      </c>
      <c r="E219" s="615"/>
      <c r="F219" s="615"/>
      <c r="G219" s="615"/>
      <c r="H219" s="615"/>
      <c r="I219" s="615"/>
      <c r="J219" s="615"/>
      <c r="K219" s="1664">
        <f t="shared" si="19"/>
        <v>11278</v>
      </c>
      <c r="L219" s="466">
        <v>11440</v>
      </c>
    </row>
    <row r="220" spans="1:14" x14ac:dyDescent="0.2">
      <c r="A220" s="1501" t="s">
        <v>280</v>
      </c>
      <c r="B220" s="613" t="s">
        <v>161</v>
      </c>
      <c r="C220" s="615"/>
      <c r="D220" s="467">
        <v>0</v>
      </c>
      <c r="E220" s="615"/>
      <c r="F220" s="615"/>
      <c r="G220" s="615"/>
      <c r="H220" s="615"/>
      <c r="I220" s="615"/>
      <c r="J220" s="615"/>
      <c r="K220" s="1664">
        <f t="shared" si="19"/>
        <v>0</v>
      </c>
      <c r="L220" s="466"/>
    </row>
    <row r="221" spans="1:14" x14ac:dyDescent="0.2">
      <c r="A221" s="1501" t="s">
        <v>962</v>
      </c>
      <c r="B221" s="613">
        <v>1300</v>
      </c>
      <c r="C221" s="615"/>
      <c r="D221" s="466">
        <v>0</v>
      </c>
      <c r="E221" s="615"/>
      <c r="F221" s="615"/>
      <c r="G221" s="615"/>
      <c r="H221" s="615"/>
      <c r="I221" s="615"/>
      <c r="J221" s="615"/>
      <c r="K221" s="1664">
        <f t="shared" si="19"/>
        <v>0</v>
      </c>
      <c r="L221" s="466"/>
    </row>
    <row r="222" spans="1:14" x14ac:dyDescent="0.2">
      <c r="A222" s="1501" t="s">
        <v>723</v>
      </c>
      <c r="B222" s="613">
        <v>1400</v>
      </c>
      <c r="C222" s="615"/>
      <c r="D222" s="466">
        <v>0</v>
      </c>
      <c r="E222" s="615"/>
      <c r="F222" s="615"/>
      <c r="G222" s="615"/>
      <c r="H222" s="615"/>
      <c r="I222" s="615"/>
      <c r="J222" s="615"/>
      <c r="K222" s="1664">
        <f t="shared" si="19"/>
        <v>0</v>
      </c>
      <c r="L222" s="466"/>
    </row>
    <row r="223" spans="1:14" x14ac:dyDescent="0.2">
      <c r="A223" s="1501" t="s">
        <v>963</v>
      </c>
      <c r="B223" s="613">
        <v>1500</v>
      </c>
      <c r="C223" s="615"/>
      <c r="D223" s="466">
        <v>12016</v>
      </c>
      <c r="E223" s="615"/>
      <c r="F223" s="615"/>
      <c r="G223" s="615"/>
      <c r="H223" s="615"/>
      <c r="I223" s="615"/>
      <c r="J223" s="615"/>
      <c r="K223" s="1664">
        <f t="shared" si="19"/>
        <v>12016</v>
      </c>
      <c r="L223" s="466">
        <v>12448</v>
      </c>
    </row>
    <row r="224" spans="1:14" x14ac:dyDescent="0.2">
      <c r="A224" s="1501" t="s">
        <v>964</v>
      </c>
      <c r="B224" s="613">
        <v>1600</v>
      </c>
      <c r="C224" s="615"/>
      <c r="D224" s="466">
        <v>0</v>
      </c>
      <c r="E224" s="615"/>
      <c r="F224" s="615"/>
      <c r="G224" s="615"/>
      <c r="H224" s="615"/>
      <c r="I224" s="615"/>
      <c r="J224" s="615"/>
      <c r="K224" s="1664">
        <f t="shared" si="19"/>
        <v>0</v>
      </c>
      <c r="L224" s="466"/>
    </row>
    <row r="225" spans="1:12" x14ac:dyDescent="0.2">
      <c r="A225" s="1501" t="s">
        <v>987</v>
      </c>
      <c r="B225" s="613">
        <v>1650</v>
      </c>
      <c r="C225" s="615"/>
      <c r="D225" s="466">
        <v>0</v>
      </c>
      <c r="E225" s="615"/>
      <c r="F225" s="615"/>
      <c r="G225" s="615"/>
      <c r="H225" s="615"/>
      <c r="I225" s="615"/>
      <c r="J225" s="615"/>
      <c r="K225" s="1664">
        <f t="shared" si="19"/>
        <v>0</v>
      </c>
      <c r="L225" s="466"/>
    </row>
    <row r="226" spans="1:12" x14ac:dyDescent="0.2">
      <c r="A226" s="1501" t="s">
        <v>724</v>
      </c>
      <c r="B226" s="613" t="s">
        <v>162</v>
      </c>
      <c r="C226" s="615"/>
      <c r="D226" s="467">
        <v>1148</v>
      </c>
      <c r="E226" s="615"/>
      <c r="F226" s="615"/>
      <c r="G226" s="615"/>
      <c r="H226" s="615"/>
      <c r="I226" s="615"/>
      <c r="J226" s="615"/>
      <c r="K226" s="1664">
        <f t="shared" si="19"/>
        <v>1148</v>
      </c>
      <c r="L226" s="466">
        <v>1146</v>
      </c>
    </row>
    <row r="227" spans="1:12" x14ac:dyDescent="0.2">
      <c r="A227" s="1501" t="s">
        <v>1087</v>
      </c>
      <c r="B227" s="613">
        <v>1800</v>
      </c>
      <c r="C227" s="615"/>
      <c r="D227" s="466">
        <v>0</v>
      </c>
      <c r="E227" s="615"/>
      <c r="F227" s="615"/>
      <c r="G227" s="615"/>
      <c r="H227" s="615"/>
      <c r="I227" s="615"/>
      <c r="J227" s="615"/>
      <c r="K227" s="1664">
        <f t="shared" si="19"/>
        <v>0</v>
      </c>
      <c r="L227" s="466"/>
    </row>
    <row r="228" spans="1:12" x14ac:dyDescent="0.2">
      <c r="A228" s="1501" t="s">
        <v>1088</v>
      </c>
      <c r="B228" s="613">
        <v>1900</v>
      </c>
      <c r="C228" s="615"/>
      <c r="D228" s="466">
        <v>1504</v>
      </c>
      <c r="E228" s="615"/>
      <c r="F228" s="615"/>
      <c r="G228" s="615"/>
      <c r="H228" s="615"/>
      <c r="I228" s="615"/>
      <c r="J228" s="615"/>
      <c r="K228" s="1664">
        <f t="shared" si="19"/>
        <v>1504</v>
      </c>
      <c r="L228" s="466">
        <v>1503</v>
      </c>
    </row>
    <row r="229" spans="1:12" ht="12.75" customHeight="1" thickBot="1" x14ac:dyDescent="0.25">
      <c r="A229" s="1661" t="s">
        <v>715</v>
      </c>
      <c r="B229" s="1668" t="s">
        <v>570</v>
      </c>
      <c r="C229" s="615"/>
      <c r="D229" s="1663">
        <f>SUM(D215:D228)</f>
        <v>242973</v>
      </c>
      <c r="E229" s="615"/>
      <c r="F229" s="615"/>
      <c r="G229" s="615"/>
      <c r="H229" s="615"/>
      <c r="I229" s="615"/>
      <c r="J229" s="615"/>
      <c r="K229" s="1663">
        <f>SUM(K215:K228)</f>
        <v>242973</v>
      </c>
      <c r="L229" s="1663">
        <f>SUM(L215:L228)</f>
        <v>245791</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4">
        <f t="shared" ref="K232:K237" si="20">D232</f>
        <v>0</v>
      </c>
      <c r="L232" s="466"/>
    </row>
    <row r="233" spans="1:12" x14ac:dyDescent="0.2">
      <c r="A233" s="1501" t="s">
        <v>1090</v>
      </c>
      <c r="B233" s="613">
        <v>2120</v>
      </c>
      <c r="C233" s="615"/>
      <c r="D233" s="466">
        <v>5305</v>
      </c>
      <c r="E233" s="615"/>
      <c r="F233" s="615"/>
      <c r="G233" s="615"/>
      <c r="H233" s="615"/>
      <c r="I233" s="615"/>
      <c r="J233" s="615"/>
      <c r="K233" s="1664">
        <f t="shared" si="20"/>
        <v>5305</v>
      </c>
      <c r="L233" s="466">
        <v>5430</v>
      </c>
    </row>
    <row r="234" spans="1:12" x14ac:dyDescent="0.2">
      <c r="A234" s="1501" t="s">
        <v>198</v>
      </c>
      <c r="B234" s="613">
        <v>2130</v>
      </c>
      <c r="C234" s="615"/>
      <c r="D234" s="466">
        <v>9427</v>
      </c>
      <c r="E234" s="615"/>
      <c r="F234" s="615"/>
      <c r="G234" s="615"/>
      <c r="H234" s="615"/>
      <c r="I234" s="615"/>
      <c r="J234" s="615"/>
      <c r="K234" s="1664">
        <f t="shared" si="20"/>
        <v>9427</v>
      </c>
      <c r="L234" s="466">
        <v>9718</v>
      </c>
    </row>
    <row r="235" spans="1:12" x14ac:dyDescent="0.2">
      <c r="A235" s="1501" t="s">
        <v>199</v>
      </c>
      <c r="B235" s="613">
        <v>2140</v>
      </c>
      <c r="C235" s="615"/>
      <c r="D235" s="466">
        <v>0</v>
      </c>
      <c r="E235" s="615"/>
      <c r="F235" s="615"/>
      <c r="G235" s="615"/>
      <c r="H235" s="615"/>
      <c r="I235" s="615"/>
      <c r="J235" s="615"/>
      <c r="K235" s="1664">
        <f t="shared" si="20"/>
        <v>0</v>
      </c>
      <c r="L235" s="466"/>
    </row>
    <row r="236" spans="1:12" x14ac:dyDescent="0.2">
      <c r="A236" s="1501" t="s">
        <v>200</v>
      </c>
      <c r="B236" s="613">
        <v>2150</v>
      </c>
      <c r="C236" s="615"/>
      <c r="D236" s="466">
        <v>2274</v>
      </c>
      <c r="E236" s="615"/>
      <c r="F236" s="615"/>
      <c r="G236" s="615"/>
      <c r="H236" s="615"/>
      <c r="I236" s="615"/>
      <c r="J236" s="615"/>
      <c r="K236" s="1664">
        <f t="shared" si="20"/>
        <v>2274</v>
      </c>
      <c r="L236" s="466">
        <v>2262</v>
      </c>
    </row>
    <row r="237" spans="1:12" x14ac:dyDescent="0.2">
      <c r="A237" s="1501" t="s">
        <v>165</v>
      </c>
      <c r="B237" s="613">
        <v>2190</v>
      </c>
      <c r="C237" s="615"/>
      <c r="D237" s="466">
        <v>0</v>
      </c>
      <c r="E237" s="615"/>
      <c r="F237" s="615"/>
      <c r="G237" s="615"/>
      <c r="H237" s="615"/>
      <c r="I237" s="615"/>
      <c r="J237" s="615"/>
      <c r="K237" s="1664">
        <f t="shared" si="20"/>
        <v>0</v>
      </c>
      <c r="L237" s="466"/>
    </row>
    <row r="238" spans="1:12" ht="12.75" customHeight="1" thickBot="1" x14ac:dyDescent="0.25">
      <c r="A238" s="1661" t="s">
        <v>560</v>
      </c>
      <c r="B238" s="1668" t="s">
        <v>716</v>
      </c>
      <c r="C238" s="615"/>
      <c r="D238" s="1663">
        <f>SUM(D232:D237)</f>
        <v>17006</v>
      </c>
      <c r="E238" s="615"/>
      <c r="F238" s="615"/>
      <c r="G238" s="615"/>
      <c r="H238" s="615"/>
      <c r="I238" s="615"/>
      <c r="J238" s="615"/>
      <c r="K238" s="1663">
        <f>SUM(K232:K237)</f>
        <v>17006</v>
      </c>
      <c r="L238" s="1663">
        <f>SUM(L232:L237)</f>
        <v>17410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0</v>
      </c>
      <c r="E240" s="615"/>
      <c r="F240" s="615"/>
      <c r="G240" s="615"/>
      <c r="H240" s="615"/>
      <c r="I240" s="615"/>
      <c r="J240" s="615"/>
      <c r="K240" s="1665">
        <f>D240</f>
        <v>0</v>
      </c>
      <c r="L240" s="568"/>
    </row>
    <row r="241" spans="1:12" x14ac:dyDescent="0.2">
      <c r="A241" s="1501" t="s">
        <v>815</v>
      </c>
      <c r="B241" s="613">
        <v>2220</v>
      </c>
      <c r="C241" s="615"/>
      <c r="D241" s="466">
        <v>21253</v>
      </c>
      <c r="E241" s="615"/>
      <c r="F241" s="615"/>
      <c r="G241" s="615"/>
      <c r="H241" s="615"/>
      <c r="I241" s="615"/>
      <c r="J241" s="615"/>
      <c r="K241" s="1665">
        <f>D241</f>
        <v>21253</v>
      </c>
      <c r="L241" s="466">
        <v>21891</v>
      </c>
    </row>
    <row r="242" spans="1:12" x14ac:dyDescent="0.2">
      <c r="A242" s="1501" t="s">
        <v>816</v>
      </c>
      <c r="B242" s="613">
        <v>2230</v>
      </c>
      <c r="C242" s="615"/>
      <c r="D242" s="466">
        <v>0</v>
      </c>
      <c r="E242" s="615"/>
      <c r="F242" s="615"/>
      <c r="G242" s="615"/>
      <c r="H242" s="615"/>
      <c r="I242" s="615"/>
      <c r="J242" s="615"/>
      <c r="K242" s="1665">
        <f>D242</f>
        <v>0</v>
      </c>
      <c r="L242" s="466"/>
    </row>
    <row r="243" spans="1:12" ht="12.75" customHeight="1" thickBot="1" x14ac:dyDescent="0.25">
      <c r="A243" s="1687" t="s">
        <v>561</v>
      </c>
      <c r="B243" s="1688">
        <v>2200</v>
      </c>
      <c r="C243" s="615"/>
      <c r="D243" s="1663">
        <f>SUM(D240:D242)</f>
        <v>21253</v>
      </c>
      <c r="E243" s="615"/>
      <c r="F243" s="615"/>
      <c r="G243" s="615"/>
      <c r="H243" s="615"/>
      <c r="I243" s="615"/>
      <c r="J243" s="615"/>
      <c r="K243" s="1663">
        <f>SUM(K240:K242)</f>
        <v>21253</v>
      </c>
      <c r="L243" s="1663">
        <f>SUM(L240:L242)</f>
        <v>21891</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0</v>
      </c>
      <c r="E245" s="615"/>
      <c r="F245" s="615"/>
      <c r="G245" s="615"/>
      <c r="H245" s="615"/>
      <c r="I245" s="615"/>
      <c r="J245" s="615"/>
      <c r="K245" s="1665">
        <f>D245</f>
        <v>0</v>
      </c>
      <c r="L245" s="568"/>
    </row>
    <row r="246" spans="1:12" x14ac:dyDescent="0.2">
      <c r="A246" s="1501" t="s">
        <v>818</v>
      </c>
      <c r="B246" s="613">
        <v>2320</v>
      </c>
      <c r="C246" s="615"/>
      <c r="D246" s="466">
        <v>8483</v>
      </c>
      <c r="E246" s="615"/>
      <c r="F246" s="615"/>
      <c r="G246" s="615"/>
      <c r="H246" s="615"/>
      <c r="I246" s="615"/>
      <c r="J246" s="615"/>
      <c r="K246" s="1665">
        <f t="shared" ref="K246:K256" si="21">D246</f>
        <v>8483</v>
      </c>
      <c r="L246" s="466">
        <v>7561</v>
      </c>
    </row>
    <row r="247" spans="1:12" x14ac:dyDescent="0.2">
      <c r="A247" s="1501" t="s">
        <v>819</v>
      </c>
      <c r="B247" s="613">
        <v>2330</v>
      </c>
      <c r="C247" s="615"/>
      <c r="D247" s="466">
        <v>0</v>
      </c>
      <c r="E247" s="615"/>
      <c r="F247" s="615"/>
      <c r="G247" s="615"/>
      <c r="H247" s="615"/>
      <c r="I247" s="615"/>
      <c r="J247" s="615"/>
      <c r="K247" s="1665">
        <f t="shared" si="21"/>
        <v>0</v>
      </c>
      <c r="L247" s="466"/>
    </row>
    <row r="248" spans="1:12" x14ac:dyDescent="0.2">
      <c r="A248" s="1502" t="s">
        <v>299</v>
      </c>
      <c r="B248" s="601" t="s">
        <v>281</v>
      </c>
      <c r="C248" s="615"/>
      <c r="D248" s="474">
        <v>0</v>
      </c>
      <c r="E248" s="615"/>
      <c r="F248" s="615"/>
      <c r="G248" s="615"/>
      <c r="H248" s="615"/>
      <c r="I248" s="615"/>
      <c r="J248" s="615"/>
      <c r="K248" s="1665">
        <f t="shared" si="21"/>
        <v>0</v>
      </c>
      <c r="L248" s="466"/>
    </row>
    <row r="249" spans="1:12" x14ac:dyDescent="0.2">
      <c r="A249" s="1503" t="s">
        <v>1800</v>
      </c>
      <c r="B249" s="681" t="s">
        <v>282</v>
      </c>
      <c r="C249" s="615"/>
      <c r="D249" s="474">
        <v>0</v>
      </c>
      <c r="E249" s="615"/>
      <c r="F249" s="615"/>
      <c r="G249" s="615"/>
      <c r="H249" s="615"/>
      <c r="I249" s="615"/>
      <c r="J249" s="615"/>
      <c r="K249" s="1665">
        <f t="shared" si="21"/>
        <v>0</v>
      </c>
      <c r="L249" s="466"/>
    </row>
    <row r="250" spans="1:12" x14ac:dyDescent="0.2">
      <c r="A250" s="1502" t="s">
        <v>1801</v>
      </c>
      <c r="B250" s="601" t="s">
        <v>283</v>
      </c>
      <c r="C250" s="615"/>
      <c r="D250" s="474">
        <v>0</v>
      </c>
      <c r="E250" s="615"/>
      <c r="F250" s="615"/>
      <c r="G250" s="615"/>
      <c r="H250" s="615"/>
      <c r="I250" s="615"/>
      <c r="J250" s="615"/>
      <c r="K250" s="1665">
        <f t="shared" si="21"/>
        <v>0</v>
      </c>
      <c r="L250" s="466"/>
    </row>
    <row r="251" spans="1:12" x14ac:dyDescent="0.2">
      <c r="A251" s="1502" t="s">
        <v>238</v>
      </c>
      <c r="B251" s="601" t="s">
        <v>284</v>
      </c>
      <c r="C251" s="615"/>
      <c r="D251" s="474">
        <v>0</v>
      </c>
      <c r="E251" s="615"/>
      <c r="F251" s="615"/>
      <c r="G251" s="615"/>
      <c r="H251" s="615"/>
      <c r="I251" s="615"/>
      <c r="J251" s="615"/>
      <c r="K251" s="1665">
        <f t="shared" si="21"/>
        <v>0</v>
      </c>
      <c r="L251" s="466"/>
    </row>
    <row r="252" spans="1:12" x14ac:dyDescent="0.2">
      <c r="A252" s="1502" t="s">
        <v>702</v>
      </c>
      <c r="B252" s="601" t="s">
        <v>285</v>
      </c>
      <c r="C252" s="615"/>
      <c r="D252" s="474">
        <v>0</v>
      </c>
      <c r="E252" s="615"/>
      <c r="F252" s="615"/>
      <c r="G252" s="615"/>
      <c r="H252" s="615"/>
      <c r="I252" s="615"/>
      <c r="J252" s="615"/>
      <c r="K252" s="1665">
        <f t="shared" si="21"/>
        <v>0</v>
      </c>
      <c r="L252" s="466"/>
    </row>
    <row r="253" spans="1:12" x14ac:dyDescent="0.2">
      <c r="A253" s="1502" t="s">
        <v>239</v>
      </c>
      <c r="B253" s="601" t="s">
        <v>286</v>
      </c>
      <c r="C253" s="615"/>
      <c r="D253" s="474">
        <v>0</v>
      </c>
      <c r="E253" s="615"/>
      <c r="F253" s="615"/>
      <c r="G253" s="615"/>
      <c r="H253" s="615"/>
      <c r="I253" s="615"/>
      <c r="J253" s="615"/>
      <c r="K253" s="1665">
        <f t="shared" si="21"/>
        <v>0</v>
      </c>
      <c r="L253" s="466"/>
    </row>
    <row r="254" spans="1:12" ht="22.5" x14ac:dyDescent="0.2">
      <c r="A254" s="1502" t="s">
        <v>1029</v>
      </c>
      <c r="B254" s="681" t="s">
        <v>287</v>
      </c>
      <c r="C254" s="615"/>
      <c r="D254" s="474">
        <v>32566</v>
      </c>
      <c r="E254" s="615"/>
      <c r="F254" s="615"/>
      <c r="G254" s="615"/>
      <c r="H254" s="615"/>
      <c r="I254" s="615"/>
      <c r="J254" s="615"/>
      <c r="K254" s="1665">
        <f t="shared" si="21"/>
        <v>32566</v>
      </c>
      <c r="L254" s="466">
        <v>33458</v>
      </c>
    </row>
    <row r="255" spans="1:12" x14ac:dyDescent="0.2">
      <c r="A255" s="1502" t="s">
        <v>1030</v>
      </c>
      <c r="B255" s="601" t="s">
        <v>288</v>
      </c>
      <c r="C255" s="615"/>
      <c r="D255" s="474">
        <v>0</v>
      </c>
      <c r="E255" s="615"/>
      <c r="F255" s="615"/>
      <c r="G255" s="615"/>
      <c r="H255" s="615"/>
      <c r="I255" s="615"/>
      <c r="J255" s="615"/>
      <c r="K255" s="1665">
        <f t="shared" si="21"/>
        <v>0</v>
      </c>
      <c r="L255" s="466"/>
    </row>
    <row r="256" spans="1:12" x14ac:dyDescent="0.2">
      <c r="A256" s="1502" t="s">
        <v>971</v>
      </c>
      <c r="B256" s="613" t="s">
        <v>289</v>
      </c>
      <c r="C256" s="615"/>
      <c r="D256" s="474">
        <v>0</v>
      </c>
      <c r="E256" s="615"/>
      <c r="F256" s="615"/>
      <c r="G256" s="615"/>
      <c r="H256" s="615"/>
      <c r="I256" s="615"/>
      <c r="J256" s="615"/>
      <c r="K256" s="1665">
        <f t="shared" si="21"/>
        <v>0</v>
      </c>
      <c r="L256" s="466"/>
    </row>
    <row r="257" spans="1:14" ht="12.75" customHeight="1" thickBot="1" x14ac:dyDescent="0.25">
      <c r="A257" s="1661" t="s">
        <v>717</v>
      </c>
      <c r="B257" s="1689">
        <v>2300</v>
      </c>
      <c r="C257" s="615"/>
      <c r="D257" s="1663">
        <f>SUM(D245:D256)</f>
        <v>41049</v>
      </c>
      <c r="E257" s="615"/>
      <c r="F257" s="615"/>
      <c r="G257" s="615"/>
      <c r="H257" s="615"/>
      <c r="I257" s="615"/>
      <c r="J257" s="615"/>
      <c r="K257" s="1663">
        <f>SUM(K245:K256)</f>
        <v>41049</v>
      </c>
      <c r="L257" s="1663">
        <f>SUM(L245:L256)</f>
        <v>41019</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31411</v>
      </c>
      <c r="E259" s="615"/>
      <c r="F259" s="615"/>
      <c r="G259" s="615"/>
      <c r="H259" s="615"/>
      <c r="I259" s="615"/>
      <c r="J259" s="615"/>
      <c r="K259" s="1665">
        <f>D259</f>
        <v>31411</v>
      </c>
      <c r="L259" s="568">
        <v>31006</v>
      </c>
    </row>
    <row r="260" spans="1:14" s="596" customFormat="1" x14ac:dyDescent="0.2">
      <c r="A260" s="1519" t="s">
        <v>1799</v>
      </c>
      <c r="B260" s="627">
        <v>2490</v>
      </c>
      <c r="C260" s="615"/>
      <c r="D260" s="466">
        <v>157</v>
      </c>
      <c r="E260" s="615"/>
      <c r="F260" s="615"/>
      <c r="G260" s="615"/>
      <c r="H260" s="615"/>
      <c r="I260" s="615"/>
      <c r="J260" s="615"/>
      <c r="K260" s="1665">
        <f>D260</f>
        <v>157</v>
      </c>
      <c r="L260" s="466">
        <v>171</v>
      </c>
      <c r="M260" s="210"/>
      <c r="N260" s="210"/>
    </row>
    <row r="261" spans="1:14" ht="12.75" customHeight="1" thickBot="1" x14ac:dyDescent="0.25">
      <c r="A261" s="1685" t="s">
        <v>263</v>
      </c>
      <c r="B261" s="1690" t="s">
        <v>34</v>
      </c>
      <c r="C261" s="615"/>
      <c r="D261" s="1663">
        <f>SUM(D259:D260)</f>
        <v>31568</v>
      </c>
      <c r="E261" s="615"/>
      <c r="F261" s="615"/>
      <c r="G261" s="615"/>
      <c r="H261" s="615"/>
      <c r="I261" s="615"/>
      <c r="J261" s="615"/>
      <c r="K261" s="1663">
        <f>SUM(K259:K260)</f>
        <v>31568</v>
      </c>
      <c r="L261" s="1663">
        <f>SUM(L259:L260)</f>
        <v>31177</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1165</v>
      </c>
      <c r="E263" s="615"/>
      <c r="F263" s="615"/>
      <c r="G263" s="615"/>
      <c r="H263" s="615"/>
      <c r="I263" s="615"/>
      <c r="J263" s="615"/>
      <c r="K263" s="1665">
        <f>D263</f>
        <v>1165</v>
      </c>
      <c r="L263" s="568">
        <v>1166</v>
      </c>
    </row>
    <row r="264" spans="1:14" x14ac:dyDescent="0.2">
      <c r="A264" s="1501" t="s">
        <v>463</v>
      </c>
      <c r="B264" s="683">
        <v>2520</v>
      </c>
      <c r="C264" s="615"/>
      <c r="D264" s="466">
        <v>18549</v>
      </c>
      <c r="E264" s="615"/>
      <c r="F264" s="615"/>
      <c r="G264" s="615"/>
      <c r="H264" s="615"/>
      <c r="I264" s="615"/>
      <c r="J264" s="615"/>
      <c r="K264" s="1665">
        <f t="shared" ref="K264:K269" si="22">D264</f>
        <v>18549</v>
      </c>
      <c r="L264" s="466">
        <v>17342</v>
      </c>
    </row>
    <row r="265" spans="1:14" x14ac:dyDescent="0.2">
      <c r="A265" s="1501" t="s">
        <v>4</v>
      </c>
      <c r="B265" s="613">
        <v>2530</v>
      </c>
      <c r="C265" s="615"/>
      <c r="D265" s="466">
        <v>0</v>
      </c>
      <c r="E265" s="615"/>
      <c r="F265" s="615"/>
      <c r="G265" s="615"/>
      <c r="H265" s="615"/>
      <c r="I265" s="615"/>
      <c r="J265" s="615"/>
      <c r="K265" s="1665">
        <f t="shared" si="22"/>
        <v>0</v>
      </c>
      <c r="L265" s="466"/>
    </row>
    <row r="266" spans="1:14" x14ac:dyDescent="0.2">
      <c r="A266" s="1501" t="s">
        <v>197</v>
      </c>
      <c r="B266" s="613">
        <v>2540</v>
      </c>
      <c r="C266" s="615"/>
      <c r="D266" s="466">
        <v>87553</v>
      </c>
      <c r="E266" s="615"/>
      <c r="F266" s="615"/>
      <c r="G266" s="615"/>
      <c r="H266" s="615"/>
      <c r="I266" s="615"/>
      <c r="J266" s="615"/>
      <c r="K266" s="1665">
        <f t="shared" si="22"/>
        <v>87553</v>
      </c>
      <c r="L266" s="466">
        <v>89984</v>
      </c>
    </row>
    <row r="267" spans="1:14" x14ac:dyDescent="0.2">
      <c r="A267" s="1501" t="s">
        <v>953</v>
      </c>
      <c r="B267" s="613">
        <v>2550</v>
      </c>
      <c r="C267" s="615"/>
      <c r="D267" s="466">
        <v>83578</v>
      </c>
      <c r="E267" s="615"/>
      <c r="F267" s="615"/>
      <c r="G267" s="615"/>
      <c r="H267" s="615"/>
      <c r="I267" s="615"/>
      <c r="J267" s="615"/>
      <c r="K267" s="1665">
        <f t="shared" si="22"/>
        <v>83578</v>
      </c>
      <c r="L267" s="466">
        <v>86173</v>
      </c>
    </row>
    <row r="268" spans="1:14" x14ac:dyDescent="0.2">
      <c r="A268" s="1501" t="s">
        <v>100</v>
      </c>
      <c r="B268" s="613">
        <v>2560</v>
      </c>
      <c r="C268" s="615"/>
      <c r="D268" s="466">
        <v>36574</v>
      </c>
      <c r="E268" s="615"/>
      <c r="F268" s="615"/>
      <c r="G268" s="615"/>
      <c r="H268" s="615"/>
      <c r="I268" s="615"/>
      <c r="J268" s="615"/>
      <c r="K268" s="1665">
        <f t="shared" si="22"/>
        <v>36574</v>
      </c>
      <c r="L268" s="466">
        <v>37243</v>
      </c>
    </row>
    <row r="269" spans="1:14" x14ac:dyDescent="0.2">
      <c r="A269" s="1501" t="s">
        <v>101</v>
      </c>
      <c r="B269" s="613">
        <v>2570</v>
      </c>
      <c r="C269" s="615"/>
      <c r="D269" s="466">
        <v>0</v>
      </c>
      <c r="E269" s="615"/>
      <c r="F269" s="615"/>
      <c r="G269" s="615"/>
      <c r="H269" s="615"/>
      <c r="I269" s="615"/>
      <c r="J269" s="615"/>
      <c r="K269" s="1665">
        <f t="shared" si="22"/>
        <v>0</v>
      </c>
      <c r="L269" s="466"/>
    </row>
    <row r="270" spans="1:14" ht="12.75" customHeight="1" thickBot="1" x14ac:dyDescent="0.25">
      <c r="A270" s="1661" t="s">
        <v>719</v>
      </c>
      <c r="B270" s="1668" t="s">
        <v>35</v>
      </c>
      <c r="C270" s="615"/>
      <c r="D270" s="1663">
        <f>SUM(D263:D269)</f>
        <v>227419</v>
      </c>
      <c r="E270" s="615"/>
      <c r="F270" s="615"/>
      <c r="G270" s="615"/>
      <c r="H270" s="615"/>
      <c r="I270" s="615"/>
      <c r="J270" s="615"/>
      <c r="K270" s="1663">
        <f>SUM(K263:K269)</f>
        <v>227419</v>
      </c>
      <c r="L270" s="1663">
        <f>SUM(L263:L269)</f>
        <v>231908</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row>
    <row r="273" spans="1:12" x14ac:dyDescent="0.2">
      <c r="A273" s="1501" t="s">
        <v>607</v>
      </c>
      <c r="B273" s="627">
        <v>2620</v>
      </c>
      <c r="C273" s="615"/>
      <c r="D273" s="466">
        <v>0</v>
      </c>
      <c r="E273" s="615"/>
      <c r="F273" s="615"/>
      <c r="G273" s="615"/>
      <c r="H273" s="615"/>
      <c r="I273" s="615"/>
      <c r="J273" s="615"/>
      <c r="K273" s="1665">
        <f>D273</f>
        <v>0</v>
      </c>
      <c r="L273" s="466"/>
    </row>
    <row r="274" spans="1:12" ht="12" customHeight="1" x14ac:dyDescent="0.2">
      <c r="A274" s="1501" t="s">
        <v>1061</v>
      </c>
      <c r="B274" s="613">
        <v>2630</v>
      </c>
      <c r="C274" s="615"/>
      <c r="D274" s="466">
        <v>0</v>
      </c>
      <c r="E274" s="615"/>
      <c r="F274" s="615"/>
      <c r="G274" s="615"/>
      <c r="H274" s="615"/>
      <c r="I274" s="615"/>
      <c r="J274" s="615"/>
      <c r="K274" s="1665">
        <f>D274</f>
        <v>0</v>
      </c>
      <c r="L274" s="466"/>
    </row>
    <row r="275" spans="1:12" x14ac:dyDescent="0.2">
      <c r="A275" s="1501" t="s">
        <v>403</v>
      </c>
      <c r="B275" s="613">
        <v>2640</v>
      </c>
      <c r="C275" s="615"/>
      <c r="D275" s="466">
        <v>0</v>
      </c>
      <c r="E275" s="615"/>
      <c r="F275" s="615"/>
      <c r="G275" s="615"/>
      <c r="H275" s="615"/>
      <c r="I275" s="615"/>
      <c r="J275" s="615"/>
      <c r="K275" s="1665">
        <f>D275</f>
        <v>0</v>
      </c>
      <c r="L275" s="466"/>
    </row>
    <row r="276" spans="1:12" x14ac:dyDescent="0.2">
      <c r="A276" s="1501" t="s">
        <v>404</v>
      </c>
      <c r="B276" s="613">
        <v>2660</v>
      </c>
      <c r="C276" s="615"/>
      <c r="D276" s="466">
        <v>0</v>
      </c>
      <c r="E276" s="615"/>
      <c r="F276" s="615"/>
      <c r="G276" s="615"/>
      <c r="H276" s="615"/>
      <c r="I276" s="615"/>
      <c r="J276" s="615"/>
      <c r="K276" s="1665">
        <f>D276</f>
        <v>0</v>
      </c>
      <c r="L276" s="466"/>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row>
    <row r="279" spans="1:12" ht="12.75" customHeight="1" thickBot="1" x14ac:dyDescent="0.25">
      <c r="A279" s="1691" t="s">
        <v>811</v>
      </c>
      <c r="B279" s="1674">
        <v>2000</v>
      </c>
      <c r="C279" s="615"/>
      <c r="D279" s="1670">
        <f>SUM(D238,D243,D257,D261,D270,D277,D278)</f>
        <v>338295</v>
      </c>
      <c r="E279" s="615"/>
      <c r="F279" s="615"/>
      <c r="G279" s="615"/>
      <c r="H279" s="615"/>
      <c r="I279" s="615"/>
      <c r="J279" s="615"/>
      <c r="K279" s="1670">
        <f>SUM(K238,K243,K257,K261,K270,K277,K278)</f>
        <v>338295</v>
      </c>
      <c r="L279" s="1670">
        <f>SUM(L238,L243,L257,L261,L270,L277,L278)</f>
        <v>343405</v>
      </c>
    </row>
    <row r="280" spans="1:12" ht="15.75" customHeight="1" thickTop="1" thickBot="1" x14ac:dyDescent="0.25">
      <c r="A280" s="1621" t="s">
        <v>875</v>
      </c>
      <c r="B280" s="1610">
        <v>3000</v>
      </c>
      <c r="C280" s="615"/>
      <c r="D280" s="575">
        <v>0</v>
      </c>
      <c r="E280" s="615"/>
      <c r="F280" s="615"/>
      <c r="G280" s="615"/>
      <c r="H280" s="615"/>
      <c r="I280" s="615"/>
      <c r="J280" s="615"/>
      <c r="K280" s="1672">
        <f>D280</f>
        <v>0</v>
      </c>
      <c r="L280" s="575"/>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1839</v>
      </c>
      <c r="C282" s="615"/>
      <c r="D282" s="467" t="s">
        <v>1169</v>
      </c>
      <c r="E282" s="615"/>
      <c r="F282" s="615"/>
      <c r="G282" s="615"/>
      <c r="H282" s="615"/>
      <c r="I282" s="615"/>
      <c r="J282" s="615"/>
      <c r="K282" s="1664" t="str">
        <f>D282</f>
        <v xml:space="preserve"> </v>
      </c>
      <c r="L282" s="467"/>
    </row>
    <row r="283" spans="1:12" x14ac:dyDescent="0.2">
      <c r="A283" s="1501" t="s">
        <v>304</v>
      </c>
      <c r="B283" s="613">
        <v>4120</v>
      </c>
      <c r="C283" s="615"/>
      <c r="D283" s="466">
        <v>0</v>
      </c>
      <c r="E283" s="615"/>
      <c r="F283" s="615"/>
      <c r="G283" s="615"/>
      <c r="H283" s="615"/>
      <c r="I283" s="615"/>
      <c r="J283" s="615"/>
      <c r="K283" s="1664">
        <f>D283</f>
        <v>0</v>
      </c>
      <c r="L283" s="466"/>
    </row>
    <row r="284" spans="1:12" x14ac:dyDescent="0.2">
      <c r="A284" s="1501" t="s">
        <v>697</v>
      </c>
      <c r="B284" s="613">
        <v>4140</v>
      </c>
      <c r="C284" s="615"/>
      <c r="D284" s="467">
        <v>0</v>
      </c>
      <c r="E284" s="615"/>
      <c r="F284" s="615"/>
      <c r="G284" s="615"/>
      <c r="H284" s="615"/>
      <c r="I284" s="615"/>
      <c r="J284" s="615"/>
      <c r="K284" s="1664">
        <f>D284</f>
        <v>0</v>
      </c>
      <c r="L284" s="466"/>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row>
    <row r="289" spans="1:14" x14ac:dyDescent="0.2">
      <c r="A289" s="1501" t="s">
        <v>88</v>
      </c>
      <c r="B289" s="613">
        <v>5120</v>
      </c>
      <c r="C289" s="615"/>
      <c r="D289" s="615"/>
      <c r="E289" s="615"/>
      <c r="F289" s="615"/>
      <c r="G289" s="615"/>
      <c r="H289" s="466">
        <v>0</v>
      </c>
      <c r="I289" s="615"/>
      <c r="J289" s="615"/>
      <c r="K289" s="1664">
        <f>H289</f>
        <v>0</v>
      </c>
      <c r="L289" s="466"/>
    </row>
    <row r="290" spans="1:14" ht="12.75" customHeight="1" x14ac:dyDescent="0.2">
      <c r="A290" s="1501" t="s">
        <v>1170</v>
      </c>
      <c r="B290" s="627" t="s">
        <v>617</v>
      </c>
      <c r="C290" s="615"/>
      <c r="D290" s="615"/>
      <c r="E290" s="615"/>
      <c r="F290" s="615"/>
      <c r="G290" s="615"/>
      <c r="H290" s="466">
        <v>0</v>
      </c>
      <c r="I290" s="615"/>
      <c r="J290" s="615"/>
      <c r="K290" s="1664">
        <f>H290</f>
        <v>0</v>
      </c>
      <c r="L290" s="466"/>
    </row>
    <row r="291" spans="1:14" x14ac:dyDescent="0.2">
      <c r="A291" s="1501" t="s">
        <v>89</v>
      </c>
      <c r="B291" s="613" t="s">
        <v>589</v>
      </c>
      <c r="C291" s="615"/>
      <c r="D291" s="615"/>
      <c r="E291" s="615"/>
      <c r="F291" s="615"/>
      <c r="G291" s="615"/>
      <c r="H291" s="466">
        <v>0</v>
      </c>
      <c r="I291" s="615"/>
      <c r="J291" s="615"/>
      <c r="K291" s="1664">
        <f>H291</f>
        <v>0</v>
      </c>
      <c r="L291" s="466"/>
    </row>
    <row r="292" spans="1:14" x14ac:dyDescent="0.2">
      <c r="A292" s="1501" t="s">
        <v>762</v>
      </c>
      <c r="B292" s="613" t="s">
        <v>618</v>
      </c>
      <c r="C292" s="615"/>
      <c r="D292" s="615"/>
      <c r="E292" s="615"/>
      <c r="F292" s="615"/>
      <c r="G292" s="615"/>
      <c r="H292" s="466">
        <v>0</v>
      </c>
      <c r="I292" s="615"/>
      <c r="J292" s="615"/>
      <c r="K292" s="1664">
        <f>H292</f>
        <v>0</v>
      </c>
      <c r="L292" s="466"/>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row>
    <row r="295" spans="1:14" ht="12.75" customHeight="1" thickTop="1" thickBot="1" x14ac:dyDescent="0.25">
      <c r="A295" s="2189" t="s">
        <v>505</v>
      </c>
      <c r="B295" s="2190"/>
      <c r="C295" s="615"/>
      <c r="D295" s="1663">
        <f>SUM(D229,D279,D280,D285)</f>
        <v>581268</v>
      </c>
      <c r="E295" s="615"/>
      <c r="F295" s="615"/>
      <c r="G295" s="615"/>
      <c r="H295" s="1663">
        <f>H293</f>
        <v>0</v>
      </c>
      <c r="I295" s="615"/>
      <c r="J295" s="615"/>
      <c r="K295" s="1663">
        <f>SUM(K229,K279,K280,K285,K293,K294)</f>
        <v>581268</v>
      </c>
      <c r="L295" s="1663">
        <f>SUM(L229,L279,L280,L285,L293,L294)</f>
        <v>589196</v>
      </c>
    </row>
    <row r="296" spans="1:14" ht="13.5" thickTop="1" x14ac:dyDescent="0.2">
      <c r="A296" s="2171" t="s">
        <v>996</v>
      </c>
      <c r="B296" s="2172"/>
      <c r="C296" s="615"/>
      <c r="D296" s="617"/>
      <c r="E296" s="615"/>
      <c r="F296" s="615"/>
      <c r="G296" s="615"/>
      <c r="H296" s="685"/>
      <c r="I296" s="615"/>
      <c r="J296" s="615"/>
      <c r="K296" s="1677">
        <f>'Revenues 9-14'!G268-'Expenditures 15-22'!K295</f>
        <v>89194</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1" t="s">
        <v>143</v>
      </c>
      <c r="B298" s="2175"/>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0</v>
      </c>
      <c r="H301" s="466">
        <v>0</v>
      </c>
      <c r="I301" s="466">
        <v>0</v>
      </c>
      <c r="J301" s="466">
        <v>0</v>
      </c>
      <c r="K301" s="1664">
        <f>SUM(C301:J301)</f>
        <v>0</v>
      </c>
      <c r="L301" s="467"/>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1844</v>
      </c>
      <c r="B306" s="688" t="s">
        <v>1839</v>
      </c>
      <c r="C306" s="615"/>
      <c r="D306" s="615"/>
      <c r="E306" s="466" t="s">
        <v>1169</v>
      </c>
      <c r="F306" s="615"/>
      <c r="G306" s="615"/>
      <c r="H306" s="466" t="s">
        <v>1169</v>
      </c>
      <c r="I306" s="615"/>
      <c r="J306" s="615"/>
      <c r="K306" s="1664">
        <f>SUM(E306,H306)</f>
        <v>0</v>
      </c>
      <c r="L306" s="467"/>
    </row>
    <row r="307" spans="1:14" x14ac:dyDescent="0.2">
      <c r="A307" s="1501" t="s">
        <v>304</v>
      </c>
      <c r="B307" s="613">
        <v>4120</v>
      </c>
      <c r="C307" s="615"/>
      <c r="D307" s="615"/>
      <c r="E307" s="466">
        <v>0</v>
      </c>
      <c r="F307" s="615"/>
      <c r="G307" s="615"/>
      <c r="H307" s="466">
        <v>0</v>
      </c>
      <c r="I307" s="477"/>
      <c r="J307" s="615"/>
      <c r="K307" s="1664">
        <f>SUM(E307,H307)</f>
        <v>0</v>
      </c>
      <c r="L307" s="466"/>
    </row>
    <row r="308" spans="1:14" x14ac:dyDescent="0.2">
      <c r="A308" s="1501" t="s">
        <v>697</v>
      </c>
      <c r="B308" s="613">
        <v>4140</v>
      </c>
      <c r="C308" s="615"/>
      <c r="D308" s="615"/>
      <c r="E308" s="466">
        <v>0</v>
      </c>
      <c r="F308" s="615"/>
      <c r="G308" s="615"/>
      <c r="H308" s="466">
        <v>0</v>
      </c>
      <c r="I308" s="477"/>
      <c r="J308" s="615"/>
      <c r="K308" s="1664">
        <f>SUM(E308,H308)</f>
        <v>0</v>
      </c>
      <c r="L308" s="466"/>
    </row>
    <row r="309" spans="1:14" ht="12.75" customHeight="1" x14ac:dyDescent="0.2">
      <c r="A309" s="1505" t="s">
        <v>698</v>
      </c>
      <c r="B309" s="627">
        <v>4190</v>
      </c>
      <c r="C309" s="615"/>
      <c r="D309" s="615"/>
      <c r="E309" s="466">
        <v>0</v>
      </c>
      <c r="F309" s="615"/>
      <c r="G309" s="615"/>
      <c r="H309" s="466">
        <v>0</v>
      </c>
      <c r="I309" s="477"/>
      <c r="J309" s="615"/>
      <c r="K309" s="1664">
        <f>SUM(E309,H309)</f>
        <v>0</v>
      </c>
      <c r="L309" s="466"/>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row>
    <row r="312" spans="1:14" s="672" customFormat="1" ht="12.75" customHeight="1" thickTop="1" thickBot="1" x14ac:dyDescent="0.25">
      <c r="A312" s="2186" t="s">
        <v>277</v>
      </c>
      <c r="B312" s="2187"/>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3"/>
      <c r="N312" s="663"/>
    </row>
    <row r="313" spans="1:14" ht="13.5" thickTop="1" x14ac:dyDescent="0.2">
      <c r="A313" s="2182" t="s">
        <v>996</v>
      </c>
      <c r="B313" s="2183"/>
      <c r="C313" s="625"/>
      <c r="D313" s="625"/>
      <c r="E313" s="625"/>
      <c r="F313" s="625"/>
      <c r="G313" s="625"/>
      <c r="H313" s="625"/>
      <c r="I313" s="625"/>
      <c r="J313" s="625"/>
      <c r="K313" s="1678">
        <f>'Revenues 9-14'!H268-'Expenditures 15-22'!K312</f>
        <v>0</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5" t="s">
        <v>149</v>
      </c>
      <c r="B315" s="2196"/>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7" t="s">
        <v>898</v>
      </c>
      <c r="B317" s="2196"/>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c r="M319" s="663"/>
      <c r="N319" s="663"/>
    </row>
    <row r="320" spans="1:14" s="672" customFormat="1" x14ac:dyDescent="0.2">
      <c r="A320" s="1520" t="s">
        <v>1800</v>
      </c>
      <c r="B320" s="696" t="s">
        <v>282</v>
      </c>
      <c r="C320" s="467">
        <v>0</v>
      </c>
      <c r="D320" s="467">
        <v>0</v>
      </c>
      <c r="E320" s="467">
        <v>94297</v>
      </c>
      <c r="F320" s="467">
        <v>0</v>
      </c>
      <c r="G320" s="467">
        <v>0</v>
      </c>
      <c r="H320" s="467">
        <v>0</v>
      </c>
      <c r="I320" s="467">
        <v>0</v>
      </c>
      <c r="J320" s="467">
        <v>0</v>
      </c>
      <c r="K320" s="1664">
        <f t="shared" ref="K320:K327" si="24">SUM(C320:J320)</f>
        <v>94297</v>
      </c>
      <c r="L320" s="467">
        <v>198781</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c r="M321" s="663"/>
      <c r="N321" s="663"/>
    </row>
    <row r="322" spans="1:14" s="672" customFormat="1" x14ac:dyDescent="0.2">
      <c r="A322" s="1516" t="s">
        <v>238</v>
      </c>
      <c r="B322" s="695" t="s">
        <v>284</v>
      </c>
      <c r="C322" s="467">
        <v>0</v>
      </c>
      <c r="D322" s="467">
        <v>0</v>
      </c>
      <c r="E322" s="467">
        <v>5400</v>
      </c>
      <c r="F322" s="467">
        <v>0</v>
      </c>
      <c r="G322" s="467">
        <v>0</v>
      </c>
      <c r="H322" s="467">
        <v>0</v>
      </c>
      <c r="I322" s="467">
        <v>0</v>
      </c>
      <c r="J322" s="467">
        <v>0</v>
      </c>
      <c r="K322" s="1664">
        <f t="shared" si="24"/>
        <v>5400</v>
      </c>
      <c r="L322" s="467">
        <v>5400</v>
      </c>
      <c r="M322" s="663"/>
      <c r="N322" s="663"/>
    </row>
    <row r="323" spans="1:14" s="672" customFormat="1" x14ac:dyDescent="0.2">
      <c r="A323" s="1516" t="s">
        <v>702</v>
      </c>
      <c r="B323" s="695" t="s">
        <v>285</v>
      </c>
      <c r="C323" s="467">
        <v>0</v>
      </c>
      <c r="D323" s="467">
        <v>0</v>
      </c>
      <c r="E323" s="467">
        <v>0</v>
      </c>
      <c r="F323" s="467">
        <v>0</v>
      </c>
      <c r="G323" s="467">
        <v>0</v>
      </c>
      <c r="H323" s="467">
        <v>0</v>
      </c>
      <c r="I323" s="467">
        <v>0</v>
      </c>
      <c r="J323" s="467">
        <v>0</v>
      </c>
      <c r="K323" s="1664">
        <f t="shared" si="24"/>
        <v>0</v>
      </c>
      <c r="L323" s="467"/>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c r="M324" s="663"/>
      <c r="N324" s="663"/>
    </row>
    <row r="325" spans="1:14" s="672" customFormat="1" ht="22.5" x14ac:dyDescent="0.2">
      <c r="A325" s="1516" t="s">
        <v>1029</v>
      </c>
      <c r="B325" s="696" t="s">
        <v>287</v>
      </c>
      <c r="C325" s="467">
        <v>473918</v>
      </c>
      <c r="D325" s="467">
        <v>59950</v>
      </c>
      <c r="E325" s="467">
        <v>52960</v>
      </c>
      <c r="F325" s="467">
        <v>0</v>
      </c>
      <c r="G325" s="467">
        <v>0</v>
      </c>
      <c r="H325" s="467">
        <v>0</v>
      </c>
      <c r="I325" s="467">
        <v>0</v>
      </c>
      <c r="J325" s="467">
        <v>0</v>
      </c>
      <c r="K325" s="1664">
        <f t="shared" si="24"/>
        <v>586828</v>
      </c>
      <c r="L325" s="467">
        <v>565148</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c r="M326" s="663"/>
      <c r="N326" s="663"/>
    </row>
    <row r="327" spans="1:14" s="672" customFormat="1" x14ac:dyDescent="0.2">
      <c r="A327" s="1516" t="s">
        <v>971</v>
      </c>
      <c r="B327" s="695" t="s">
        <v>289</v>
      </c>
      <c r="C327" s="467">
        <v>0</v>
      </c>
      <c r="D327" s="467">
        <v>0</v>
      </c>
      <c r="E327" s="467">
        <v>0</v>
      </c>
      <c r="F327" s="467">
        <v>0</v>
      </c>
      <c r="G327" s="467">
        <v>0</v>
      </c>
      <c r="H327" s="467">
        <v>0</v>
      </c>
      <c r="I327" s="467">
        <v>0</v>
      </c>
      <c r="J327" s="467">
        <v>0</v>
      </c>
      <c r="K327" s="1664">
        <f t="shared" si="24"/>
        <v>0</v>
      </c>
      <c r="L327" s="467"/>
      <c r="M327" s="663"/>
      <c r="N327" s="663"/>
    </row>
    <row r="328" spans="1:14" s="672" customFormat="1" x14ac:dyDescent="0.2">
      <c r="A328" s="1517" t="s">
        <v>472</v>
      </c>
      <c r="B328" s="688" t="s">
        <v>1132</v>
      </c>
      <c r="C328" s="467">
        <v>0</v>
      </c>
      <c r="D328" s="467">
        <v>0</v>
      </c>
      <c r="E328" s="467">
        <v>34480</v>
      </c>
      <c r="F328" s="467">
        <v>0</v>
      </c>
      <c r="G328" s="467">
        <v>0</v>
      </c>
      <c r="H328" s="467">
        <v>0</v>
      </c>
      <c r="I328" s="467">
        <v>0</v>
      </c>
      <c r="J328" s="467">
        <v>0</v>
      </c>
      <c r="K328" s="1692">
        <f>SUM(C328:J328)</f>
        <v>34480</v>
      </c>
      <c r="L328" s="474"/>
      <c r="M328" s="663"/>
      <c r="N328" s="663"/>
    </row>
    <row r="329" spans="1:14" s="672" customFormat="1" x14ac:dyDescent="0.2">
      <c r="A329" s="1517" t="s">
        <v>1133</v>
      </c>
      <c r="B329" s="688" t="s">
        <v>1134</v>
      </c>
      <c r="C329" s="467">
        <v>0</v>
      </c>
      <c r="D329" s="467">
        <v>0</v>
      </c>
      <c r="E329" s="467">
        <v>40749</v>
      </c>
      <c r="F329" s="467">
        <v>0</v>
      </c>
      <c r="G329" s="467">
        <v>0</v>
      </c>
      <c r="H329" s="467">
        <v>0</v>
      </c>
      <c r="I329" s="467">
        <v>0</v>
      </c>
      <c r="J329" s="467">
        <v>0</v>
      </c>
      <c r="K329" s="1692">
        <f>SUM(C329:J329)</f>
        <v>40749</v>
      </c>
      <c r="L329" s="474"/>
      <c r="M329" s="663"/>
      <c r="N329" s="663"/>
    </row>
    <row r="330" spans="1:14" s="672" customFormat="1" ht="12.75" customHeight="1" thickBot="1" x14ac:dyDescent="0.25">
      <c r="A330" s="1693" t="s">
        <v>717</v>
      </c>
      <c r="B330" s="1662" t="s">
        <v>569</v>
      </c>
      <c r="C330" s="1663">
        <f>SUM(C319:C329)</f>
        <v>473918</v>
      </c>
      <c r="D330" s="1663">
        <f t="shared" ref="D330:J330" si="25">SUM(D319:D329)</f>
        <v>59950</v>
      </c>
      <c r="E330" s="1663">
        <f t="shared" si="25"/>
        <v>227886</v>
      </c>
      <c r="F330" s="1663">
        <f t="shared" si="25"/>
        <v>0</v>
      </c>
      <c r="G330" s="1663">
        <f t="shared" si="25"/>
        <v>0</v>
      </c>
      <c r="H330" s="1663">
        <f t="shared" si="25"/>
        <v>0</v>
      </c>
      <c r="I330" s="1663">
        <f t="shared" si="25"/>
        <v>0</v>
      </c>
      <c r="J330" s="1663">
        <f t="shared" si="25"/>
        <v>0</v>
      </c>
      <c r="K330" s="1663">
        <f>SUM(K319:K329)</f>
        <v>761754</v>
      </c>
      <c r="L330" s="1663">
        <f>SUM(L319:L329)</f>
        <v>769329</v>
      </c>
      <c r="M330" s="663"/>
      <c r="N330" s="663"/>
    </row>
    <row r="331" spans="1:14" s="672" customFormat="1" ht="12.75" customHeight="1" thickTop="1" x14ac:dyDescent="0.2">
      <c r="A331" s="1824" t="s">
        <v>1845</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1839</v>
      </c>
      <c r="C332" s="1826"/>
      <c r="D332" s="1826"/>
      <c r="E332" s="1826"/>
      <c r="F332" s="1826"/>
      <c r="G332" s="1826"/>
      <c r="H332" s="467" t="s">
        <v>1169</v>
      </c>
      <c r="I332" s="1826"/>
      <c r="J332" s="1826"/>
      <c r="K332" s="1664" t="str">
        <f>H332</f>
        <v xml:space="preserve"> </v>
      </c>
      <c r="L332" s="467"/>
      <c r="M332" s="663"/>
      <c r="N332" s="663"/>
    </row>
    <row r="333" spans="1:14" s="672" customFormat="1" ht="12.75" customHeight="1" x14ac:dyDescent="0.2">
      <c r="A333" s="1825" t="s">
        <v>304</v>
      </c>
      <c r="B333" s="1820" t="s">
        <v>1841</v>
      </c>
      <c r="C333" s="1826"/>
      <c r="D333" s="1826"/>
      <c r="E333" s="1826"/>
      <c r="F333" s="1826"/>
      <c r="G333" s="1826"/>
      <c r="H333" s="467" t="s">
        <v>1169</v>
      </c>
      <c r="I333" s="1826"/>
      <c r="J333" s="1826"/>
      <c r="K333" s="1664" t="str">
        <f>H333</f>
        <v xml:space="preserve"> </v>
      </c>
      <c r="L333" s="467"/>
      <c r="M333" s="663"/>
      <c r="N333" s="663"/>
    </row>
    <row r="334" spans="1:14" s="672" customFormat="1" ht="12.75" customHeight="1" thickBot="1" x14ac:dyDescent="0.25">
      <c r="A334" s="1825" t="s">
        <v>1846</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row>
    <row r="338" spans="1:14" ht="12.75" customHeight="1" x14ac:dyDescent="0.2">
      <c r="A338" s="1515" t="s">
        <v>1170</v>
      </c>
      <c r="B338" s="688" t="s">
        <v>617</v>
      </c>
      <c r="C338" s="636"/>
      <c r="D338" s="636"/>
      <c r="E338" s="636"/>
      <c r="F338" s="636"/>
      <c r="G338" s="636"/>
      <c r="H338" s="639">
        <v>0</v>
      </c>
      <c r="I338" s="636"/>
      <c r="J338" s="636"/>
      <c r="K338" s="1664">
        <f>H338</f>
        <v>0</v>
      </c>
      <c r="L338" s="639"/>
    </row>
    <row r="339" spans="1:14" x14ac:dyDescent="0.2">
      <c r="A339" s="1501" t="s">
        <v>901</v>
      </c>
      <c r="B339" s="627">
        <v>5150</v>
      </c>
      <c r="C339" s="636"/>
      <c r="D339" s="636"/>
      <c r="E339" s="636"/>
      <c r="F339" s="636"/>
      <c r="G339" s="636"/>
      <c r="H339" s="467">
        <v>0</v>
      </c>
      <c r="I339" s="636"/>
      <c r="J339" s="636"/>
      <c r="K339" s="1664">
        <f>H339</f>
        <v>0</v>
      </c>
      <c r="L339" s="467"/>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row>
    <row r="342" spans="1:14" ht="12.75" customHeight="1" thickTop="1" thickBot="1" x14ac:dyDescent="0.25">
      <c r="A342" s="1679" t="s">
        <v>505</v>
      </c>
      <c r="B342" s="1694"/>
      <c r="C342" s="1663">
        <f>SUM(C330)</f>
        <v>473918</v>
      </c>
      <c r="D342" s="1663">
        <f>SUM(D330)</f>
        <v>59950</v>
      </c>
      <c r="E342" s="1663">
        <f>SUM(E330)</f>
        <v>227886</v>
      </c>
      <c r="F342" s="1663">
        <f>SUM(F330)</f>
        <v>0</v>
      </c>
      <c r="G342" s="1663">
        <f>SUM(G330)</f>
        <v>0</v>
      </c>
      <c r="H342" s="1663">
        <f>SUM(H330,H334,H340)</f>
        <v>0</v>
      </c>
      <c r="I342" s="1663">
        <f>SUM(I330)</f>
        <v>0</v>
      </c>
      <c r="J342" s="1663">
        <f>SUM(J330)</f>
        <v>0</v>
      </c>
      <c r="K342" s="1663">
        <f>SUM(K330,K334,K340)</f>
        <v>761754</v>
      </c>
      <c r="L342" s="1670">
        <f>SUM(L330,L334,L340,L341)</f>
        <v>769329</v>
      </c>
    </row>
    <row r="343" spans="1:14" ht="12.75" customHeight="1" thickTop="1" x14ac:dyDescent="0.2">
      <c r="A343" s="2184" t="s">
        <v>996</v>
      </c>
      <c r="B343" s="2185"/>
      <c r="C343" s="615"/>
      <c r="D343" s="615"/>
      <c r="E343" s="615"/>
      <c r="F343" s="615"/>
      <c r="G343" s="615"/>
      <c r="H343" s="615"/>
      <c r="I343" s="615"/>
      <c r="J343" s="615"/>
      <c r="K343" s="1677">
        <f>'Revenues 9-14'!J268-'Expenditures 15-22'!K342</f>
        <v>463014</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4" t="s">
        <v>966</v>
      </c>
      <c r="B345" s="2175"/>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10967</v>
      </c>
      <c r="F348" s="466">
        <v>0</v>
      </c>
      <c r="G348" s="466">
        <v>0</v>
      </c>
      <c r="H348" s="466">
        <v>0</v>
      </c>
      <c r="I348" s="466">
        <v>0</v>
      </c>
      <c r="J348" s="466">
        <v>0</v>
      </c>
      <c r="K348" s="1664">
        <f>SUM(C348:J348)</f>
        <v>10967</v>
      </c>
      <c r="L348" s="466">
        <v>10967</v>
      </c>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row>
    <row r="350" spans="1:14" ht="12.75" customHeight="1" thickBot="1" x14ac:dyDescent="0.25">
      <c r="A350" s="1661" t="s">
        <v>719</v>
      </c>
      <c r="B350" s="1662" t="s">
        <v>35</v>
      </c>
      <c r="C350" s="1663">
        <f>SUM(C348:C349)</f>
        <v>0</v>
      </c>
      <c r="D350" s="1663">
        <f t="shared" ref="D350:L350" si="26">SUM(D348:D349)</f>
        <v>0</v>
      </c>
      <c r="E350" s="1663">
        <f t="shared" si="26"/>
        <v>10967</v>
      </c>
      <c r="F350" s="1663">
        <f t="shared" si="26"/>
        <v>0</v>
      </c>
      <c r="G350" s="1663">
        <f t="shared" si="26"/>
        <v>0</v>
      </c>
      <c r="H350" s="1663">
        <f t="shared" si="26"/>
        <v>0</v>
      </c>
      <c r="I350" s="1663">
        <f t="shared" si="26"/>
        <v>0</v>
      </c>
      <c r="J350" s="1663">
        <f t="shared" si="26"/>
        <v>0</v>
      </c>
      <c r="K350" s="1663">
        <f t="shared" si="26"/>
        <v>10967</v>
      </c>
      <c r="L350" s="1663">
        <f t="shared" si="26"/>
        <v>10967</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1" t="s">
        <v>624</v>
      </c>
      <c r="B352" s="1668" t="s">
        <v>569</v>
      </c>
      <c r="C352" s="1663">
        <f>SUM(C350:C351)</f>
        <v>0</v>
      </c>
      <c r="D352" s="1663">
        <f t="shared" ref="D352:L352" si="27">SUM(D350:D351)</f>
        <v>0</v>
      </c>
      <c r="E352" s="1663">
        <f t="shared" si="27"/>
        <v>10967</v>
      </c>
      <c r="F352" s="1663">
        <f t="shared" si="27"/>
        <v>0</v>
      </c>
      <c r="G352" s="1663">
        <f t="shared" si="27"/>
        <v>0</v>
      </c>
      <c r="H352" s="1663">
        <f t="shared" si="27"/>
        <v>0</v>
      </c>
      <c r="I352" s="1663">
        <f t="shared" si="27"/>
        <v>0</v>
      </c>
      <c r="J352" s="1663">
        <f t="shared" si="27"/>
        <v>0</v>
      </c>
      <c r="K352" s="1663">
        <f t="shared" si="27"/>
        <v>10967</v>
      </c>
      <c r="L352" s="1663">
        <f t="shared" si="27"/>
        <v>10967</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1847</v>
      </c>
      <c r="B354" s="681" t="s">
        <v>1839</v>
      </c>
      <c r="C354" s="615"/>
      <c r="D354" s="615"/>
      <c r="E354" s="615"/>
      <c r="F354" s="615"/>
      <c r="G354" s="615"/>
      <c r="H354" s="474" t="s">
        <v>1169</v>
      </c>
      <c r="I354" s="699"/>
      <c r="J354" s="615"/>
      <c r="K354" s="1692" t="str">
        <f>H354</f>
        <v xml:space="preserve"> </v>
      </c>
      <c r="L354" s="471"/>
    </row>
    <row r="355" spans="1:14" ht="12.75" customHeight="1" x14ac:dyDescent="0.2">
      <c r="A355" s="1510" t="s">
        <v>1848</v>
      </c>
      <c r="B355" s="688" t="s">
        <v>1841</v>
      </c>
      <c r="C355" s="615"/>
      <c r="D355" s="615"/>
      <c r="E355" s="615"/>
      <c r="F355" s="615"/>
      <c r="G355" s="615"/>
      <c r="H355" s="467" t="s">
        <v>1169</v>
      </c>
      <c r="I355" s="699"/>
      <c r="J355" s="615"/>
      <c r="K355" s="1736" t="str">
        <f>H355</f>
        <v xml:space="preserve"> </v>
      </c>
      <c r="L355" s="467"/>
    </row>
    <row r="356" spans="1:14" ht="12.75" customHeight="1" x14ac:dyDescent="0.2">
      <c r="A356" s="1827" t="s">
        <v>698</v>
      </c>
      <c r="B356" s="681" t="s">
        <v>558</v>
      </c>
      <c r="C356" s="615"/>
      <c r="D356" s="615"/>
      <c r="E356" s="615"/>
      <c r="F356" s="615"/>
      <c r="G356" s="615"/>
      <c r="H356" s="479">
        <v>0</v>
      </c>
      <c r="I356" s="699"/>
      <c r="J356" s="615"/>
      <c r="K356" s="1733">
        <f>H356</f>
        <v>0</v>
      </c>
      <c r="L356" s="479"/>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row>
    <row r="361" spans="1:14" ht="12.75" customHeight="1" x14ac:dyDescent="0.2">
      <c r="A361" s="1502" t="s">
        <v>619</v>
      </c>
      <c r="B361" s="601" t="s">
        <v>618</v>
      </c>
      <c r="C361" s="615"/>
      <c r="D361" s="615"/>
      <c r="E361" s="615"/>
      <c r="F361" s="615"/>
      <c r="G361" s="615"/>
      <c r="H361" s="467">
        <v>0</v>
      </c>
      <c r="I361" s="615"/>
      <c r="J361" s="615"/>
      <c r="K361" s="1664">
        <f>SUM(C361:J361)</f>
        <v>0</v>
      </c>
      <c r="L361" s="466"/>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c r="M366" s="608"/>
      <c r="N366" s="608"/>
    </row>
    <row r="367" spans="1:14" ht="12.75" customHeight="1" thickTop="1" thickBot="1" x14ac:dyDescent="0.25">
      <c r="A367" s="1685" t="s">
        <v>505</v>
      </c>
      <c r="B367" s="1697"/>
      <c r="C367" s="1663">
        <f t="shared" ref="C367:L367" si="28">SUM(C352,C357,C365,C366)</f>
        <v>0</v>
      </c>
      <c r="D367" s="1663">
        <f t="shared" si="28"/>
        <v>0</v>
      </c>
      <c r="E367" s="1663">
        <f t="shared" si="28"/>
        <v>10967</v>
      </c>
      <c r="F367" s="1663">
        <f t="shared" si="28"/>
        <v>0</v>
      </c>
      <c r="G367" s="1663">
        <f t="shared" si="28"/>
        <v>0</v>
      </c>
      <c r="H367" s="1663">
        <f t="shared" si="28"/>
        <v>0</v>
      </c>
      <c r="I367" s="1663">
        <f t="shared" si="28"/>
        <v>0</v>
      </c>
      <c r="J367" s="1663">
        <f t="shared" si="28"/>
        <v>0</v>
      </c>
      <c r="K367" s="1663">
        <f t="shared" si="28"/>
        <v>10967</v>
      </c>
      <c r="L367" s="1663">
        <f t="shared" si="28"/>
        <v>10967</v>
      </c>
    </row>
    <row r="368" spans="1:14" ht="13.5" thickTop="1" x14ac:dyDescent="0.2">
      <c r="A368" s="2171" t="s">
        <v>996</v>
      </c>
      <c r="B368" s="2172"/>
      <c r="C368" s="652"/>
      <c r="D368" s="652"/>
      <c r="E368" s="625"/>
      <c r="F368" s="625"/>
      <c r="G368" s="625"/>
      <c r="H368" s="625"/>
      <c r="I368" s="625"/>
      <c r="J368" s="622"/>
      <c r="K368" s="1664">
        <f>'Revenues 9-14'!K268-'Expenditures 15-22'!K367</f>
        <v>218986</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www.w3.org/XML/1998/namespace"/>
    <ds:schemaRef ds:uri="http://schemas.openxmlformats.org/package/2006/metadata/core-properties"/>
    <ds:schemaRef ds:uri="http://schemas.microsoft.com/sharepoint/v3"/>
    <ds:schemaRef ds:uri="6ce3111e-7420-4802-b50a-75d4e9a0b980"/>
    <ds:schemaRef ds:uri="http://schemas.microsoft.com/office/2006/metadata/properties"/>
    <ds:schemaRef ds:uri="http://schemas.microsoft.com/office/infopath/2007/PartnerControls"/>
    <ds:schemaRef ds:uri="4d435f69-8686-490b-bd6d-b153bf22ab50"/>
    <ds:schemaRef ds:uri="d21dc803-237d-4c68-8692-8d731fd29118"/>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2019-12-11T15:32:55Z</cp:lastPrinted>
  <dcterms:created xsi:type="dcterms:W3CDTF">2003-10-29T19:06:34Z</dcterms:created>
  <dcterms:modified xsi:type="dcterms:W3CDTF">2019-12-30T19:54:33Z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