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B9AC75E-BCA9-4941-B35E-076D0C2A5F69}"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5" i="3" l="1"/>
  <c r="F4" i="3"/>
  <c r="C4" i="3"/>
  <c r="I5" i="3" l="1"/>
  <c r="G5" i="3"/>
  <c r="F5" i="3"/>
  <c r="E5" i="3"/>
  <c r="D5" i="3"/>
  <c r="C5"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D22" i="37"/>
  <c r="J22" i="37"/>
  <c r="D24" i="37"/>
  <c r="B4270" i="106" s="1"/>
  <c r="D4270" i="106" s="1"/>
  <c r="L5" i="11"/>
  <c r="B2056" i="106" s="1"/>
  <c r="D2056" i="106" s="1"/>
  <c r="D9" i="7"/>
  <c r="B1767" i="106" s="1"/>
  <c r="D1767" i="106" s="1"/>
  <c r="D17" i="7"/>
  <c r="B4104" i="106" s="1"/>
  <c r="D4104" i="106" s="1"/>
  <c r="D69" i="36" l="1"/>
  <c r="H33" i="118"/>
  <c r="F38" i="34"/>
  <c r="L342" i="29"/>
  <c r="F46" i="34"/>
  <c r="F77" i="4"/>
  <c r="B3255" i="106" s="1"/>
  <c r="D3255" i="106" s="1"/>
  <c r="F44" i="34"/>
  <c r="B3647" i="106"/>
  <c r="D3647" i="106" s="1"/>
  <c r="F50" i="34"/>
  <c r="F42" i="34"/>
  <c r="C342" i="29"/>
  <c r="B7216" i="106" s="1"/>
  <c r="D7216" i="106" s="1"/>
  <c r="L15" i="11"/>
  <c r="B3459" i="106" s="1"/>
  <c r="D3459" i="106" s="1"/>
  <c r="L13" i="11"/>
  <c r="B2060" i="106" s="1"/>
  <c r="D2060"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B6216" i="106" s="1"/>
  <c r="D6216" i="106" s="1"/>
  <c r="K184" i="29"/>
  <c r="F13" i="4" s="1"/>
  <c r="B2596" i="106" s="1"/>
  <c r="D2596" i="106" s="1"/>
  <c r="G210" i="29"/>
  <c r="G15" i="145"/>
  <c r="H28" i="118"/>
  <c r="E28" i="108"/>
  <c r="H342" i="29"/>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D51" i="36"/>
  <c r="D44" i="36"/>
  <c r="C114" i="29"/>
  <c r="B757" i="106" s="1"/>
  <c r="D757" i="106" s="1"/>
  <c r="F174" i="34"/>
  <c r="D7255" i="106"/>
  <c r="D7250" i="106"/>
  <c r="K342" i="29"/>
  <c r="F13" i="34" s="1"/>
  <c r="G170" i="5"/>
  <c r="B5778" i="106" s="1"/>
  <c r="D5778" i="106" s="1"/>
  <c r="D7251" i="106"/>
  <c r="D7252" i="106"/>
  <c r="D7256" i="106"/>
  <c r="B1317" i="106"/>
  <c r="D1317" i="106" s="1"/>
  <c r="J16" i="4"/>
  <c r="B6226" i="106" s="1"/>
  <c r="D6226" i="106" s="1"/>
  <c r="L16" i="11"/>
  <c r="B2061" i="106" s="1"/>
  <c r="D2061"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G6" i="4" l="1"/>
  <c r="B2604" i="106" s="1"/>
  <c r="D260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D8" i="146" l="1"/>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<sst xmlns="http://schemas.openxmlformats.org/spreadsheetml/2006/main" count="5085" uniqueCount="2112">
  <si>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</si>
  <si>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</si>
  <si>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</si>
  <si>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</si>
  <si>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</si>
  <si>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</si>
  <si>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</si>
  <si>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</si>
  <si>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</si>
  <si>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</si>
  <si>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</si>
  <si>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</si>
  <si>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</si>
  <si>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</si>
  <si>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</si>
  <si>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</si>
  <si>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</si>
  <si>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</si>
  <si>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</si>
  <si>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</si>
  <si>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</si>
  <si>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</si>
  <si>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</si>
  <si>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</si>
  <si>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</si>
  <si>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</si>
  <si>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</si>
  <si>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</si>
  <si>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</si>
  <si>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</si>
  <si>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</si>
  <si>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</si>
  <si>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</si>
  <si>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</si>
  <si>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</si>
  <si>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</si>
  <si>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</si>
  <si>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</si>
  <si>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</si>
  <si>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</si>
  <si>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</si>
  <si>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</si>
  <si>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</si>
  <si>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</si>
  <si>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</si>
  <si>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</si>
  <si>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</si>
  <si>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</si>
  <si>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</si>
  <si>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</si>
  <si>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</si>
  <si>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</si>
  <si>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</si>
  <si>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</si>
  <si>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</si>
  <si>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</si>
  <si>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</si>
  <si>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</si>
  <si>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</si>
  <si>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</si>
  <si>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</si>
  <si>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</si>
  <si>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</si>
  <si>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</si>
  <si>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</si>
  <si>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</si>
  <si>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</si>
  <si>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</si>
  <si>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</si>
  <si>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</si>
  <si>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</si>
  <si>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</si>
  <si>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</si>
  <si>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</si>
  <si>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</si>
  <si>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</si>
  <si>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</si>
  <si>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</si>
  <si>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</si>
  <si>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</si>
  <si>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</si>
  <si>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</si>
  <si>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</si>
  <si>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</si>
  <si>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</si>
  <si>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</si>
  <si>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</si>
  <si>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</si>
  <si>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</si>
  <si>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</si>
  <si>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</si>
  <si>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</si>
  <si>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</si>
  <si>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</si>
  <si>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</si>
  <si>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</si>
  <si>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</si>
  <si>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</si>
  <si>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</si>
  <si>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</si>
  <si>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</si>
  <si>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</si>
  <si>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</si>
  <si>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</si>
  <si>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</si>
  <si>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</si>
  <si>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</si>
  <si>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</si>
  <si>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</si>
  <si>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</si>
  <si>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</si>
  <si>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</si>
  <si>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</si>
  <si>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</si>
  <si>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</si>
  <si>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</si>
  <si>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</si>
  <si>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</si>
  <si>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</si>
  <si>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</si>
  <si>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</si>
  <si>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</si>
  <si>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</si>
  <si>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</si>
  <si>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</si>
  <si>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</si>
  <si>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</si>
  <si>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</si>
  <si>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</si>
  <si>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</si>
  <si>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</si>
  <si>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</si>
  <si>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</si>
  <si>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</si>
  <si>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</si>
  <si>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</si>
  <si>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</si>
  <si>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</si>
  <si>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</si>
  <si>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</si>
  <si>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</si>
  <si>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</si>
  <si>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</si>
  <si>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</si>
  <si>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</si>
  <si>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</si>
  <si>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</si>
  <si>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</si>
  <si>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</si>
  <si>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</si>
  <si>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</si>
  <si>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</si>
  <si>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</si>
  <si>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</si>
  <si>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</si>
  <si>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</si>
  <si>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</si>
  <si>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</si>
  <si>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</si>
  <si>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</si>
  <si>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</si>
  <si>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</si>
  <si>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</si>
  <si>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</si>
  <si>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</si>
  <si>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</si>
  <si>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</si>
  <si>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</si>
  <si>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</si>
  <si>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</si>
  <si>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</si>
  <si>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</si>
  <si>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</si>
  <si>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</si>
  <si>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</si>
  <si>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</si>
  <si>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</si>
  <si>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</si>
  <si>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</si>
  <si>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</si>
  <si>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</si>
  <si>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</si>
  <si>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</si>
  <si>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</si>
  <si>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</si>
  <si>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</si>
  <si>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</si>
  <si>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</si>
  <si>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</si>
  <si>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</si>
  <si>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</si>
  <si>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</si>
  <si>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</si>
  <si>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</si>
  <si>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</si>
  <si>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</si>
  <si>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</si>
  <si>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</si>
  <si>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</si>
  <si>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</si>
  <si>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</si>
  <si>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</si>
  <si>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</si>
  <si>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</si>
  <si>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</si>
  <si>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</si>
  <si>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</si>
  <si>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</si>
  <si>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</si>
  <si>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</si>
  <si>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</si>
  <si>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</si>
  <si>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</si>
  <si>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</si>
  <si>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</si>
  <si>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</si>
  <si>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</si>
  <si>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</si>
  <si>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</si>
  <si>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</si>
  <si>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</si>
  <si>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</si>
  <si>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</si>
  <si>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</si>
  <si>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</si>
  <si>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</si>
  <si>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</si>
  <si>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</si>
  <si>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</si>
  <si>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</si>
  <si>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</si>
  <si>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</si>
  <si>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</si>
  <si>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</si>
  <si>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</si>
  <si>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</si>
  <si>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</si>
  <si>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</si>
  <si>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</si>
  <si>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</si>
  <si>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</si>
  <si>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</si>
  <si>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</si>
  <si>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</si>
  <si>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</si>
  <si>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</si>
  <si>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</si>
  <si>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</si>
  <si>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</si>
  <si>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</si>
  <si>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</si>
  <si>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</si>
  <si>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</si>
  <si>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</si>
  <si>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</si>
  <si>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</si>
  <si>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</si>
  <si>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</si>
  <si>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</si>
  <si>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</si>
  <si>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</si>
  <si>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</si>
  <si>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</si>
  <si>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</si>
  <si>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</si>
  <si>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</si>
  <si>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</si>
  <si>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</si>
  <si>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</si>
  <si>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</si>
  <si>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</si>
  <si>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</si>
  <si>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</si>
  <si>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</si>
  <si>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</si>
  <si>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</si>
  <si>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</si>
  <si>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</si>
  <si>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</si>
  <si>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</si>
  <si>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</si>
  <si>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</si>
  <si>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</si>
  <si>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</si>
  <si>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</si>
  <si>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</si>
  <si>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</si>
  <si>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</si>
  <si>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</si>
  <si>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</si>
  <si>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</si>
  <si>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</si>
  <si>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</si>
  <si>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</si>
  <si>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</si>
  <si>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</si>
  <si>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</si>
  <si>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</si>
  <si>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</si>
  <si>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</si>
  <si>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</si>
  <si>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</si>
  <si>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</si>
  <si>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</si>
  <si>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</si>
  <si>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</si>
  <si>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</si>
  <si>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</si>
  <si>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</si>
  <si>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</si>
  <si>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</si>
  <si>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</si>
  <si>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</si>
  <si>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</si>
  <si>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</si>
  <si>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</si>
  <si>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</si>
  <si>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</si>
  <si>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</si>
  <si>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</si>
  <si>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</si>
  <si>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</si>
  <si>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</si>
  <si>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</si>
  <si>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</si>
  <si>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</si>
  <si>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</si>
  <si>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</si>
  <si>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</si>
  <si>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</si>
  <si>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</si>
  <si>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</si>
  <si>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</si>
  <si>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</si>
  <si>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</si>
  <si>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</si>
  <si>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</si>
  <si>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</si>
  <si>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</si>
  <si>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</si>
  <si>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</si>
  <si>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</si>
  <si>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</si>
  <si>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</si>
  <si>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</si>
  <si>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</si>
  <si>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</si>
  <si>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</si>
  <si>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</si>
  <si>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</si>
  <si>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</si>
  <si>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</si>
  <si>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</si>
  <si>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</si>
  <si>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</si>
  <si>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</si>
  <si>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</si>
  <si>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</si>
  <si>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</si>
  <si>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</si>
  <si>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</si>
  <si>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</si>
  <si>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</si>
  <si>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</si>
  <si>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</si>
  <si>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</si>
  <si>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</si>
  <si>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</si>
  <si>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</si>
  <si>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</si>
  <si>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</si>
  <si>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</si>
  <si>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</si>
  <si>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</si>
  <si>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</si>
  <si>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</si>
  <si>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</si>
  <si>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</si>
  <si>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</si>
  <si>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</si>
  <si>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</si>
  <si>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</si>
  <si>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</si>
  <si>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</si>
  <si>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</si>
  <si>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</si>
  <si>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</si>
  <si>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</si>
  <si>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</si>
  <si>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</si>
  <si>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</si>
  <si>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</si>
  <si>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</si>
  <si>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</si>
  <si>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</si>
  <si>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</si>
  <si>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</si>
  <si>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</si>
  <si>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</si>
  <si>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</si>
  <si>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</si>
  <si>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</si>
  <si>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</si>
  <si>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</si>
  <si>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</si>
  <si>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</si>
  <si>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</si>
  <si>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</si>
  <si>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</si>
  <si>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</si>
  <si>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</si>
  <si>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</si>
  <si>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</si>
  <si>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</si>
  <si>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</si>
  <si>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</si>
  <si>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</si>
  <si>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</si>
  <si>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</si>
  <si>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</si>
  <si>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</si>
  <si>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</si>
  <si>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</si>
  <si>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</si>
  <si>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</si>
  <si>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</si>
  <si>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</si>
  <si>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</si>
  <si>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</si>
  <si>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</si>
  <si>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</si>
  <si>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</si>
  <si>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</si>
  <si>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</si>
  <si>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</si>
  <si>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</si>
  <si>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</si>
  <si>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</si>
  <si>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</si>
  <si>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</si>
  <si>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</si>
  <si>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</si>
  <si>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</si>
  <si>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</si>
  <si>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</si>
  <si>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</si>
  <si>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</si>
  <si>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</si>
  <si>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</si>
  <si>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</si>
  <si>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</si>
  <si>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</si>
  <si>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</si>
  <si>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</si>
  <si>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</si>
  <si>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</si>
  <si>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</si>
  <si>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</si>
  <si>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</si>
  <si>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</si>
  <si>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</si>
  <si>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</si>
  <si>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</si>
  <si>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</si>
  <si>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</si>
  <si>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</si>
  <si>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</si>
  <si>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</si>
  <si>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</si>
  <si>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</si>
  <si>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</si>
  <si>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</si>
  <si>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</si>
  <si>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</si>
  <si>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</si>
  <si>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</si>
  <si>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</si>
  <si>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</si>
  <si>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</si>
  <si>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</si>
  <si>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</si>
  <si>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</si>
  <si>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</si>
  <si>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</si>
  <si>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</si>
  <si>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</si>
  <si>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</si>
  <si>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</si>
  <si>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</si>
  <si>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</si>
  <si>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</si>
  <si>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</si>
  <si>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</si>
  <si>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</si>
  <si>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</si>
  <si>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</si>
  <si>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</si>
  <si>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</si>
  <si>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</si>
  <si>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</si>
  <si>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</si>
  <si>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</si>
  <si>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</si>
  <si>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</si>
  <si>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</si>
  <si>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</si>
  <si>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</si>
  <si>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</si>
  <si>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</si>
  <si>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</si>
  <si>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</si>
  <si>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</si>
  <si>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</si>
  <si>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</si>
  <si>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</si>
  <si>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</si>
  <si>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</si>
  <si>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</si>
  <si>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</si>
  <si>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</si>
  <si>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</si>
  <si>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</si>
  <si>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</si>
  <si>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</si>
  <si>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</si>
  <si>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</si>
  <si>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</si>
  <si>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</si>
  <si>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</si>
  <si>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</si>
  <si>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</si>
  <si>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</si>
  <si>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</si>
  <si>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</si>
  <si>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</si>
  <si>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</si>
  <si>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</si>
  <si>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</si>
  <si>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</si>
  <si>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</si>
  <si>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</si>
  <si>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</si>
  <si>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</si>
  <si>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</si>
  <si>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</si>
  <si>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</si>
  <si>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</si>
  <si>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</si>
  <si>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</si>
  <si>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</si>
  <si>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</si>
  <si>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</si>
  <si>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</si>
  <si>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</si>
  <si>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</si>
  <si>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</si>
  <si>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</si>
  <si>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</si>
  <si>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</si>
  <si>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</si>
  <si>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</si>
  <si>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</si>
  <si>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</si>
  <si>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</si>
  <si>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</si>
  <si>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</si>
  <si>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</si>
  <si>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</si>
  <si>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</si>
  <si>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</si>
  <si>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</si>
  <si>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</si>
  <si>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</si>
  <si>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</si>
  <si>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</si>
  <si>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</si>
  <si>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</si>
  <si>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</si>
  <si>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</si>
  <si>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</si>
  <si>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</si>
  <si>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</si>
  <si>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</si>
  <si>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</si>
  <si>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</si>
  <si>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</si>
  <si>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</si>
  <si>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</si>
  <si>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</si>
  <si>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</si>
  <si>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</si>
  <si>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</si>
  <si>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</si>
  <si>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</si>
  <si>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</si>
  <si>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</si>
  <si>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</si>
  <si>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</si>
  <si>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</si>
  <si>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</si>
  <si>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</si>
  <si>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</si>
  <si>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</si>
  <si>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</si>
  <si>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</si>
  <si>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</si>
  <si>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</si>
  <si>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</si>
  <si>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</si>
  <si>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</si>
  <si>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</si>
  <si>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</si>
  <si>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</si>
  <si>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</si>
  <si>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</si>
  <si>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</si>
  <si>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</si>
  <si>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</si>
  <si>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</si>
  <si>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</si>
  <si>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</si>
  <si>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</si>
  <si>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</si>
  <si>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</si>
  <si>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</si>
  <si>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</si>
  <si>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</si>
  <si>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</si>
  <si>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</si>
  <si>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</si>
  <si>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</si>
  <si>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</si>
  <si>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</si>
  <si>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</si>
  <si>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</si>
  <si>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</si>
  <si>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</si>
  <si>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</si>
  <si>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</si>
  <si>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</si>
  <si>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</si>
  <si>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</si>
  <si>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</si>
  <si>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</si>
  <si>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</si>
  <si>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</si>
  <si>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</si>
  <si>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</si>
  <si>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</si>
  <si>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</si>
  <si>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</si>
  <si>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</si>
  <si>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</si>
  <si>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</si>
  <si>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</si>
  <si>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</si>
  <si>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</si>
  <si>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</si>
  <si>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</si>
  <si>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</si>
  <si>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</si>
  <si>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</si>
  <si>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</si>
  <si>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</si>
  <si>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</si>
  <si>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</si>
  <si>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</si>
  <si>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</si>
  <si>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</si>
  <si>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</si>
  <si>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</si>
  <si>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</si>
  <si>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</si>
  <si>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</si>
  <si>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</si>
  <si>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</si>
  <si>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</si>
  <si>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</si>
  <si>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</si>
  <si>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</si>
  <si>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</si>
  <si>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</si>
  <si>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</si>
  <si>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</si>
  <si>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</si>
  <si>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</si>
  <si>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</si>
  <si>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</si>
  <si>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</si>
  <si>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</si>
  <si>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</si>
  <si>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</si>
  <si>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</si>
  <si>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</si>
  <si>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</si>
  <si>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</si>
  <si>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</si>
  <si>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</si>
  <si>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</si>
  <si>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</si>
  <si>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</si>
  <si>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</si>
  <si>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</si>
  <si>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</si>
  <si>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</si>
  <si>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</si>
  <si>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</si>
  <si>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</si>
  <si>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</si>
  <si>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</si>
  <si>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</si>
  <si>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</si>
  <si>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</si>
  <si>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</si>
  <si>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</si>
  <si>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</si>
  <si>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</si>
  <si>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</si>
  <si>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</si>
  <si>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</si>
  <si>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</si>
  <si>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</si>
  <si>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</si>
  <si>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</si>
  <si>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</si>
  <si>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</si>
  <si>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</si>
  <si>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</si>
  <si>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</si>
  <si>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</si>
  <si>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</si>
  <si>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</si>
  <si>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</si>
  <si>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</si>
  <si>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</si>
  <si>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</si>
  <si>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</si>
  <si>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</si>
  <si>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</si>
  <si>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</si>
  <si>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</si>
  <si>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</si>
  <si>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</si>
  <si>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</si>
  <si>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</si>
  <si>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</si>
  <si>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</si>
  <si>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</si>
  <si>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</si>
  <si>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</si>
  <si>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</si>
  <si>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</si>
  <si>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</si>
  <si>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</si>
  <si>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</si>
  <si>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</si>
  <si>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</si>
  <si>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</si>
  <si>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</si>
  <si>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</si>
  <si>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</si>
  <si>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</si>
  <si>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</si>
  <si>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</si>
  <si>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</si>
  <si>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</si>
  <si>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</si>
  <si>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</si>
  <si>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</si>
  <si>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</si>
  <si>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</si>
  <si>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</si>
  <si>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</si>
  <si>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</si>
  <si>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</si>
  <si>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</si>
  <si>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</si>
  <si>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</si>
  <si>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</si>
  <si>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</si>
  <si>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</si>
  <si>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</si>
  <si>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</si>
  <si>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</si>
  <si>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</si>
  <si>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</si>
  <si>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</si>
  <si>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</si>
  <si>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</si>
  <si>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</si>
  <si>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</si>
  <si>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</si>
  <si>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</si>
  <si>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</si>
  <si>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</si>
  <si>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</si>
  <si>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</si>
  <si>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</si>
  <si>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</si>
  <si>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</si>
  <si>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</si>
  <si>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</si>
  <si>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</si>
  <si>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</si>
  <si>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</si>
  <si>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</si>
  <si>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</si>
  <si>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</si>
  <si>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</si>
  <si>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</si>
  <si>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</si>
  <si>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</si>
  <si>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</si>
  <si>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</si>
  <si>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</si>
  <si>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</si>
  <si>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</si>
  <si>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</si>
  <si>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</si>
  <si>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</si>
  <si>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</si>
  <si>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</si>
  <si>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</si>
  <si>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</si>
  <si>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</si>
  <si>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</si>
  <si>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</si>
  <si>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</si>
  <si>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</si>
  <si>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</si>
  <si>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</si>
  <si>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</si>
  <si>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</si>
  <si>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</si>
  <si>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</si>
  <si>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</si>
  <si>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</si>
  <si>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</si>
  <si>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</si>
  <si>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</si>
  <si>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</si>
  <si>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</si>
  <si>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</si>
  <si>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</si>
  <si>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</si>
  <si>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</si>
  <si>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</si>
  <si>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</si>
  <si>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</si>
  <si>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</si>
  <si>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</si>
  <si>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</si>
  <si>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</si>
  <si>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</si>
  <si>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</si>
  <si>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</si>
  <si>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</si>
  <si>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</si>
  <si>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</si>
  <si>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</si>
  <si>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</si>
  <si>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</si>
  <si>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</si>
  <si>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</si>
  <si>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</si>
  <si>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</si>
  <si>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</si>
  <si>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</si>
  <si>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</si>
  <si>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</si>
  <si>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</si>
  <si>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</si>
  <si>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</si>
  <si>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</si>
  <si>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</si>
  <si>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</si>
  <si>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</si>
  <si>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</si>
  <si>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</si>
  <si>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</si>
  <si>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</si>
  <si>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</si>
  <si>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</si>
  <si>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</si>
  <si>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</si>
  <si>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</si>
  <si>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</si>
  <si>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</si>
  <si>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</si>
  <si>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</si>
  <si>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</si>
  <si>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</si>
  <si>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</si>
  <si>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</si>
  <si>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</si>
  <si>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</si>
  <si>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</si>
  <si>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</si>
  <si>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</si>
  <si>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</si>
  <si>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</si>
  <si>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</si>
  <si>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</si>
  <si>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</si>
  <si>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</si>
  <si>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</si>
  <si>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</si>
  <si>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</si>
  <si>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</si>
  <si>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</si>
  <si>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</si>
  <si>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</si>
  <si>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</si>
  <si>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</si>
  <si>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</si>
  <si>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</si>
  <si>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</si>
  <si>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</si>
  <si>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</si>
  <si>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</si>
  <si>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</si>
  <si>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</si>
  <si>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</si>
  <si>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</si>
  <si>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</si>
  <si>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</si>
  <si>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</si>
  <si>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</si>
  <si>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</si>
  <si>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</si>
  <si>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</si>
  <si>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</si>
  <si>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</si>
  <si>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</si>
  <si>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</si>
  <si>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</si>
  <si>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</si>
  <si>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</si>
  <si>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</si>
  <si>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</si>
  <si>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</si>
  <si>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</si>
  <si>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</si>
  <si>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</si>
  <si>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</si>
  <si>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</si>
  <si>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</si>
  <si>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</si>
  <si>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</si>
  <si>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</si>
  <si>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</si>
  <si>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</si>
  <si>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</si>
  <si>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</si>
  <si>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</si>
  <si>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</si>
  <si>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</si>
  <si>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</si>
  <si>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</si>
  <si>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</si>
  <si>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</si>
  <si>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</si>
  <si>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</si>
  <si>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</si>
  <si>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</si>
  <si>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</si>
  <si>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</si>
  <si>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</si>
  <si>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</si>
  <si>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</si>
  <si>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</si>
  <si>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</si>
  <si>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</si>
  <si>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</si>
  <si>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</si>
  <si>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</si>
  <si>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</si>
  <si>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</si>
  <si>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</si>
  <si>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</si>
  <si>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</si>
  <si>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</si>
  <si>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</si>
  <si>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</si>
  <si>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</si>
  <si>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</si>
  <si>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</si>
  <si>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</si>
  <si>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</si>
  <si>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</si>
  <si>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</si>
  <si>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</si>
  <si>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</si>
  <si>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</si>
  <si>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</si>
  <si>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</si>
  <si>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</si>
  <si>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</si>
  <si>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</si>
  <si>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</si>
  <si>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</si>
  <si>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</si>
  <si>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</si>
  <si>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</si>
  <si>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</si>
  <si>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</si>
  <si>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</si>
  <si>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</si>
  <si>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</si>
  <si>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</si>
  <si>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</si>
  <si>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</si>
  <si>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</si>
  <si>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</si>
  <si>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</si>
  <si>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</si>
  <si>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</si>
  <si>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</si>
  <si>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</si>
  <si>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</si>
  <si>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</si>
  <si>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</si>
  <si>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</si>
  <si>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</si>
  <si>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</si>
  <si>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</si>
  <si>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</si>
  <si>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</si>
  <si>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</si>
  <si>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</si>
  <si>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</si>
  <si>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</si>
  <si>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</si>
  <si>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</si>
  <si>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</si>
  <si>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</si>
  <si>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</si>
  <si>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</si>
  <si>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</si>
  <si>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</si>
  <si>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</si>
  <si>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</si>
  <si>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</si>
  <si>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</si>
  <si>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</si>
  <si>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</si>
  <si>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</si>
  <si>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</si>
  <si>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</si>
  <si>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</si>
  <si>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</si>
  <si>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</si>
  <si>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</si>
  <si>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</si>
  <si>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</si>
  <si>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</si>
  <si>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</si>
  <si>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</si>
  <si>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</si>
  <si>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</si>
  <si>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</si>
  <si>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</si>
  <si>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</si>
  <si>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</si>
  <si>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</si>
  <si>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</si>
  <si>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</si>
  <si>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</si>
  <si>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</si>
  <si>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</si>
  <si>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</si>
  <si>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</si>
  <si>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</si>
  <si>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</si>
  <si>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</si>
  <si>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</si>
  <si>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</si>
  <si>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</si>
  <si>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</si>
  <si>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</si>
  <si>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</si>
  <si>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</si>
  <si>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</si>
  <si>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</si>
  <si>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</si>
  <si>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</si>
  <si>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</si>
  <si>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</si>
  <si>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</si>
  <si>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</si>
  <si>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</si>
  <si>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</si>
  <si>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</si>
  <si>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</si>
  <si>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</si>
  <si>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</si>
  <si>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</si>
  <si>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</si>
  <si>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</si>
  <si>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</si>
  <si>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</si>
  <si>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</si>
  <si>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</si>
  <si>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</si>
  <si>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</si>
  <si>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</si>
  <si>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</si>
  <si>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</si>
  <si>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</si>
  <si>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</si>
  <si>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</si>
  <si>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</si>
  <si>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</si>
  <si>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</si>
  <si>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</si>
  <si>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</si>
  <si>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</si>
  <si>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</si>
  <si>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</si>
  <si>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</si>
  <si>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</si>
  <si>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</si>
  <si>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</si>
  <si>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</si>
  <si>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</si>
  <si>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</si>
  <si>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</si>
  <si>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</si>
  <si>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</si>
  <si>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</si>
  <si>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</si>
  <si>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</si>
  <si>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</si>
  <si>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</si>
  <si>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</si>
  <si>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</si>
  <si>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</si>
  <si>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</si>
  <si>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</si>
  <si>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</si>
  <si>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</si>
  <si>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</si>
  <si>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</si>
  <si>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</si>
  <si>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</si>
  <si>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</si>
  <si>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</si>
  <si>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</si>
  <si>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</si>
  <si>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</si>
  <si>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</si>
  <si>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</si>
  <si>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</si>
  <si>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</si>
  <si>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</si>
  <si>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</si>
  <si>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</si>
  <si>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</si>
  <si>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</si>
  <si>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</si>
  <si>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</si>
  <si>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</si>
  <si>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</si>
  <si>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</si>
  <si>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</si>
  <si>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</si>
  <si>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</si>
  <si>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</si>
  <si>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</si>
  <si>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</si>
  <si>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</si>
  <si>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</si>
  <si>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</si>
  <si>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</si>
  <si>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</si>
  <si>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</si>
  <si>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</si>
  <si>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</si>
  <si>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</si>
  <si>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</si>
  <si>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</si>
  <si>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</si>
  <si>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</si>
  <si>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</si>
  <si>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</si>
  <si>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</si>
  <si>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</si>
  <si>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</si>
  <si>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</si>
  <si>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</si>
  <si>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</si>
  <si>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</si>
  <si>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</si>
  <si>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</si>
  <si>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</si>
  <si>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</si>
  <si>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</si>
  <si>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</si>
  <si>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</si>
  <si>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</si>
  <si>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</si>
  <si>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</si>
  <si>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</si>
  <si>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</si>
  <si>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</si>
  <si>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</si>
  <si>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</si>
  <si>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</si>
  <si>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</si>
  <si>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</si>
  <si>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</si>
  <si>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</si>
  <si>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</si>
  <si>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</si>
  <si>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</si>
  <si>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</si>
  <si>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</si>
  <si>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</si>
  <si>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</si>
  <si>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</si>
  <si>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</si>
  <si>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</si>
  <si>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</si>
  <si>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</si>
  <si>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</si>
  <si>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</si>
  <si>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</si>
  <si>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</si>
  <si>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</si>
  <si>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</si>
  <si>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</si>
  <si>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</si>
  <si>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</si>
  <si>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</si>
  <si>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</si>
  <si>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</si>
  <si>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</si>
  <si>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</si>
  <si>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</si>
  <si>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</si>
  <si>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</si>
  <si>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</si>
  <si>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</si>
  <si>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</si>
  <si>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</si>
  <si>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</si>
  <si>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</si>
  <si>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</si>
  <si>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</si>
  <si>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</si>
  <si>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</si>
  <si>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</si>
  <si>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</si>
  <si>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</si>
  <si>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</si>
  <si>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</si>
  <si>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</si>
  <si>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</si>
  <si>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</si>
  <si>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</si>
  <si>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</si>
  <si>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</si>
  <si>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</si>
  <si>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</si>
  <si>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</si>
  <si>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</si>
  <si>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</si>
  <si>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</si>
  <si>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</si>
  <si>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</si>
  <si>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</si>
  <si>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</si>
  <si>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</si>
  <si>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</si>
  <si>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</si>
  <si>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</si>
  <si>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</si>
  <si>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</si>
  <si>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</si>
  <si>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</si>
  <si>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</si>
  <si>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</si>
  <si>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</si>
  <si>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</si>
  <si>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</si>
  <si>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</si>
  <si>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</si>
  <si>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</si>
  <si>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</si>
  <si>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</si>
  <si>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</si>
  <si>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</si>
  <si>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</si>
  <si>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</si>
  <si>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</si>
  <si>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</si>
  <si>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</si>
  <si>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</si>
  <si>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</si>
  <si>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</si>
  <si>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</si>
  <si>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</si>
  <si>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</si>
  <si>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</si>
  <si>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</si>
  <si>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</si>
  <si>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</si>
  <si>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</si>
  <si>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</si>
  <si>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</si>
  <si>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</si>
  <si>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</si>
  <si>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</si>
  <si>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</si>
  <si>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</si>
  <si>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</si>
  <si>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</si>
  <si>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</si>
  <si>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</si>
  <si>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</si>
  <si>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</si>
  <si>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</si>
  <si>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</si>
  <si>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</si>
  <si>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</si>
  <si>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</si>
  <si>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</si>
  <si>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</si>
  <si>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</si>
  <si>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</si>
  <si>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</si>
  <si>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</si>
  <si>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</si>
  <si>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</si>
  <si>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</si>
  <si>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</si>
  <si>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</si>
  <si>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</si>
  <si>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</si>
  <si>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</si>
  <si>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</si>
  <si>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</si>
  <si>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</si>
  <si>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</si>
  <si>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</si>
  <si>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</si>
  <si>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</si>
  <si>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</si>
  <si>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</si>
  <si>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</si>
  <si>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</si>
  <si>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</si>
  <si>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</si>
  <si>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</si>
  <si>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</si>
  <si>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</si>
  <si>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</si>
  <si>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</si>
  <si>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</si>
  <si>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</si>
  <si>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</si>
  <si>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</si>
  <si>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</si>
  <si>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</si>
  <si>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</si>
  <si>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</si>
  <si>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</si>
  <si>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</si>
  <si>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</si>
  <si>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</si>
  <si>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</si>
  <si>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</si>
  <si>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</si>
  <si>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</si>
  <si>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</si>
  <si>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</si>
  <si>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</si>
  <si>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</si>
  <si>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</si>
  <si>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</si>
  <si>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</si>
  <si>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</si>
  <si>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</si>
  <si>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</si>
  <si>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</si>
  <si>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</si>
  <si>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</si>
  <si>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</si>
  <si>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</si>
  <si>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</si>
  <si>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</si>
  <si>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</si>
  <si>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</si>
  <si>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</si>
  <si>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</si>
  <si>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</si>
  <si>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</si>
  <si>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</si>
  <si>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</si>
  <si>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</si>
  <si>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</si>
  <si>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</si>
  <si>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</si>
  <si>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</si>
  <si>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</si>
  <si>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</si>
  <si>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</si>
  <si>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</si>
  <si>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</si>
  <si>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</si>
  <si>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</si>
  <si>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</si>
  <si>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</si>
  <si>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</si>
  <si>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</si>
  <si>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</si>
  <si>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</si>
  <si>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</si>
  <si>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</si>
  <si>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</si>
  <si>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</si>
  <si>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</si>
  <si>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</si>
  <si>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</si>
  <si>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</si>
  <si>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</si>
  <si>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</si>
  <si>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</si>
  <si>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</si>
  <si>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</si>
  <si>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</si>
  <si>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</si>
  <si>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</si>
  <si>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</si>
  <si>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</si>
  <si>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</si>
  <si>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</si>
  <si>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</si>
  <si>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</si>
  <si>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</si>
  <si>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</si>
  <si>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</si>
  <si>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</si>
  <si>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</si>
  <si>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</si>
  <si>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</si>
  <si>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</si>
  <si>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</si>
  <si>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</si>
  <si>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</si>
  <si>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</si>
  <si>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</si>
  <si>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</si>
  <si>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</si>
  <si>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</si>
  <si>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</si>
  <si>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</si>
  <si>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</si>
  <si>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</si>
  <si>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</si>
  <si>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</si>
  <si>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</si>
  <si>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</si>
  <si>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</si>
  <si>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</si>
  <si>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</si>
  <si>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</si>
  <si>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</si>
  <si>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</si>
  <si>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</si>
  <si>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</si>
  <si>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</si>
  <si>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</si>
  <si>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</si>
  <si>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</si>
  <si>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</si>
  <si>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</si>
  <si>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</si>
  <si>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</si>
  <si>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</si>
  <si>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</si>
  <si>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</si>
  <si>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</si>
  <si>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</si>
  <si>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</si>
  <si>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</si>
  <si>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</si>
  <si>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</si>
  <si>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</si>
  <si>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</si>
  <si>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</si>
  <si>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</si>
  <si>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</si>
  <si>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</si>
  <si>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</si>
  <si>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</si>
  <si>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</si>
  <si>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</si>
  <si>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</si>
  <si>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</si>
  <si>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</si>
  <si>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</si>
  <si>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</si>
  <si>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</si>
  <si>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</si>
  <si>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</si>
  <si>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</si>
  <si>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</si>
  <si>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</si>
  <si>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</si>
  <si>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</si>
  <si>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</si>
  <si>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</si>
  <si>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</si>
  <si>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</si>
  <si>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</si>
  <si>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</si>
  <si>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</si>
  <si>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</si>
  <si>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</si>
  <si>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</si>
  <si>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</si>
  <si>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</si>
  <si>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</si>
  <si>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</si>
  <si>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</si>
  <si>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</si>
  <si>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</si>
  <si>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</si>
  <si>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</si>
  <si>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</si>
  <si>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</si>
  <si>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</si>
  <si>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</si>
  <si>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</si>
  <si>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</si>
  <si>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</si>
  <si>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</si>
  <si>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</si>
  <si>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</si>
  <si>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</si>
  <si>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</si>
  <si>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</si>
  <si>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</si>
  <si>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</si>
  <si>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</si>
  <si>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</si>
  <si>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</si>
  <si>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</si>
  <si>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</si>
  <si>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</si>
  <si>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</si>
  <si>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</si>
  <si>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</si>
  <si>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</si>
  <si>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</si>
  <si>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</si>
  <si>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</si>
  <si>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</si>
  <si>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</si>
  <si>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</si>
  <si>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</si>
  <si>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</si>
  <si>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</si>
  <si>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</si>
  <si>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</si>
  <si>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</si>
  <si>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</si>
  <si>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</si>
  <si>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</si>
  <si>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</si>
  <si>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</si>
  <si>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</si>
  <si>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</si>
  <si>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</si>
  <si>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</si>
  <si>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</si>
  <si>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</si>
  <si>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</si>
  <si>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</si>
  <si>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</si>
  <si>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</si>
  <si>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</si>
  <si>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</si>
  <si>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</si>
  <si>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</si>
  <si>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</si>
  <si>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</si>
  <si>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</si>
  <si>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</si>
  <si>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</si>
  <si>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</si>
  <si>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</si>
  <si>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</si>
  <si>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</si>
  <si>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</si>
  <si>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</si>
  <si>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</si>
  <si>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</si>
  <si>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</si>
  <si>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</si>
  <si>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</si>
  <si>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</si>
  <si>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</si>
  <si>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</si>
  <si>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</si>
  <si>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</si>
  <si>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</si>
  <si>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</si>
  <si>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</si>
  <si>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</si>
  <si>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</si>
  <si>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</si>
  <si>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</si>
  <si>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</si>
  <si>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</si>
  <si>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</si>
  <si>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</si>
  <si>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</si>
  <si>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</si>
  <si>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</si>
  <si>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</si>
  <si>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</si>
  <si>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</si>
  <si>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</si>
  <si>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</si>
  <si>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</si>
  <si>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</si>
  <si>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</si>
  <si>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</si>
  <si>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</si>
  <si>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</si>
  <si>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</si>
  <si>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</si>
  <si>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</si>
  <si>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</si>
  <si>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</si>
  <si>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</si>
  <si>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</si>
  <si>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</si>
  <si>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</si>
  <si>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</si>
  <si>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</si>
  <si>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</si>
  <si>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</si>
  <si>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</si>
  <si>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</si>
  <si>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</si>
  <si>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</si>
  <si>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</si>
  <si>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</si>
  <si>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</si>
  <si>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</si>
  <si>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</si>
  <si>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</si>
  <si>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</si>
  <si>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</si>
  <si>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</si>
  <si>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</si>
  <si>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</si>
  <si>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</si>
  <si>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</si>
  <si>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</si>
  <si>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</si>
  <si>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</si>
  <si>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</si>
  <si>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</si>
  <si>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</si>
  <si>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</si>
  <si>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</si>
  <si>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</si>
  <si>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</si>
  <si>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</si>
  <si>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</si>
  <si>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</si>
  <si>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</si>
  <si>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</si>
  <si>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</si>
  <si>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</si>
  <si>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</si>
  <si>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</si>
  <si>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</si>
  <si>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</si>
  <si>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</si>
  <si>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</si>
  <si>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</si>
  <si>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</si>
  <si>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</si>
  <si>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</si>
  <si>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</si>
  <si>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</si>
  <si>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</si>
  <si>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</si>
  <si>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</si>
  <si>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</si>
  <si>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</si>
  <si>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</si>
  <si>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</si>
  <si>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</si>
  <si>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</si>
  <si>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</si>
  <si>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</si>
  <si>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</si>
  <si>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</si>
  <si>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</si>
  <si>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</si>
  <si>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</si>
  <si>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</si>
  <si>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</si>
  <si>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</si>
  <si>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</si>
  <si>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</si>
  <si>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</si>
  <si>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</si>
  <si>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</si>
  <si>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</si>
  <si>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</si>
  <si>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</si>
  <si>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</si>
  <si>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</si>
  <si>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</si>
  <si>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</si>
  <si>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</si>
  <si>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</si>
  <si>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</si>
  <si>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</si>
  <si>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</si>
  <si>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</si>
  <si>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</si>
  <si>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</si>
  <si>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</si>
  <si>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</si>
  <si>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</si>
  <si>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</si>
  <si>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</si>
  <si>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</si>
  <si>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</si>
  <si>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</si>
  <si>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</si>
  <si>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</si>
  <si>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</si>
  <si>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</si>
  <si>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</si>
  <si>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</si>
  <si>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</si>
  <si>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</si>
  <si>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</si>
  <si>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</si>
  <si>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</si>
  <si>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</si>
  <si>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</si>
  <si>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</si>
  <si>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</si>
  <si>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</si>
  <si>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</si>
  <si>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</si>
  <si>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</si>
  <si>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</si>
  <si>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</si>
  <si>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</si>
  <si>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</si>
  <si>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</si>
  <si>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</si>
  <si>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</si>
  <si>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</si>
  <si>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</si>
  <si>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</si>
  <si>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</si>
  <si>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</si>
  <si>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</si>
  <si>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</si>
  <si>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</si>
  <si>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</si>
  <si>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</si>
  <si>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</si>
  <si>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</si>
  <si>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</si>
  <si>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</si>
  <si>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</si>
  <si>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</si>
  <si>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</si>
  <si>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</si>
  <si>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</si>
  <si>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</si>
  <si>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</si>
  <si>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</si>
  <si>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</si>
  <si>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</si>
  <si>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</si>
  <si>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</si>
  <si>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</si>
  <si>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</si>
  <si>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</si>
  <si>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</si>
  <si>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</si>
  <si>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</si>
  <si>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</si>
  <si>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</si>
  <si>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</si>
  <si>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</si>
  <si>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</si>
  <si>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</si>
  <si>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</si>
  <si>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</si>
  <si>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</si>
  <si>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</si>
  <si>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</si>
  <si>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</si>
  <si>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</si>
  <si>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</si>
  <si>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</si>
  <si>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</si>
  <si>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</si>
  <si>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</si>
  <si>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</si>
  <si>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</si>
  <si>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</si>
  <si>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</si>
  <si>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</si>
  <si>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</si>
  <si>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</si>
  <si>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</si>
  <si>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</si>
  <si>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</si>
  <si>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</si>
  <si>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</si>
  <si>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</si>
  <si>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</si>
  <si>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</si>
  <si>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</si>
  <si>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</si>
  <si>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</si>
  <si>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</si>
  <si>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</si>
  <si>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</si>
  <si>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</si>
  <si>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</si>
  <si>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</si>
  <si>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</si>
  <si>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</si>
  <si>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</si>
  <si>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</si>
  <si>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</si>
  <si>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</si>
  <si>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</si>
  <si>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</si>
  <si>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</si>
  <si>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</si>
  <si>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</si>
  <si>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</si>
  <si>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</si>
  <si>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</si>
  <si>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</si>
  <si>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</si>
  <si>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</si>
  <si>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</si>
  <si>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</si>
  <si>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</si>
  <si>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</si>
  <si>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</si>
  <si>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</si>
  <si>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</si>
  <si>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</si>
  <si>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</si>
  <si>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</si>
  <si>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</si>
  <si>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</si>
  <si>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</si>
  <si>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</si>
  <si>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</si>
  <si>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</si>
  <si>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</si>
  <si>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</si>
  <si>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</si>
  <si>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</si>
  <si>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</si>
  <si>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</si>
  <si>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</si>
  <si>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</si>
  <si>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</si>
  <si>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</si>
  <si>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</si>
  <si>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</si>
  <si>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</si>
  <si>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</si>
  <si>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</si>
  <si>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</si>
  <si>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</si>
  <si>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</si>
  <si>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</si>
  <si>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</si>
  <si>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</si>
  <si>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</si>
  <si>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</si>
  <si>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</si>
  <si>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</si>
  <si>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</si>
  <si>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</si>
  <si>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</si>
  <si>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</si>
  <si>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</si>
  <si>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</si>
  <si>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</si>
  <si>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</si>
  <si>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</si>
  <si>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</si>
  <si>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</si>
  <si>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</si>
  <si>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</si>
  <si>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</si>
  <si>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</si>
  <si>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</si>
  <si>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</si>
  <si>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</si>
  <si>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</si>
  <si>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</si>
  <si>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</si>
  <si>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</si>
  <si>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</si>
  <si>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</si>
  <si>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</si>
  <si>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</si>
  <si>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</si>
  <si>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</si>
  <si>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</si>
  <si>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</si>
  <si>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</si>
  <si>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</si>
  <si>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</si>
  <si>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</si>
  <si>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</si>
  <si>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</si>
  <si>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</si>
  <si>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</si>
  <si>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</si>
  <si>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</si>
  <si>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</si>
  <si>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</si>
  <si>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</si>
  <si>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</si>
  <si>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</si>
  <si>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</si>
  <si>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</si>
  <si>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</si>
  <si>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</si>
  <si>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</si>
  <si>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</si>
  <si>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</si>
  <si>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</si>
  <si>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</si>
  <si>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</si>
  <si>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</si>
  <si>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</si>
  <si>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</si>
  <si>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</si>
  <si>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</si>
  <si>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</si>
  <si>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</si>
  <si>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</si>
  <si>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</si>
  <si>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</si>
  <si>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</si>
  <si>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</si>
  <si>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</si>
  <si>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</si>
  <si>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</si>
  <si>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</si>
  <si>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</si>
  <si>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</si>
  <si>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</si>
  <si>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</si>
  <si>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</si>
  <si>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</si>
  <si>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</si>
  <si>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</si>
  <si>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</si>
  <si>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</si>
  <si>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</si>
  <si>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</si>
  <si>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</si>
  <si>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</si>
  <si>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</si>
  <si>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</si>
  <si>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</si>
  <si>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</si>
  <si>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</si>
  <si>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</si>
  <si>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</si>
  <si>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</si>
  <si>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</si>
  <si>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</si>
  <si>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</si>
  <si>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</si>
  <si>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</si>
  <si>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</si>
  <si>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</si>
  <si>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</si>
  <si>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</si>
  <si>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</si>
  <si>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</si>
  <si>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</si>
  <si>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</si>
  <si>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</si>
  <si>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</si>
  <si>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</si>
  <si>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</si>
  <si>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</si>
  <si>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</si>
  <si>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</si>
  <si>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</si>
  <si>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</si>
  <si>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</si>
  <si>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</si>
  <si>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</si>
  <si>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</si>
  <si>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</si>
  <si>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</si>
  <si>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</si>
  <si>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</si>
  <si>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</si>
  <si>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</si>
  <si>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</si>
  <si>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</si>
  <si>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</si>
  <si>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</si>
  <si>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</si>
  <si>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</si>
  <si>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</si>
  <si>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</si>
  <si>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</si>
  <si>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</si>
  <si>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</si>
  <si>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</si>
  <si>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</si>
  <si>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</si>
  <si>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</si>
  <si>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</si>
  <si>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</si>
  <si>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</si>
  <si>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</si>
  <si>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</si>
  <si>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</si>
  <si>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</si>
  <si>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</si>
  <si>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</si>
  <si>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</si>
  <si>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</si>
  <si>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</si>
  <si>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</si>
  <si>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</si>
  <si>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</si>
  <si>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</si>
  <si>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</si>
  <si>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</si>
  <si>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</si>
  <si>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</si>
  <si>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</si>
  <si>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</si>
  <si>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</si>
  <si>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</si>
  <si>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</si>
  <si>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</si>
  <si>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</si>
  <si>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</si>
  <si>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</si>
  <si>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</si>
  <si>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</si>
  <si>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</si>
  <si>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</si>
  <si>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</si>
  <si>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</si>
  <si>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</si>
  <si>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</si>
  <si>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DeKalb</t>
  </si>
  <si>
    <t>Highway 30</t>
  </si>
  <si>
    <t xml:space="preserve">Hinckley </t>
  </si>
  <si>
    <t>Travis McGuire</t>
  </si>
  <si>
    <t>tmcgguire@hbr429.org</t>
  </si>
  <si>
    <t>815-286-7580</t>
  </si>
  <si>
    <t>815-286-7577</t>
  </si>
  <si>
    <t>Matthew Schueler</t>
  </si>
  <si>
    <t>2003 Series B</t>
  </si>
  <si>
    <t>2009 Series</t>
  </si>
  <si>
    <t>2010 Series A</t>
  </si>
  <si>
    <t>2010 Series c</t>
  </si>
  <si>
    <t>2015 Series</t>
  </si>
  <si>
    <t>Resource Bank, N.A. loan</t>
  </si>
  <si>
    <t>none- na/</t>
  </si>
  <si>
    <t>n/a</t>
  </si>
  <si>
    <t>see line 41</t>
  </si>
  <si>
    <t>northwestern illinois association for low incidence services</t>
  </si>
  <si>
    <t>see line 42</t>
  </si>
  <si>
    <t>Shared personnel- Hinckley Big Rock shares Hearing Itinerant Staff with Indian Creek and Sandwich School Districts</t>
  </si>
  <si>
    <t>Vocational Ed Cooperatives- Kishwaukee Education Association and Indian Valley Vocational Center</t>
  </si>
  <si>
    <t>#23- Adverse for non-GASB 34 reporting and qualified for fixed asset lack of detailed historical costs</t>
  </si>
  <si>
    <t>2018 Series</t>
  </si>
  <si>
    <t>acct summary, line 75 function 8990 Education fund payment to escrow agent on refunded bonds</t>
  </si>
  <si>
    <t>stmt of revenue received, line 81, function 1799 Education fund, other activity receipts- chorus and pushcoin receipts</t>
  </si>
  <si>
    <t>stmt of revenue received, line 74 function 1690 Education fund other food service- other food receipts</t>
  </si>
  <si>
    <t>stmt of revenue received, line 107, function 1999, Education fund, other local revenue- summer camp and misc revenue</t>
  </si>
  <si>
    <t>stmt of revenue received, line 107, function 1999, O&amp;M, other local receipts- insurance claim and misc revenue</t>
  </si>
  <si>
    <t>stmt of revenue received, line 107, function 1999, Transportation, other local receipts- misc revenue</t>
  </si>
  <si>
    <t>stmt of revenue received, line 168, function 3999, Education fund, other state sources- misc state grants</t>
  </si>
  <si>
    <t>stmt of expenditures disbursed, line 41, function 2190 Education fund, other support services- Extended stay</t>
  </si>
  <si>
    <t>stmt of expenditures disbursed, line 73, function 2900, Education fund, other support services- Technology</t>
  </si>
  <si>
    <t>stmt of expenditures disbursed, line 237, function 2190 IMRF fund, other support services- Extended stay</t>
  </si>
  <si>
    <t>stmt of expenditures disbursed, line 278, function 2900, IMRF fund, other support services- Technology</t>
  </si>
  <si>
    <t>schedule of long  term debt, differences, $3,185,000 refunded bonds</t>
  </si>
  <si>
    <t>schedule of long term debt, differences, $84,749 paid from O&amp;M</t>
  </si>
  <si>
    <t>acct summary, line 75 function 8990 Bond &amp; Interest refunding bonds deposited to escrow</t>
  </si>
  <si>
    <t>see signature in attached notes and report on attachment page</t>
  </si>
  <si>
    <t>Hinckley Big Rock CUSD 429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</si>
</sst>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28" applyFont="1" applyBorder="1" applyAlignment="1" applyProtection="1">
      <alignment vertical="top" wrapText="1"/>
      <protection locked="0"/>
    </xf>
    <xf numFmtId="0" fontId="49" fillId="0" borderId="0" xfId="28" applyFont="1" applyBorder="1" applyAlignment="1" applyProtection="1">
      <alignment vertical="top" wrapText="1"/>
      <protection locked="0"/>
    </xf>
    <xf numFmtId="0" fontId="49" fillId="0" borderId="97" xfId="2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7000000}"/>
    <cellStyle name="Normal 3 2 2 3" xfId="28" xr:uid="{6E6CA688-E089-4365-90A8-C5ACCEA6028D}"/>
    <cellStyle name="Normal 3 2 3" xfId="20" xr:uid="{00000000-0005-0000-0000-000006000000}"/>
    <cellStyle name="Normal 3 2 4" xfId="25" xr:uid="{6B486E17-B90D-4C75-9F32-9834B6B2A26C}"/>
    <cellStyle name="Normal 3 3" xfId="19" xr:uid="{00000000-0005-0000-0000-000005000000}"/>
    <cellStyle name="Normal 3 4" xfId="24" xr:uid="{33A13775-EF0B-4673-9329-85DA57F6B63E}"/>
    <cellStyle name="Normal 4" xfId="16" xr:uid="{00000000-0005-0000-0000-000008000000}"/>
    <cellStyle name="Normal 4 2" xfId="21" xr:uid="{00000000-0005-0000-0000-000008000000}"/>
    <cellStyle name="Normal 4 3" xfId="26" xr:uid="{747E30E6-4CA3-42D9-8F1D-31CE6F662AB6}"/>
    <cellStyle name="Normal 5" xfId="17" xr:uid="{00000000-0005-0000-0000-000009000000}"/>
    <cellStyle name="Normal 5 2" xfId="22" xr:uid="{00000000-0005-0000-0000-000009000000}"/>
    <cellStyle name="Normal 5 3" xfId="27" xr:uid="{E2C8DE02-4729-41C2-8D63-98EA1F390EE8}"/>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753341</xdr:colOff>
          <xdr:row>2</xdr:row>
          <xdr:rowOff>155864</xdr:rowOff>
        </xdr:from>
        <xdr:to>
          <xdr:col>1</xdr:col>
          <xdr:colOff>1667741</xdr:colOff>
          <xdr:row>7</xdr:row>
          <xdr:rowOff>29441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1" t="s">
        <v>405</v>
      </c>
      <c r="J1" s="2022"/>
      <c r="K1" s="2022"/>
      <c r="L1" s="2022"/>
      <c r="M1" s="2022"/>
      <c r="N1" s="2022"/>
      <c r="O1" s="2022"/>
      <c r="P1" s="2022"/>
      <c r="Q1" s="2022"/>
      <c r="R1" s="2022"/>
      <c r="S1" s="2022"/>
    </row>
    <row r="2" spans="1:28" ht="12" customHeight="1" x14ac:dyDescent="0.2">
      <c r="A2" s="47" t="s">
        <v>1993</v>
      </c>
      <c r="D2" s="48"/>
      <c r="I2" s="2023" t="s">
        <v>979</v>
      </c>
      <c r="J2" s="2022"/>
      <c r="K2" s="2022"/>
      <c r="L2" s="2022"/>
      <c r="M2" s="2022"/>
      <c r="N2" s="2022"/>
      <c r="O2" s="2022"/>
      <c r="P2" s="2022"/>
      <c r="Q2" s="2022"/>
      <c r="R2" s="2022"/>
      <c r="S2" s="2022"/>
    </row>
    <row r="3" spans="1:28" ht="12" customHeight="1" x14ac:dyDescent="0.2">
      <c r="A3" s="155" t="s">
        <v>1945</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t="s">
        <v>2072</v>
      </c>
      <c r="C5" s="26" t="s">
        <v>910</v>
      </c>
      <c r="D5" s="84"/>
      <c r="E5" s="84"/>
      <c r="H5" s="38"/>
      <c r="I5" s="2030" t="s">
        <v>680</v>
      </c>
      <c r="J5" s="1975"/>
      <c r="K5" s="1975"/>
      <c r="L5" s="1975"/>
      <c r="M5" s="1975"/>
      <c r="N5" s="1975"/>
      <c r="O5" s="1975"/>
      <c r="P5" s="1975"/>
      <c r="Q5" s="1975"/>
      <c r="R5" s="1975"/>
      <c r="S5" s="1975"/>
    </row>
    <row r="6" spans="1:28" ht="14.1" customHeight="1" x14ac:dyDescent="0.2">
      <c r="B6" s="104"/>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2072</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16019429026</v>
      </c>
      <c r="B13" s="1992"/>
      <c r="C13" s="1992"/>
      <c r="D13" s="1992"/>
      <c r="E13" s="1992"/>
      <c r="F13" s="1992"/>
      <c r="G13" s="1992"/>
      <c r="H13" s="1993"/>
      <c r="I13" s="31"/>
      <c r="J13" s="30"/>
      <c r="K13" s="28"/>
      <c r="L13" s="30"/>
      <c r="M13" s="30"/>
      <c r="N13" s="30"/>
      <c r="O13" s="30"/>
      <c r="P13" s="30"/>
      <c r="Q13" s="30"/>
      <c r="R13" s="30"/>
      <c r="S13" s="30"/>
      <c r="T13" s="1996" t="s">
        <v>2064</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2073</v>
      </c>
      <c r="B15" s="1994"/>
      <c r="C15" s="1994"/>
      <c r="D15" s="1994"/>
      <c r="E15" s="1994"/>
      <c r="F15" s="1994"/>
      <c r="G15" s="1994"/>
      <c r="H15" s="1995"/>
      <c r="T15" s="1957" t="s">
        <v>2080</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2111</v>
      </c>
      <c r="B17" s="2019"/>
      <c r="C17" s="2019"/>
      <c r="D17" s="2019"/>
      <c r="E17" s="2019"/>
      <c r="F17" s="2019"/>
      <c r="G17" s="2019"/>
      <c r="H17" s="2020"/>
      <c r="T17" s="2006" t="s">
        <v>2065</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2074</v>
      </c>
      <c r="B19" s="1990"/>
      <c r="C19" s="1990"/>
      <c r="D19" s="1990"/>
      <c r="E19" s="1990"/>
      <c r="F19" s="1990"/>
      <c r="G19" s="1990"/>
      <c r="H19" s="1988"/>
      <c r="I19" s="30"/>
      <c r="J19" s="99"/>
      <c r="K19" s="40"/>
      <c r="L19" s="38"/>
      <c r="M19" s="112" t="s">
        <v>315</v>
      </c>
      <c r="P19" s="27"/>
      <c r="Q19" s="27"/>
      <c r="R19" s="27"/>
      <c r="S19" s="31"/>
      <c r="T19" s="1989" t="s">
        <v>2066</v>
      </c>
      <c r="U19" s="1987"/>
      <c r="V19" s="1987"/>
      <c r="W19" s="1988"/>
      <c r="X19" s="2004" t="s">
        <v>2067</v>
      </c>
      <c r="Y19" s="2005"/>
      <c r="Z19" s="2002">
        <v>61081</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2075</v>
      </c>
      <c r="B21" s="1987"/>
      <c r="C21" s="1987"/>
      <c r="D21" s="1987"/>
      <c r="E21" s="1987"/>
      <c r="F21" s="1987"/>
      <c r="G21" s="1987"/>
      <c r="H21" s="1988"/>
      <c r="I21" s="2012" t="s">
        <v>678</v>
      </c>
      <c r="J21" s="1975"/>
      <c r="K21" s="1975"/>
      <c r="L21" s="1975"/>
      <c r="M21" s="1975"/>
      <c r="N21" s="1975"/>
      <c r="O21" s="1975"/>
      <c r="P21" s="1975"/>
      <c r="Q21" s="1975"/>
      <c r="R21" s="1975"/>
      <c r="S21" s="1976"/>
      <c r="T21" s="1954" t="s">
        <v>2068</v>
      </c>
      <c r="U21" s="1955"/>
      <c r="V21" s="1955"/>
      <c r="W21" s="1955"/>
      <c r="X21" s="1968" t="s">
        <v>2069</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c r="B23" s="2010"/>
      <c r="C23" s="2010"/>
      <c r="D23" s="2010"/>
      <c r="E23" s="2010"/>
      <c r="F23" s="2010"/>
      <c r="G23" s="2010"/>
      <c r="H23" s="2011"/>
      <c r="T23" s="1949" t="s">
        <v>2070</v>
      </c>
      <c r="U23" s="1950"/>
      <c r="V23" s="1950"/>
      <c r="W23" s="1950"/>
      <c r="X23" s="1965">
        <v>44530</v>
      </c>
      <c r="Y23" s="1966"/>
      <c r="Z23" s="1966"/>
      <c r="AA23" s="1967"/>
    </row>
    <row r="24" spans="1:27" ht="14.1" customHeight="1" x14ac:dyDescent="0.2">
      <c r="A24" s="88" t="s">
        <v>677</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1986">
        <v>60520</v>
      </c>
      <c r="B25" s="1987"/>
      <c r="C25" s="1987"/>
      <c r="D25" s="1987"/>
      <c r="E25" s="1987"/>
      <c r="F25" s="1987"/>
      <c r="G25" s="1987"/>
      <c r="H25" s="1988"/>
      <c r="I25" s="113"/>
      <c r="J25" s="2053"/>
      <c r="K25" s="2053"/>
      <c r="L25" s="2053"/>
      <c r="M25" s="2053"/>
      <c r="N25" s="2053"/>
      <c r="O25" s="2053"/>
      <c r="P25" s="2053"/>
      <c r="Q25" s="2053"/>
      <c r="R25" s="2053"/>
      <c r="S25" s="2054"/>
      <c r="T25" s="1946" t="s">
        <v>2071</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2072</v>
      </c>
      <c r="C29" s="124" t="s">
        <v>820</v>
      </c>
      <c r="D29" s="114"/>
      <c r="E29" s="136"/>
      <c r="F29" s="141" t="s">
        <v>1316</v>
      </c>
      <c r="G29" s="114"/>
      <c r="I29" s="54"/>
      <c r="J29" s="102"/>
      <c r="K29" s="28" t="s">
        <v>576</v>
      </c>
      <c r="L29" s="148" t="s">
        <v>2072</v>
      </c>
      <c r="M29" s="40" t="s">
        <v>99</v>
      </c>
      <c r="N29" s="32" t="s">
        <v>1523</v>
      </c>
      <c r="O29" s="32"/>
      <c r="P29" s="32"/>
      <c r="Q29" s="32"/>
      <c r="R29" s="32"/>
      <c r="S29" s="123"/>
      <c r="T29" s="6"/>
      <c r="U29" s="6"/>
      <c r="V29" s="6"/>
      <c r="W29" s="6"/>
      <c r="X29" s="6"/>
      <c r="Y29" s="6"/>
      <c r="Z29" s="6"/>
      <c r="AA29" s="132"/>
    </row>
    <row r="30" spans="1:27" ht="13.5" customHeight="1" x14ac:dyDescent="0.2">
      <c r="A30" s="153"/>
      <c r="B30" s="136" t="s">
        <v>2072</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t="s">
        <v>2076</v>
      </c>
      <c r="B38" s="2019"/>
      <c r="C38" s="2019"/>
      <c r="D38" s="2019"/>
      <c r="E38" s="2019"/>
      <c r="F38" s="1987"/>
      <c r="G38" s="1987"/>
      <c r="H38" s="1988"/>
      <c r="I38" s="2038"/>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t="s">
        <v>2077</v>
      </c>
      <c r="B40" s="2046"/>
      <c r="C40" s="2047"/>
      <c r="D40" s="2047"/>
      <c r="E40" s="2047"/>
      <c r="F40" s="2048"/>
      <c r="G40" s="2048"/>
      <c r="H40" s="2049"/>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t="s">
        <v>2078</v>
      </c>
      <c r="B42" s="2036"/>
      <c r="C42" s="2037"/>
      <c r="D42" s="2050" t="s">
        <v>2079</v>
      </c>
      <c r="E42" s="2036"/>
      <c r="F42" s="2036"/>
      <c r="G42" s="2036"/>
      <c r="H42" s="2037"/>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A11" sqref="A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1951</v>
      </c>
      <c r="C2" s="714" t="s">
        <v>1952</v>
      </c>
      <c r="D2" s="714" t="s">
        <v>1953</v>
      </c>
      <c r="E2" s="714" t="s">
        <v>1954</v>
      </c>
      <c r="F2" s="714" t="s">
        <v>1955</v>
      </c>
    </row>
    <row r="3" spans="1:6" ht="12" customHeight="1" x14ac:dyDescent="0.2">
      <c r="A3" s="2189"/>
      <c r="B3" s="1525"/>
      <c r="C3" s="1526"/>
      <c r="D3" s="1527" t="s">
        <v>256</v>
      </c>
      <c r="E3" s="1526"/>
      <c r="F3" s="1527" t="s">
        <v>257</v>
      </c>
    </row>
    <row r="4" spans="1:6" ht="13.7" customHeight="1" x14ac:dyDescent="0.2">
      <c r="A4" s="715" t="s">
        <v>1155</v>
      </c>
      <c r="B4" s="1749">
        <f>'Revenues 9-14'!C5</f>
        <v>4836128</v>
      </c>
      <c r="C4" s="1524">
        <v>2470735</v>
      </c>
      <c r="D4" s="1752">
        <f>B4-C4</f>
        <v>2365393</v>
      </c>
      <c r="E4" s="1524">
        <v>5266774</v>
      </c>
      <c r="F4" s="1752">
        <f>E4-C4</f>
        <v>2796039</v>
      </c>
    </row>
    <row r="5" spans="1:6" ht="13.7" customHeight="1" x14ac:dyDescent="0.2">
      <c r="A5" s="715" t="s">
        <v>870</v>
      </c>
      <c r="B5" s="1750">
        <f>'Revenues 9-14'!D5</f>
        <v>1027683</v>
      </c>
      <c r="C5" s="585">
        <v>573384</v>
      </c>
      <c r="D5" s="1753">
        <f t="shared" ref="D5:D18" si="0">B5-C5</f>
        <v>454299</v>
      </c>
      <c r="E5" s="585">
        <v>1222232</v>
      </c>
      <c r="F5" s="1753">
        <f>E5-C5</f>
        <v>648848</v>
      </c>
    </row>
    <row r="6" spans="1:6" ht="13.7" customHeight="1" x14ac:dyDescent="0.2">
      <c r="A6" s="715" t="s">
        <v>411</v>
      </c>
      <c r="B6" s="1750">
        <f>'Revenues 9-14'!E5</f>
        <v>1753140</v>
      </c>
      <c r="C6" s="585">
        <v>931901</v>
      </c>
      <c r="D6" s="1753">
        <f t="shared" si="0"/>
        <v>821239</v>
      </c>
      <c r="E6" s="585">
        <v>1986493</v>
      </c>
      <c r="F6" s="1753">
        <f t="shared" ref="F6:F18" si="1">E6-C6</f>
        <v>1054592</v>
      </c>
    </row>
    <row r="7" spans="1:6" ht="13.7" customHeight="1" x14ac:dyDescent="0.2">
      <c r="A7" s="715" t="s">
        <v>155</v>
      </c>
      <c r="B7" s="1750">
        <f>'Revenues 9-14'!F5</f>
        <v>369493</v>
      </c>
      <c r="C7" s="585">
        <v>175298</v>
      </c>
      <c r="D7" s="1753">
        <f t="shared" si="0"/>
        <v>194195</v>
      </c>
      <c r="E7" s="585">
        <v>373666</v>
      </c>
      <c r="F7" s="1753">
        <f t="shared" si="1"/>
        <v>198368</v>
      </c>
    </row>
    <row r="8" spans="1:6" ht="13.7" customHeight="1" x14ac:dyDescent="0.2">
      <c r="A8" s="715" t="s">
        <v>1179</v>
      </c>
      <c r="B8" s="1750">
        <f>'Revenues 9-14'!G5</f>
        <v>164868</v>
      </c>
      <c r="C8" s="585">
        <v>86919</v>
      </c>
      <c r="D8" s="1753">
        <f t="shared" si="0"/>
        <v>77949</v>
      </c>
      <c r="E8" s="585">
        <v>185279</v>
      </c>
      <c r="F8" s="1753">
        <f t="shared" si="1"/>
        <v>98360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105050</v>
      </c>
      <c r="C11" s="585">
        <v>51255</v>
      </c>
      <c r="D11" s="1753">
        <f t="shared" si="0"/>
        <v>53795</v>
      </c>
      <c r="E11" s="585">
        <v>109261</v>
      </c>
      <c r="F11" s="1753">
        <f t="shared" si="1"/>
        <v>58006</v>
      </c>
    </row>
    <row r="12" spans="1:6" ht="13.7" customHeight="1" x14ac:dyDescent="0.2">
      <c r="A12" s="715" t="s">
        <v>157</v>
      </c>
      <c r="B12" s="1750">
        <f>'Revenues 9-14'!K5</f>
        <v>908</v>
      </c>
      <c r="C12" s="585">
        <v>463</v>
      </c>
      <c r="D12" s="1753">
        <f t="shared" si="0"/>
        <v>445</v>
      </c>
      <c r="E12" s="585">
        <v>997</v>
      </c>
      <c r="F12" s="1753">
        <f t="shared" si="1"/>
        <v>534</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576232</v>
      </c>
      <c r="C14" s="585">
        <v>294236</v>
      </c>
      <c r="D14" s="1753">
        <f t="shared" si="0"/>
        <v>281996</v>
      </c>
      <c r="E14" s="585">
        <v>627199</v>
      </c>
      <c r="F14" s="1753">
        <f t="shared" si="1"/>
        <v>332963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163319</v>
      </c>
      <c r="C16" s="585">
        <v>84004</v>
      </c>
      <c r="D16" s="1753">
        <f t="shared" si="0"/>
        <v>79315</v>
      </c>
      <c r="E16" s="585">
        <v>179069</v>
      </c>
      <c r="F16" s="1753">
        <f t="shared" si="1"/>
        <v>95065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8996821</v>
      </c>
      <c r="C19" s="1751">
        <f>SUM(C4:C18)</f>
        <v>4668195</v>
      </c>
      <c r="D19" s="1751">
        <f>SUM(D4:D18)</f>
        <v>4328626</v>
      </c>
      <c r="E19" s="1751">
        <f>SUM(E4:E18)</f>
        <v>9950970</v>
      </c>
      <c r="F19" s="1751">
        <f>SUM(F4:F18)</f>
        <v>5282775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A13" sqref="A1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1802</v>
      </c>
      <c r="B2" s="2204"/>
      <c r="C2" s="1884" t="s">
        <v>1956</v>
      </c>
      <c r="D2" s="723" t="s">
        <v>1957</v>
      </c>
      <c r="E2" s="723" t="s">
        <v>1958</v>
      </c>
      <c r="F2" s="1884" t="s">
        <v>1959</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5">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388</v>
      </c>
      <c r="B19" s="2216"/>
      <c r="C19" s="726"/>
      <c r="D19" s="585"/>
      <c r="E19" s="726"/>
      <c r="F19" s="1755">
        <f>SUM(C19+D19)-E19</f>
        <v>0</v>
      </c>
    </row>
    <row r="20" spans="1:11" ht="12.75" customHeight="1" thickTop="1" thickBot="1" x14ac:dyDescent="0.25">
      <c r="A20" s="2215" t="s">
        <v>448</v>
      </c>
      <c r="B20" s="2216"/>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5">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5">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1938" t="s">
        <v>2081</v>
      </c>
      <c r="B31" s="1939">
        <v>37956</v>
      </c>
      <c r="C31" s="1940">
        <v>500000</v>
      </c>
      <c r="D31" s="1941">
        <v>6</v>
      </c>
      <c r="E31" s="734">
        <v>500000</v>
      </c>
      <c r="F31" s="734"/>
      <c r="G31" s="734"/>
      <c r="H31" s="734"/>
      <c r="I31" s="1756">
        <f>((E31+F31)-H31)+G31</f>
        <v>500000</v>
      </c>
      <c r="J31" s="734">
        <v>500000</v>
      </c>
      <c r="K31" s="736"/>
    </row>
    <row r="32" spans="1:11" ht="12" customHeight="1" x14ac:dyDescent="0.2">
      <c r="A32" s="1938" t="s">
        <v>2082</v>
      </c>
      <c r="B32" s="1939">
        <v>40359</v>
      </c>
      <c r="C32" s="1940">
        <v>1080000</v>
      </c>
      <c r="D32" s="1941">
        <v>1</v>
      </c>
      <c r="E32" s="734">
        <v>325000</v>
      </c>
      <c r="F32" s="734"/>
      <c r="G32" s="734"/>
      <c r="H32" s="734">
        <v>120000</v>
      </c>
      <c r="I32" s="1756">
        <f>((E32+F32)-H32)+G32</f>
        <v>205000</v>
      </c>
      <c r="J32" s="734">
        <v>205000</v>
      </c>
      <c r="K32" s="736"/>
    </row>
    <row r="33" spans="1:11" ht="12" customHeight="1" x14ac:dyDescent="0.2">
      <c r="A33" s="1938" t="s">
        <v>2083</v>
      </c>
      <c r="B33" s="1939">
        <v>40359</v>
      </c>
      <c r="C33" s="1940">
        <v>4690000</v>
      </c>
      <c r="D33" s="1941">
        <v>1</v>
      </c>
      <c r="E33" s="734">
        <v>2600000</v>
      </c>
      <c r="F33" s="734"/>
      <c r="G33" s="734"/>
      <c r="H33" s="734">
        <v>320000</v>
      </c>
      <c r="I33" s="1756">
        <f t="shared" ref="I33:I48" si="1">((E33+F33)-H33)+G33</f>
        <v>2280000</v>
      </c>
      <c r="J33" s="734">
        <v>2087823</v>
      </c>
      <c r="K33" s="736"/>
    </row>
    <row r="34" spans="1:11" ht="12" customHeight="1" x14ac:dyDescent="0.2">
      <c r="A34" s="1938" t="s">
        <v>2084</v>
      </c>
      <c r="B34" s="1939">
        <v>40359</v>
      </c>
      <c r="C34" s="1940">
        <v>8970000</v>
      </c>
      <c r="D34" s="1941">
        <v>3</v>
      </c>
      <c r="E34" s="734">
        <v>5195000</v>
      </c>
      <c r="F34" s="734"/>
      <c r="G34" s="734">
        <v>-3185000</v>
      </c>
      <c r="H34" s="734">
        <v>965000</v>
      </c>
      <c r="I34" s="1756">
        <f t="shared" si="1"/>
        <v>1045000</v>
      </c>
      <c r="J34" s="734"/>
      <c r="K34" s="737"/>
    </row>
    <row r="35" spans="1:11" ht="12" customHeight="1" x14ac:dyDescent="0.2">
      <c r="A35" s="1938" t="s">
        <v>2085</v>
      </c>
      <c r="B35" s="1939">
        <v>42346</v>
      </c>
      <c r="C35" s="1942">
        <v>1380000</v>
      </c>
      <c r="D35" s="1941">
        <v>3</v>
      </c>
      <c r="E35" s="738">
        <v>1380000</v>
      </c>
      <c r="F35" s="738"/>
      <c r="G35" s="738"/>
      <c r="H35" s="738"/>
      <c r="I35" s="1756">
        <f t="shared" si="1"/>
        <v>1380000</v>
      </c>
      <c r="J35" s="738">
        <v>1380000</v>
      </c>
      <c r="K35" s="737"/>
    </row>
    <row r="36" spans="1:11" ht="12" customHeight="1" x14ac:dyDescent="0.2">
      <c r="A36" s="1938" t="s">
        <v>2086</v>
      </c>
      <c r="B36" s="1939">
        <v>41848</v>
      </c>
      <c r="C36" s="1940">
        <v>400000</v>
      </c>
      <c r="D36" s="1941">
        <v>8</v>
      </c>
      <c r="E36" s="734">
        <v>84749</v>
      </c>
      <c r="F36" s="734"/>
      <c r="G36" s="734">
        <v>-84749</v>
      </c>
      <c r="H36" s="734"/>
      <c r="I36" s="1756">
        <f t="shared" si="1"/>
        <v>0</v>
      </c>
      <c r="J36" s="734"/>
      <c r="K36" s="739"/>
    </row>
    <row r="37" spans="1:11" ht="12" customHeight="1" x14ac:dyDescent="0.2">
      <c r="A37" s="732" t="s">
        <v>2095</v>
      </c>
      <c r="B37" s="733">
        <v>43452</v>
      </c>
      <c r="C37" s="467">
        <v>3215000</v>
      </c>
      <c r="D37" s="740">
        <v>3</v>
      </c>
      <c r="E37" s="467"/>
      <c r="F37" s="467">
        <v>3215000</v>
      </c>
      <c r="G37" s="467"/>
      <c r="H37" s="467"/>
      <c r="I37" s="1756">
        <f t="shared" si="1"/>
        <v>3215000</v>
      </c>
      <c r="J37" s="467">
        <v>3215000</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20235000</v>
      </c>
      <c r="D49" s="745"/>
      <c r="E49" s="1756">
        <f t="shared" ref="E49:J49" si="2">SUM(E31:E48)</f>
        <v>10084749</v>
      </c>
      <c r="F49" s="1756">
        <f t="shared" si="2"/>
        <v>3215000</v>
      </c>
      <c r="G49" s="1756">
        <f t="shared" si="2"/>
        <v>-3269749</v>
      </c>
      <c r="H49" s="1756">
        <f t="shared" si="2"/>
        <v>1405000</v>
      </c>
      <c r="I49" s="1756">
        <f t="shared" si="2"/>
        <v>8625000</v>
      </c>
      <c r="J49" s="1756">
        <f t="shared" si="2"/>
        <v>7387823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c r="G52" s="2212"/>
      <c r="H52" s="736"/>
      <c r="I52" s="736"/>
      <c r="J52" s="746"/>
    </row>
    <row r="53" spans="1:11" ht="11.25" customHeight="1" x14ac:dyDescent="0.2">
      <c r="A53" s="750" t="s">
        <v>913</v>
      </c>
      <c r="B53" s="751" t="s">
        <v>951</v>
      </c>
      <c r="C53" s="746"/>
      <c r="D53" s="737"/>
      <c r="E53" s="749" t="s">
        <v>497</v>
      </c>
      <c r="F53" s="2213"/>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E9" sqref="E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30"/>
      <c r="I1" s="760"/>
      <c r="J1" s="433"/>
    </row>
    <row r="2" spans="1:11" ht="26.25" x14ac:dyDescent="0.2">
      <c r="A2" s="2222" t="s">
        <v>1677</v>
      </c>
      <c r="B2" s="2223"/>
      <c r="C2" s="2223"/>
      <c r="D2" s="2223"/>
      <c r="E2" s="2224"/>
      <c r="F2" s="761" t="s">
        <v>904</v>
      </c>
      <c r="G2" s="762" t="s">
        <v>1674</v>
      </c>
      <c r="H2" s="762" t="s">
        <v>410</v>
      </c>
      <c r="I2" s="762" t="s">
        <v>1158</v>
      </c>
      <c r="J2" s="762" t="s">
        <v>1812</v>
      </c>
      <c r="K2" s="762" t="s">
        <v>138</v>
      </c>
    </row>
    <row r="3" spans="1:11" x14ac:dyDescent="0.2">
      <c r="A3" s="2225" t="s">
        <v>1964</v>
      </c>
      <c r="B3" s="2226"/>
      <c r="C3" s="2226"/>
      <c r="D3" s="2226"/>
      <c r="E3" s="2227"/>
      <c r="F3" s="763"/>
      <c r="G3" s="764"/>
      <c r="H3" s="764"/>
      <c r="I3" s="764"/>
      <c r="J3" s="765"/>
      <c r="K3" s="765"/>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v>576232</v>
      </c>
      <c r="I5" s="772"/>
      <c r="J5" s="773"/>
      <c r="K5" s="773"/>
    </row>
    <row r="6" spans="1:11" x14ac:dyDescent="0.2">
      <c r="A6" s="774" t="s">
        <v>720</v>
      </c>
      <c r="B6" s="775"/>
      <c r="C6" s="775"/>
      <c r="D6" s="775"/>
      <c r="E6" s="776"/>
      <c r="F6" s="777" t="s">
        <v>849</v>
      </c>
      <c r="G6" s="764"/>
      <c r="H6" s="764">
        <v>8643</v>
      </c>
      <c r="I6" s="764"/>
      <c r="J6" s="765"/>
      <c r="K6" s="765">
        <v>224</v>
      </c>
    </row>
    <row r="7" spans="1:11" x14ac:dyDescent="0.2">
      <c r="A7" s="778" t="s">
        <v>246</v>
      </c>
      <c r="B7" s="779"/>
      <c r="C7" s="779"/>
      <c r="D7" s="779"/>
      <c r="E7" s="780"/>
      <c r="F7" s="770" t="s">
        <v>850</v>
      </c>
      <c r="G7" s="767"/>
      <c r="H7" s="767"/>
      <c r="I7" s="767"/>
      <c r="J7" s="781"/>
      <c r="K7" s="765">
        <v>6593</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8363</v>
      </c>
    </row>
    <row r="10" spans="1:11" x14ac:dyDescent="0.2">
      <c r="A10" s="2246" t="s">
        <v>1813</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7"/>
      <c r="G12" s="1758">
        <f>SUM(G5:G11)</f>
        <v>0</v>
      </c>
      <c r="H12" s="1758">
        <f>SUM(H5:H11)</f>
        <v>584875</v>
      </c>
      <c r="I12" s="1758">
        <f>SUM(I5:I11)</f>
        <v>0</v>
      </c>
      <c r="J12" s="1758">
        <f>SUM(J5:J11)</f>
        <v>0</v>
      </c>
      <c r="K12" s="1758">
        <f>SUM(K5:K11)</f>
        <v>15180</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v>584875</v>
      </c>
      <c r="I14" s="771"/>
      <c r="J14" s="773"/>
      <c r="K14" s="765">
        <v>15180</v>
      </c>
    </row>
    <row r="15" spans="1:11" x14ac:dyDescent="0.2">
      <c r="A15" s="2219" t="s">
        <v>4</v>
      </c>
      <c r="B15" s="2219"/>
      <c r="C15" s="2219"/>
      <c r="D15" s="2219"/>
      <c r="E15" s="2247"/>
      <c r="F15" s="789" t="s">
        <v>855</v>
      </c>
      <c r="G15" s="771"/>
      <c r="H15" s="764"/>
      <c r="I15" s="764"/>
      <c r="J15" s="765"/>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54" t="s">
        <v>1809</v>
      </c>
      <c r="B19" s="2254"/>
      <c r="C19" s="2254"/>
      <c r="D19" s="2254"/>
      <c r="E19" s="2255"/>
      <c r="F19" s="789" t="s">
        <v>933</v>
      </c>
      <c r="G19" s="782"/>
      <c r="H19" s="782"/>
      <c r="I19" s="782"/>
      <c r="J19" s="765"/>
      <c r="K19" s="795"/>
    </row>
    <row r="20" spans="1:11" x14ac:dyDescent="0.2">
      <c r="A20" s="2233" t="s">
        <v>1814</v>
      </c>
      <c r="B20" s="2234"/>
      <c r="C20" s="2234"/>
      <c r="D20" s="2234"/>
      <c r="E20" s="2235"/>
      <c r="F20" s="789" t="s">
        <v>934</v>
      </c>
      <c r="G20" s="782"/>
      <c r="H20" s="782"/>
      <c r="I20" s="782"/>
      <c r="J20" s="765"/>
      <c r="K20" s="795"/>
    </row>
    <row r="21" spans="1:11" ht="13.5" thickBot="1" x14ac:dyDescent="0.25">
      <c r="A21" s="2239" t="s">
        <v>638</v>
      </c>
      <c r="B21" s="2239"/>
      <c r="C21" s="2239"/>
      <c r="D21" s="2239"/>
      <c r="E21" s="2239"/>
      <c r="F21" s="1759"/>
      <c r="G21" s="792"/>
      <c r="H21" s="796"/>
      <c r="I21" s="796"/>
      <c r="J21" s="1760">
        <f>SUM(J18:J20)</f>
        <v>0</v>
      </c>
      <c r="K21" s="793"/>
    </row>
    <row r="22" spans="1:11" ht="13.5" thickTop="1" x14ac:dyDescent="0.2">
      <c r="A22" s="2219" t="s">
        <v>1815</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61"/>
      <c r="G23" s="1758">
        <f>SUM(G14:G16,G21,G22)</f>
        <v>0</v>
      </c>
      <c r="H23" s="1758">
        <f>SUM(H14:H16,H21,H22)</f>
        <v>584875</v>
      </c>
      <c r="I23" s="1758">
        <f>SUM(I14:I16,I21,I22)</f>
        <v>0</v>
      </c>
      <c r="J23" s="1758">
        <f>SUM(J14:J16,J21,J22)</f>
        <v>0</v>
      </c>
      <c r="K23" s="1758">
        <f>SUM(K14:K16,K21,K22)</f>
        <v>15180</v>
      </c>
    </row>
    <row r="24" spans="1:11" ht="14.25" thickTop="1" thickBot="1" x14ac:dyDescent="0.25">
      <c r="A24" s="2240" t="s">
        <v>1965</v>
      </c>
      <c r="B24" s="2239"/>
      <c r="C24" s="2239"/>
      <c r="D24" s="2239"/>
      <c r="E24" s="223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A5" sqref="A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1909</v>
      </c>
      <c r="B1" s="2259"/>
      <c r="C1" s="2260"/>
      <c r="D1" s="826"/>
      <c r="E1" s="827"/>
      <c r="F1" s="827"/>
      <c r="G1" s="828"/>
      <c r="H1" s="829"/>
      <c r="I1" s="830"/>
      <c r="J1" s="2256"/>
      <c r="K1" s="2257"/>
      <c r="L1" s="2257"/>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219866</v>
      </c>
      <c r="D5" s="841"/>
      <c r="E5" s="841"/>
      <c r="F5" s="1760">
        <f>(C5+D5)-E5</f>
        <v>219866</v>
      </c>
      <c r="G5" s="837"/>
      <c r="H5" s="842"/>
      <c r="I5" s="842"/>
      <c r="J5" s="842"/>
      <c r="K5" s="793"/>
      <c r="L5" s="1769">
        <f>F5-K5</f>
        <v>219866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21492231</v>
      </c>
      <c r="D8" s="844"/>
      <c r="E8" s="844"/>
      <c r="F8" s="1760">
        <f>(C8+D8)-E8</f>
        <v>21492231</v>
      </c>
      <c r="G8" s="843">
        <v>50</v>
      </c>
      <c r="H8" s="765">
        <v>9071224</v>
      </c>
      <c r="I8" s="765">
        <v>429845</v>
      </c>
      <c r="J8" s="765"/>
      <c r="K8" s="1769">
        <f>(H8+I8)-J8</f>
        <v>9501069</v>
      </c>
      <c r="L8" s="1769">
        <f>F8-K8</f>
        <v>11991162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4173299</v>
      </c>
      <c r="D10" s="846">
        <v>158950</v>
      </c>
      <c r="E10" s="846"/>
      <c r="F10" s="1764">
        <f>(C10+D10)-E10</f>
        <v>4332249</v>
      </c>
      <c r="G10" s="843">
        <v>20</v>
      </c>
      <c r="H10" s="847">
        <v>2851132</v>
      </c>
      <c r="I10" s="847">
        <v>100055</v>
      </c>
      <c r="J10" s="847"/>
      <c r="K10" s="1769">
        <f>(H10+I10)-J10</f>
        <v>2951187</v>
      </c>
      <c r="L10" s="1769">
        <f>F10-K10</f>
        <v>1381062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2761419</v>
      </c>
      <c r="D12" s="844">
        <v>50427</v>
      </c>
      <c r="E12" s="844"/>
      <c r="F12" s="1760">
        <f>(C12+D12)-E12</f>
        <v>2811846</v>
      </c>
      <c r="G12" s="843">
        <v>10</v>
      </c>
      <c r="H12" s="765">
        <v>2580915</v>
      </c>
      <c r="I12" s="765">
        <v>34457</v>
      </c>
      <c r="J12" s="765"/>
      <c r="K12" s="1769">
        <f>(H12+I12)-J12</f>
        <v>2615372</v>
      </c>
      <c r="L12" s="1769">
        <f>F12-K12</f>
        <v>196474</v>
      </c>
    </row>
    <row r="13" spans="1:14" ht="14.25" thickTop="1" thickBot="1" x14ac:dyDescent="0.25">
      <c r="A13" s="848" t="s">
        <v>1122</v>
      </c>
      <c r="B13" s="840">
        <v>252</v>
      </c>
      <c r="C13" s="844">
        <v>1523017</v>
      </c>
      <c r="D13" s="844">
        <v>81625</v>
      </c>
      <c r="E13" s="844"/>
      <c r="F13" s="1760">
        <f>(C13+D13)-E13</f>
        <v>1604642</v>
      </c>
      <c r="G13" s="843">
        <v>5</v>
      </c>
      <c r="H13" s="765">
        <v>1461177</v>
      </c>
      <c r="I13" s="765">
        <v>39405</v>
      </c>
      <c r="J13" s="765"/>
      <c r="K13" s="1769">
        <f>(H13+I13)-J13</f>
        <v>1500582</v>
      </c>
      <c r="L13" s="1769">
        <f>F13-K13</f>
        <v>104060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30169832</v>
      </c>
      <c r="D16" s="1760">
        <f>SUM(D3,D5:D6,D8:D10,D12:D15)</f>
        <v>291002</v>
      </c>
      <c r="E16" s="1760">
        <f>SUM(E3,E5:E6,E8:E10,E12:E15)</f>
        <v>0</v>
      </c>
      <c r="F16" s="1760">
        <f>SUM(F3,F5:F6,F8:F10,F12:F15)</f>
        <v>30460834</v>
      </c>
      <c r="G16" s="843"/>
      <c r="H16" s="1760">
        <f>SUM(H3,H6,H8:H10,H12:H14,)</f>
        <v>15964448</v>
      </c>
      <c r="I16" s="1760">
        <f>SUM(I3,I6,I8:I10,I12:I14,)</f>
        <v>603762</v>
      </c>
      <c r="J16" s="1760">
        <f>SUM(J3,J6,J8:J10,J12:J14,)</f>
        <v>0</v>
      </c>
      <c r="K16" s="1760">
        <f>(H16+I16)-J16</f>
        <v>16568210</v>
      </c>
      <c r="L16" s="1760">
        <f>F16-K16</f>
        <v>13892624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27644</v>
      </c>
      <c r="G17" s="837">
        <v>10</v>
      </c>
      <c r="H17" s="769"/>
      <c r="I17" s="1769">
        <f>F17/G17</f>
        <v>2764.4</v>
      </c>
      <c r="J17" s="769"/>
      <c r="K17" s="795"/>
      <c r="L17" s="795"/>
    </row>
    <row r="18" spans="1:12" ht="14.25" thickTop="1" thickBot="1" x14ac:dyDescent="0.25">
      <c r="A18" s="1767" t="s">
        <v>685</v>
      </c>
      <c r="B18" s="1768"/>
      <c r="C18" s="771"/>
      <c r="D18" s="771"/>
      <c r="E18" s="771"/>
      <c r="F18" s="850"/>
      <c r="G18" s="851"/>
      <c r="H18" s="773"/>
      <c r="I18" s="1760">
        <f>SUM(I16,I17)</f>
        <v>606526.4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selection activeCell="A12" sqref="A1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1975</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7431028</v>
      </c>
      <c r="G8" s="865"/>
    </row>
    <row r="9" spans="1:7" x14ac:dyDescent="0.2">
      <c r="A9" s="869" t="s">
        <v>460</v>
      </c>
      <c r="B9" s="870" t="s">
        <v>1877</v>
      </c>
      <c r="C9" s="871"/>
      <c r="D9" s="869" t="s">
        <v>501</v>
      </c>
      <c r="E9" s="868"/>
      <c r="F9" s="1909">
        <f>'Expenditures 15-22'!K151</f>
        <v>1157775</v>
      </c>
      <c r="G9" s="872"/>
    </row>
    <row r="10" spans="1:7" x14ac:dyDescent="0.2">
      <c r="A10" s="869" t="s">
        <v>499</v>
      </c>
      <c r="B10" s="870" t="s">
        <v>1878</v>
      </c>
      <c r="C10" s="871"/>
      <c r="D10" s="869" t="s">
        <v>501</v>
      </c>
      <c r="E10" s="868"/>
      <c r="F10" s="1909">
        <f>'Expenditures 15-22'!K174</f>
        <v>1756985</v>
      </c>
      <c r="G10" s="872"/>
    </row>
    <row r="11" spans="1:7" x14ac:dyDescent="0.2">
      <c r="A11" s="869" t="s">
        <v>461</v>
      </c>
      <c r="B11" s="870" t="s">
        <v>1879</v>
      </c>
      <c r="C11" s="871"/>
      <c r="D11" s="869" t="s">
        <v>501</v>
      </c>
      <c r="E11" s="868"/>
      <c r="F11" s="1909">
        <f>'Expenditures 15-22'!K210</f>
        <v>736087</v>
      </c>
      <c r="G11" s="872"/>
    </row>
    <row r="12" spans="1:7" x14ac:dyDescent="0.2">
      <c r="A12" s="869" t="s">
        <v>462</v>
      </c>
      <c r="B12" s="870" t="s">
        <v>1880</v>
      </c>
      <c r="C12" s="871"/>
      <c r="D12" s="869" t="s">
        <v>501</v>
      </c>
      <c r="E12" s="868"/>
      <c r="F12" s="1909">
        <f>'Expenditures 15-22'!K295</f>
        <v>317390</v>
      </c>
      <c r="G12" s="872"/>
    </row>
    <row r="13" spans="1:7" x14ac:dyDescent="0.2">
      <c r="A13" s="869" t="s">
        <v>106</v>
      </c>
      <c r="B13" s="870" t="s">
        <v>1881</v>
      </c>
      <c r="C13" s="871"/>
      <c r="D13" s="869" t="s">
        <v>501</v>
      </c>
      <c r="E13" s="868"/>
      <c r="F13" s="1909">
        <f>'Expenditures 15-22'!K342</f>
        <v>116234</v>
      </c>
      <c r="G13" s="873"/>
    </row>
    <row r="14" spans="1:7" ht="12" customHeight="1" thickBot="1" x14ac:dyDescent="0.25">
      <c r="A14" s="1770"/>
      <c r="B14" s="1771"/>
      <c r="C14" s="1772"/>
      <c r="D14" s="1773" t="s">
        <v>501</v>
      </c>
      <c r="E14" s="1774" t="s">
        <v>958</v>
      </c>
      <c r="F14" s="1775">
        <f>SUM(F8:F13)</f>
        <v>11515499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134502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12472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242299</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168191</v>
      </c>
      <c r="G53" s="865"/>
    </row>
    <row r="54" spans="1:7" x14ac:dyDescent="0.2">
      <c r="A54" s="869" t="s">
        <v>459</v>
      </c>
      <c r="B54" s="869" t="s">
        <v>1476</v>
      </c>
      <c r="C54" s="889" t="s">
        <v>982</v>
      </c>
      <c r="D54" s="885" t="s">
        <v>1095</v>
      </c>
      <c r="E54" s="868"/>
      <c r="F54" s="1913">
        <f>'Expenditures 15-22'!G114</f>
        <v>50427</v>
      </c>
      <c r="G54" s="865"/>
    </row>
    <row r="55" spans="1:7" x14ac:dyDescent="0.2">
      <c r="A55" s="869" t="s">
        <v>459</v>
      </c>
      <c r="B55" s="869" t="s">
        <v>1477</v>
      </c>
      <c r="C55" s="889" t="s">
        <v>982</v>
      </c>
      <c r="D55" s="885" t="s">
        <v>291</v>
      </c>
      <c r="E55" s="868"/>
      <c r="F55" s="1913">
        <f>'Expenditures 15-22'!I114</f>
        <v>17642</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1983</v>
      </c>
      <c r="G57" s="865"/>
    </row>
    <row r="58" spans="1:7" x14ac:dyDescent="0.2">
      <c r="A58" s="869" t="s">
        <v>460</v>
      </c>
      <c r="B58" s="869" t="s">
        <v>1883</v>
      </c>
      <c r="C58" s="886" t="s">
        <v>982</v>
      </c>
      <c r="D58" s="885" t="s">
        <v>1095</v>
      </c>
      <c r="E58" s="868"/>
      <c r="F58" s="1915">
        <f>'Expenditures 15-22'!G151</f>
        <v>158950</v>
      </c>
      <c r="G58" s="865"/>
    </row>
    <row r="59" spans="1:7" x14ac:dyDescent="0.2">
      <c r="A59" s="893" t="s">
        <v>460</v>
      </c>
      <c r="B59" s="856" t="s">
        <v>1884</v>
      </c>
      <c r="C59" s="894" t="s">
        <v>982</v>
      </c>
      <c r="D59" s="856" t="s">
        <v>291</v>
      </c>
      <c r="F59" s="1916">
        <f>'Expenditures 15-22'!I151</f>
        <v>7878</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1405000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81625</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6924</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388</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2288281</v>
      </c>
      <c r="G76" s="865"/>
    </row>
    <row r="77" spans="1:8" s="893" customFormat="1" ht="12" customHeight="1" thickTop="1" thickBot="1" x14ac:dyDescent="0.25">
      <c r="A77" s="1779"/>
      <c r="B77" s="1776"/>
      <c r="C77" s="1772"/>
      <c r="D77" s="1777" t="s">
        <v>1900</v>
      </c>
      <c r="E77" s="1774"/>
      <c r="F77" s="1780">
        <f>(F14-F76)</f>
        <v>9227218</v>
      </c>
      <c r="G77" s="869"/>
    </row>
    <row r="78" spans="1:8" s="893" customFormat="1" ht="12" customHeight="1" thickTop="1" x14ac:dyDescent="0.2">
      <c r="A78" s="1781"/>
      <c r="B78" s="1776"/>
      <c r="C78" s="1772"/>
      <c r="D78" s="1777" t="s">
        <v>2062</v>
      </c>
      <c r="E78" s="1774"/>
      <c r="F78" s="898">
        <v>651</v>
      </c>
      <c r="G78" s="899"/>
      <c r="H78" s="869"/>
    </row>
    <row r="79" spans="1:8" s="893" customFormat="1" ht="12" customHeight="1" thickBot="1" x14ac:dyDescent="0.25">
      <c r="A79" s="1782"/>
      <c r="B79" s="1776"/>
      <c r="C79" s="1772"/>
      <c r="D79" s="1777" t="s">
        <v>1901</v>
      </c>
      <c r="E79" s="1774" t="s">
        <v>958</v>
      </c>
      <c r="F79" s="1783">
        <f>IF(F78&gt;0,F77/F78," Complete Line 78")</f>
        <v>14173.913978494624</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2364</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86312</v>
      </c>
      <c r="G94" s="912"/>
    </row>
    <row r="95" spans="1:7" x14ac:dyDescent="0.2">
      <c r="A95" s="908" t="s">
        <v>140</v>
      </c>
      <c r="B95" s="908" t="s">
        <v>175</v>
      </c>
      <c r="C95" s="910">
        <v>1700</v>
      </c>
      <c r="D95" s="918" t="str">
        <f>'Revenues 9-14'!A82</f>
        <v>Total District/School Activity Income</v>
      </c>
      <c r="E95" s="906"/>
      <c r="F95" s="1789">
        <f>SUM('Revenues 9-14'!C82,'Revenues 9-14'!D82)</f>
        <v>79980</v>
      </c>
      <c r="G95" s="912"/>
    </row>
    <row r="96" spans="1:7" x14ac:dyDescent="0.2">
      <c r="A96" s="908" t="s">
        <v>459</v>
      </c>
      <c r="B96" s="908" t="s">
        <v>176</v>
      </c>
      <c r="C96" s="910">
        <f>'Revenues 9-14'!B84</f>
        <v>1811</v>
      </c>
      <c r="D96" s="911" t="str">
        <f>'Revenues 9-14'!A84</f>
        <v>Rentals - Regular Textbooks</v>
      </c>
      <c r="E96" s="906"/>
      <c r="F96" s="1789">
        <f>'Revenues 9-14'!C84</f>
        <v>54931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2565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1220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120070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36926</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821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8363</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428924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929</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58387</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141053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11516</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213180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166</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17584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12543</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43003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296863</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1617700</v>
      </c>
    </row>
    <row r="175" spans="1:7" ht="12" customHeight="1" x14ac:dyDescent="0.2">
      <c r="A175" s="1770"/>
      <c r="B175" s="1784"/>
      <c r="C175" s="1785"/>
      <c r="D175" s="1786" t="s">
        <v>2057</v>
      </c>
      <c r="E175" s="1787"/>
      <c r="F175" s="1789">
        <f>'PCTC-OEPP 27-28'!F77-F174</f>
        <v>7609518</v>
      </c>
    </row>
    <row r="176" spans="1:7" ht="12" customHeight="1" x14ac:dyDescent="0.2">
      <c r="A176" s="1770"/>
      <c r="B176" s="1784"/>
      <c r="C176" s="1785"/>
      <c r="D176" s="1786" t="s">
        <v>1817</v>
      </c>
      <c r="E176" s="1787"/>
      <c r="F176" s="1789">
        <f>'Cap Outlay Deprec 26'!I18</f>
        <v>606526.4</v>
      </c>
    </row>
    <row r="177" spans="1:7" ht="12" customHeight="1" x14ac:dyDescent="0.2">
      <c r="A177" s="1770"/>
      <c r="B177" s="1784"/>
      <c r="C177" s="1785"/>
      <c r="D177" s="1786" t="s">
        <v>2058</v>
      </c>
      <c r="E177" s="1787"/>
      <c r="F177" s="1789">
        <f>F175+F176</f>
        <v>8216044.4000000004</v>
      </c>
    </row>
    <row r="178" spans="1:7" ht="12" customHeight="1" x14ac:dyDescent="0.2">
      <c r="A178" s="1770"/>
      <c r="B178" s="1790"/>
      <c r="C178" s="1785"/>
      <c r="D178" s="1786" t="str">
        <f>D78</f>
        <v>9 Month ADA from District Average Daily Attendance/Prior General State Aid Inquiry 2018-2019</v>
      </c>
      <c r="E178" s="1787"/>
      <c r="F178" s="1791">
        <f>'PCTC-OEPP 27-28'!F78</f>
        <v>651</v>
      </c>
      <c r="G178" s="930"/>
    </row>
    <row r="179" spans="1:7" ht="12" customHeight="1" thickBot="1" x14ac:dyDescent="0.25">
      <c r="A179" s="1770"/>
      <c r="B179" s="1790"/>
      <c r="C179" s="1785"/>
      <c r="D179" s="1786" t="s">
        <v>2059</v>
      </c>
      <c r="E179" s="1787" t="s">
        <v>1545</v>
      </c>
      <c r="F179" s="1792">
        <f>F177/F178</f>
        <v>12620.651920122888</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C21" sqref="C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534" t="s">
        <v>1819</v>
      </c>
      <c r="B6" s="1535"/>
      <c r="C6" s="1535"/>
      <c r="D6" s="1535"/>
      <c r="E6" s="1535"/>
      <c r="F6" s="1535"/>
      <c r="G6" s="1536"/>
    </row>
    <row r="7" spans="1:7" ht="30.75" customHeight="1" x14ac:dyDescent="0.25">
      <c r="A7" s="2281" t="s">
        <v>1932</v>
      </c>
      <c r="B7" s="2282"/>
      <c r="C7" s="2282"/>
      <c r="D7" s="2282"/>
      <c r="E7" s="2282"/>
      <c r="F7" s="2282"/>
      <c r="G7" s="2283"/>
    </row>
    <row r="8" spans="1:7" ht="15.75" customHeight="1" x14ac:dyDescent="0.25">
      <c r="A8" s="2284" t="s">
        <v>1907</v>
      </c>
      <c r="B8" s="2285"/>
      <c r="C8" s="2285"/>
      <c r="D8" s="2285"/>
      <c r="E8" s="2285"/>
      <c r="F8" s="2285"/>
      <c r="G8" s="2286"/>
    </row>
    <row r="9" spans="1:7" ht="35.25" customHeight="1" x14ac:dyDescent="0.25">
      <c r="A9" s="2281" t="s">
        <v>1935</v>
      </c>
      <c r="B9" s="2282"/>
      <c r="C9" s="2282"/>
      <c r="D9" s="2282"/>
      <c r="E9" s="2282"/>
      <c r="F9" s="2282"/>
      <c r="G9" s="2283"/>
    </row>
    <row r="10" spans="1:7" ht="15" customHeight="1" x14ac:dyDescent="0.25">
      <c r="A10" s="1537" t="s">
        <v>1820</v>
      </c>
      <c r="B10" s="1538"/>
      <c r="C10" s="1538"/>
      <c r="D10" s="1538"/>
      <c r="E10" s="1538"/>
      <c r="F10" s="1538"/>
      <c r="G10" s="1539"/>
    </row>
    <row r="11" spans="1:7" ht="17.25" customHeight="1" x14ac:dyDescent="0.25">
      <c r="A11" s="2281" t="s">
        <v>1934</v>
      </c>
      <c r="B11" s="2282"/>
      <c r="C11" s="2282"/>
      <c r="D11" s="2282"/>
      <c r="E11" s="2282"/>
      <c r="F11" s="2282"/>
      <c r="G11" s="2283"/>
    </row>
    <row r="12" spans="1:7" ht="15" customHeight="1" x14ac:dyDescent="0.25">
      <c r="A12" s="1537" t="s">
        <v>1825</v>
      </c>
      <c r="B12" s="1538"/>
      <c r="C12" s="1538"/>
      <c r="D12" s="1538"/>
      <c r="E12" s="1538"/>
      <c r="F12" s="1538"/>
      <c r="G12" s="1539"/>
    </row>
    <row r="13" spans="1:7" ht="32.25" customHeight="1" x14ac:dyDescent="0.25">
      <c r="A13" s="2272" t="s">
        <v>1976</v>
      </c>
      <c r="B13" s="2273"/>
      <c r="C13" s="2273"/>
      <c r="D13" s="2273"/>
      <c r="E13" s="2273"/>
      <c r="F13" s="2273"/>
      <c r="G13" s="227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43" t="s">
        <v>2087</v>
      </c>
      <c r="B18" s="1944" t="s">
        <v>2088</v>
      </c>
      <c r="C18" s="1945" t="s">
        <v>2088</v>
      </c>
      <c r="D18" s="1844">
        <v>0</v>
      </c>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B22" sqref="B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92" t="s">
        <v>1977</v>
      </c>
      <c r="B11" s="2293"/>
      <c r="C11" s="2293"/>
      <c r="D11" s="2294"/>
      <c r="E11" s="977">
        <v>12154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4819059</v>
      </c>
      <c r="F19" s="1799"/>
      <c r="G19" s="1801">
        <f>'Expenditures 15-22'!K33-SUM('Expenditures 15-22'!G33,'Expenditures 15-22'!I33)+'Expenditures 15-22'!D229</f>
        <v>4819059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622758</v>
      </c>
      <c r="F21" s="1802"/>
      <c r="G21" s="1805">
        <f>'Expenditures 15-22'!K42-SUM('Expenditures 15-22'!G42,'Expenditures 15-22'!I42)+'Expenditures 15-22'!K120-SUM('Expenditures 15-22'!G120,'Expenditures 15-22'!I120)+'Expenditures 15-22'!K180-SUM('Expenditures 15-22'!G180,'Expenditures 15-22'!I180)+'Expenditures 15-22'!D238</f>
        <v>622758</v>
      </c>
      <c r="H21" s="987"/>
      <c r="I21" s="162"/>
    </row>
    <row r="22" spans="1:9" s="668" customFormat="1" ht="12" customHeight="1" x14ac:dyDescent="0.2">
      <c r="A22" s="994" t="s">
        <v>564</v>
      </c>
      <c r="B22" s="995"/>
      <c r="C22" s="993">
        <v>2200</v>
      </c>
      <c r="D22" s="1802"/>
      <c r="E22" s="1804">
        <f>'Expenditures 15-22'!K47-SUM('Expenditures 15-22'!G47,'Expenditures 15-22'!I47)+'Expenditures 15-22'!D243</f>
        <v>94544</v>
      </c>
      <c r="F22" s="1802"/>
      <c r="G22" s="1805">
        <f>'Expenditures 15-22'!K47-SUM('Expenditures 15-22'!G47,'Expenditures 15-22'!I47)+'Expenditures 15-22'!D243</f>
        <v>94544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633983</v>
      </c>
      <c r="F23" s="1802"/>
      <c r="G23" s="1804">
        <f>'Expenditures 15-22'!K53-SUM('Expenditures 15-22'!G53,'Expenditures 15-22'!I53)+'Expenditures 15-22'!D257+'Expenditures 15-22'!K330-SUM('Expenditures 15-22'!G330,'Expenditures 15-22'!I330)</f>
        <v>633983</v>
      </c>
      <c r="H23" s="987"/>
      <c r="I23" s="162"/>
    </row>
    <row r="24" spans="1:9" s="668" customFormat="1" ht="12" customHeight="1" x14ac:dyDescent="0.2">
      <c r="A24" s="994" t="s">
        <v>566</v>
      </c>
      <c r="B24" s="995"/>
      <c r="C24" s="993">
        <v>2400</v>
      </c>
      <c r="D24" s="1802"/>
      <c r="E24" s="1804">
        <f>'Expenditures 15-22'!K57-SUM('Expenditures 15-22'!G57,'Expenditures 15-22'!I57)+'Expenditures 15-22'!D261</f>
        <v>710814</v>
      </c>
      <c r="F24" s="1802"/>
      <c r="G24" s="1805">
        <f>'Expenditures 15-22'!K57-SUM('Expenditures 15-22'!G57,'Expenditures 15-22'!I57)+'Expenditures 15-22'!D261</f>
        <v>710814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134032</v>
      </c>
      <c r="E27" s="1804">
        <f>E8</f>
        <v>0</v>
      </c>
      <c r="F27" s="1804">
        <f>'Expenditures 15-22'!K60-SUM('Expenditures 15-22'!G60,'Expenditures 15-22'!I60)+'Expenditures 15-22'!D264-E8</f>
        <v>134032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977835</v>
      </c>
      <c r="F28" s="1806">
        <f>'Expenditures 15-22'!K61-SUM('Expenditures 15-22'!G61,'Expenditures 15-22'!I61)+'Expenditures 15-22'!K124-SUM('Expenditures 15-22'!G124,'Expenditures 15-22'!I124)+'Expenditures 15-22'!D266-E9</f>
        <v>977835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729958</v>
      </c>
      <c r="F29" s="1802"/>
      <c r="G29" s="1805">
        <f>'Expenditures 15-22'!K62-SUM('Expenditures 15-22'!G62,'Expenditures 15-22'!I62)+'Expenditures 15-22'!K125-SUM('Expenditures 15-22'!G125,'Expenditures 15-22'!I125)+'Expenditures 15-22'!K182-SUM('Expenditures 15-22'!G182,'Expenditures 15-22'!I182)+'Expenditures 15-22'!D267</f>
        <v>729958</v>
      </c>
      <c r="H29" s="985"/>
    </row>
    <row r="30" spans="1:9" ht="12" customHeight="1" x14ac:dyDescent="0.2">
      <c r="A30" s="994" t="s">
        <v>100</v>
      </c>
      <c r="B30" s="997"/>
      <c r="C30" s="993">
        <v>2560</v>
      </c>
      <c r="D30" s="1802"/>
      <c r="E30" s="1804">
        <f>'Expenditures 15-22'!K63-SUM('Expenditures 15-22'!G63,'Expenditures 15-22'!I63)+'Expenditures 15-22'!D268-E10</f>
        <v>153692</v>
      </c>
      <c r="F30" s="1802"/>
      <c r="G30" s="1804">
        <f>'Expenditures 15-22'!K63-SUM('Expenditures 15-22'!G63,'Expenditures 15-22'!I63)+'Expenditures 15-22'!D268-E10</f>
        <v>153692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307045</v>
      </c>
      <c r="F38" s="1802"/>
      <c r="G38" s="1804">
        <f>'Expenditures 15-22'!K73-SUM('Expenditures 15-22'!G73,'Expenditures 15-22'!I73)+'Expenditures 15-22'!K128-SUM('Expenditures 15-22'!G128,'Expenditures 15-22'!I128)+'Expenditures 15-22'!K183-SUM('Expenditures 15-22'!G183,'Expenditures 15-22'!I183)+'Expenditures 15-22'!D278</f>
        <v>307045</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134032</v>
      </c>
      <c r="E41" s="1806">
        <f>SUM(E19:E40)</f>
        <v>9049688</v>
      </c>
      <c r="F41" s="1806">
        <f>SUM(F19:F39)</f>
        <v>1111867</v>
      </c>
      <c r="G41" s="1806">
        <f>SUM(G19:G40)</f>
        <v>8071853</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134032</v>
      </c>
      <c r="F43" s="1807" t="s">
        <v>473</v>
      </c>
      <c r="G43" s="1808">
        <f>F41</f>
        <v>1111867</v>
      </c>
    </row>
    <row r="44" spans="1:7" ht="12" customHeight="1" x14ac:dyDescent="0.2">
      <c r="A44" s="987"/>
      <c r="B44" s="162"/>
      <c r="C44" s="1001"/>
      <c r="D44" s="1807" t="s">
        <v>474</v>
      </c>
      <c r="E44" s="1808">
        <f>E41</f>
        <v>9049688</v>
      </c>
      <c r="F44" s="1807" t="s">
        <v>474</v>
      </c>
      <c r="G44" s="1808">
        <f>G41</f>
        <v>8071853</v>
      </c>
    </row>
    <row r="45" spans="1:7" ht="12" customHeight="1" x14ac:dyDescent="0.2">
      <c r="A45" s="987"/>
      <c r="B45" s="162"/>
      <c r="C45" s="162"/>
      <c r="D45" s="1809" t="s">
        <v>1006</v>
      </c>
      <c r="E45" s="1810">
        <f>(E43/E44)</f>
        <v>1.4810676345969054E-2</v>
      </c>
      <c r="F45" s="1809" t="s">
        <v>1006</v>
      </c>
      <c r="G45" s="1810">
        <f>(G43/G44)</f>
        <v>0.13774619037289207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selection activeCell="A15" sqref="A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9" width="3" style="1878" bestFit="1" customWidth="1"/>
    <col min="10" max="10" width="2.140625" style="1878" bestFit="1" customWidth="1"/>
    <col min="11" max="11" width="9" style="1878" customWidth="1"/>
    <col min="12" max="16384" width="9.140625" style="1847"/>
  </cols>
  <sheetData>
    <row r="1" spans="1:10" x14ac:dyDescent="0.2">
      <c r="A1" s="2298" t="s">
        <v>1379</v>
      </c>
      <c r="B1" s="2298"/>
      <c r="C1" s="2298"/>
      <c r="D1" s="2298"/>
      <c r="E1" s="2298"/>
      <c r="F1" s="2298"/>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9" t="s">
        <v>1546</v>
      </c>
      <c r="B5" s="2300"/>
      <c r="C5" s="2301"/>
      <c r="D5" s="2301"/>
      <c r="E5" s="2301"/>
      <c r="F5" s="2301"/>
    </row>
    <row r="6" spans="1:10" ht="12" customHeight="1" x14ac:dyDescent="0.25">
      <c r="A6" s="1850"/>
      <c r="B6" s="1851"/>
      <c r="C6" s="2302" t="str">
        <f>COVER!A17</f>
        <v>Hinckley Big Rock CUSD 429</v>
      </c>
      <c r="D6" s="2302"/>
      <c r="E6" s="2302"/>
      <c r="F6" s="1852"/>
    </row>
    <row r="7" spans="1:10" ht="11.25" customHeight="1" thickBot="1" x14ac:dyDescent="0.3">
      <c r="A7" s="1850"/>
      <c r="B7" s="1851"/>
      <c r="C7" s="2303">
        <f>COVER!A13</f>
        <v>16019429026</v>
      </c>
      <c r="D7" s="2303"/>
      <c r="E7" s="2303"/>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2072</v>
      </c>
      <c r="D25" s="1865" t="s">
        <v>2072</v>
      </c>
      <c r="E25" s="1868"/>
      <c r="F25" s="1867" t="s">
        <v>2089</v>
      </c>
      <c r="H25" s="1878">
        <f t="shared" si="0"/>
        <v>5</v>
      </c>
      <c r="I25" s="1878">
        <f t="shared" si="1"/>
        <v>5</v>
      </c>
      <c r="J25" s="1878">
        <f t="shared" si="2"/>
        <v>0</v>
      </c>
    </row>
    <row r="26" spans="1:12" ht="12" customHeight="1" x14ac:dyDescent="0.2">
      <c r="A26" s="1863" t="s">
        <v>1534</v>
      </c>
      <c r="B26" s="1864"/>
      <c r="C26" s="1865" t="s">
        <v>2072</v>
      </c>
      <c r="D26" s="1865" t="s">
        <v>2072</v>
      </c>
      <c r="E26" s="1868"/>
      <c r="F26" s="1867" t="s">
        <v>2090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2072</v>
      </c>
      <c r="D32" s="1865" t="s">
        <v>2072</v>
      </c>
      <c r="E32" s="1868"/>
      <c r="F32" s="1867" t="s">
        <v>2091</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t="s">
        <v>2092</v>
      </c>
      <c r="B41" s="2315"/>
      <c r="C41" s="2315"/>
      <c r="D41" s="2315"/>
      <c r="E41" s="2315"/>
      <c r="F41" s="2316"/>
      <c r="H41" s="1879"/>
      <c r="I41" s="1879"/>
      <c r="J41" s="1879"/>
      <c r="K41" s="1879"/>
    </row>
    <row r="42" spans="1:11" s="1870" customFormat="1" ht="12" customHeight="1" x14ac:dyDescent="0.25">
      <c r="A42" s="2314" t="s">
        <v>2093</v>
      </c>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3:F43"/>
    <mergeCell ref="A41:F41"/>
    <mergeCell ref="A42:F42"/>
    <mergeCell ref="A36:F36"/>
    <mergeCell ref="A1:F1"/>
    <mergeCell ref="A5:F5"/>
    <mergeCell ref="C6:E6"/>
    <mergeCell ref="C7:E7"/>
    <mergeCell ref="C35:F35"/>
  </mergeCells>
  <printOptions headings="1"/>
  <pageMargins left="0.3" right="0.2" top="0.68" bottom="0.37" header="0.17" footer="0.17"/>
  <pageSetup scale="8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Hinckley Big Rock CUSD 429</v>
      </c>
      <c r="J6" s="2323"/>
      <c r="Q6" s="1664"/>
    </row>
    <row r="7" spans="1:17" x14ac:dyDescent="0.2">
      <c r="A7" s="2324" t="s">
        <v>869</v>
      </c>
      <c r="B7" s="2325"/>
      <c r="C7" s="2325"/>
      <c r="D7" s="2325"/>
      <c r="E7" s="2326"/>
      <c r="F7" s="1017"/>
      <c r="G7" s="1009"/>
      <c r="H7" s="1016" t="s">
        <v>372</v>
      </c>
      <c r="I7" s="2327">
        <f>COVER!A13</f>
        <v>16019429026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251998</v>
      </c>
      <c r="F12" s="1039"/>
      <c r="G12" s="1811">
        <f t="shared" ref="G12:G18" si="0">SUM(E12:F12)</f>
        <v>251998</v>
      </c>
      <c r="H12" s="1040">
        <v>254530</v>
      </c>
      <c r="I12" s="1039"/>
      <c r="J12" s="1811">
        <f t="shared" ref="J12:J18" si="1">SUM(H12:I12)</f>
        <v>254530</v>
      </c>
    </row>
    <row r="13" spans="1:17" ht="15" customHeight="1" x14ac:dyDescent="0.2">
      <c r="A13" s="1035">
        <v>2</v>
      </c>
      <c r="B13" s="1036" t="s">
        <v>42</v>
      </c>
      <c r="C13" s="1037"/>
      <c r="D13" s="1038">
        <v>2330</v>
      </c>
      <c r="E13" s="1811">
        <f>'Expenditures 15-22'!K51</f>
        <v>158100</v>
      </c>
      <c r="F13" s="1039"/>
      <c r="G13" s="1811">
        <f t="shared" si="0"/>
        <v>158100</v>
      </c>
      <c r="H13" s="1040">
        <v>160418</v>
      </c>
      <c r="I13" s="1039"/>
      <c r="J13" s="1811">
        <f t="shared" si="1"/>
        <v>160418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410098</v>
      </c>
      <c r="F19" s="1813">
        <f t="shared" si="2"/>
        <v>0</v>
      </c>
      <c r="G19" s="1813">
        <f t="shared" si="2"/>
        <v>410098</v>
      </c>
      <c r="H19" s="1813">
        <f t="shared" si="2"/>
        <v>414948</v>
      </c>
      <c r="I19" s="1813">
        <f t="shared" si="2"/>
        <v>0</v>
      </c>
      <c r="J19" s="1813">
        <f t="shared" si="2"/>
        <v>414948</v>
      </c>
    </row>
    <row r="20" spans="1:10" ht="13.5" thickTop="1" x14ac:dyDescent="0.2">
      <c r="A20" s="1035">
        <v>9</v>
      </c>
      <c r="B20" s="2334" t="s">
        <v>1981</v>
      </c>
      <c r="C20" s="2334"/>
      <c r="D20" s="2335"/>
      <c r="E20" s="1046"/>
      <c r="F20" s="1046"/>
      <c r="G20" s="1046"/>
      <c r="H20" s="1046"/>
      <c r="I20" s="1046"/>
      <c r="J20" s="1814">
        <f>IF(AND(G19&gt;0,J19&gt;0),(((J19-G19)/G19)),"Enter Budget Data")</f>
        <v>1.1826441484718286E-2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1983</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3" sqref="B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2096</v>
      </c>
    </row>
    <row r="6" spans="1:2" x14ac:dyDescent="0.2">
      <c r="A6" s="1068">
        <v>2</v>
      </c>
      <c r="B6" s="329" t="s">
        <v>2098</v>
      </c>
    </row>
    <row r="7" spans="1:2" x14ac:dyDescent="0.2">
      <c r="A7" s="1068">
        <v>3</v>
      </c>
      <c r="B7" s="329" t="s">
        <v>2097</v>
      </c>
    </row>
    <row r="8" spans="1:2" x14ac:dyDescent="0.2">
      <c r="A8" s="1068">
        <v>4</v>
      </c>
      <c r="B8" s="329" t="s">
        <v>2099</v>
      </c>
    </row>
    <row r="9" spans="1:2" x14ac:dyDescent="0.2">
      <c r="A9" s="1069">
        <v>5</v>
      </c>
      <c r="B9" s="329" t="s">
        <v>2100</v>
      </c>
    </row>
    <row r="10" spans="1:2" x14ac:dyDescent="0.2">
      <c r="A10" s="1069">
        <v>6</v>
      </c>
      <c r="B10" s="329" t="s">
        <v>2101</v>
      </c>
    </row>
    <row r="11" spans="1:2" x14ac:dyDescent="0.2">
      <c r="A11" s="1069">
        <v>7</v>
      </c>
      <c r="B11" s="329" t="s">
        <v>2102</v>
      </c>
    </row>
    <row r="12" spans="1:2" x14ac:dyDescent="0.2">
      <c r="A12" s="1069">
        <v>8</v>
      </c>
      <c r="B12" s="329" t="s">
        <v>2103</v>
      </c>
    </row>
    <row r="13" spans="1:2" x14ac:dyDescent="0.2">
      <c r="A13" s="1069">
        <v>9</v>
      </c>
      <c r="B13" s="329" t="s">
        <v>2104</v>
      </c>
    </row>
    <row r="14" spans="1:2" x14ac:dyDescent="0.2">
      <c r="A14" s="1069">
        <v>10</v>
      </c>
      <c r="B14" s="329" t="s">
        <v>2105</v>
      </c>
    </row>
    <row r="15" spans="1:2" x14ac:dyDescent="0.2">
      <c r="A15" s="1069">
        <v>11</v>
      </c>
      <c r="B15" s="329" t="s">
        <v>2106</v>
      </c>
    </row>
    <row r="16" spans="1:2" x14ac:dyDescent="0.2">
      <c r="A16" s="1069">
        <v>12</v>
      </c>
      <c r="B16" s="329" t="s">
        <v>2107</v>
      </c>
    </row>
    <row r="17" spans="1:2" x14ac:dyDescent="0.2">
      <c r="A17" s="1069">
        <v>13</v>
      </c>
      <c r="B17" s="329" t="s">
        <v>2108</v>
      </c>
    </row>
    <row r="18" spans="1:2" x14ac:dyDescent="0.2">
      <c r="A18" s="1069">
        <v>14</v>
      </c>
      <c r="B18" s="329" t="s">
        <v>2109</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Hinckley Big Rock CUSD 429</v>
      </c>
    </row>
    <row r="65" spans="2:2" x14ac:dyDescent="0.2">
      <c r="B65" s="1070">
        <f>COVER!A13</f>
        <v>16019429026</v>
      </c>
    </row>
  </sheetData>
  <phoneticPr fontId="15"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X29" sqref="X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2" r:id="rId4">
          <objectPr defaultSize="0" r:id="rId5">
            <anchor moveWithCells="1">
              <from>
                <xdr:col>1</xdr:col>
                <xdr:colOff>752475</xdr:colOff>
                <xdr:row>2</xdr:row>
                <xdr:rowOff>152400</xdr:rowOff>
              </from>
              <to>
                <xdr:col>1</xdr:col>
                <xdr:colOff>1666875</xdr:colOff>
                <xdr:row>7</xdr:row>
                <xdr:rowOff>28575</xdr:rowOff>
              </to>
            </anchor>
          </objectPr>
        </oleObject>
      </mc:Choice>
      <mc:Fallback>
        <oleObject progId="Acrobat.Document.2015"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N20" sqref="N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1987</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1988</v>
      </c>
      <c r="B4" s="2362"/>
      <c r="C4" s="2362"/>
      <c r="D4" s="2362"/>
      <c r="E4" s="2362"/>
      <c r="F4" s="2363"/>
      <c r="G4" s="1074"/>
      <c r="H4" s="1074"/>
    </row>
    <row r="5" spans="1:8" ht="14.25" customHeight="1" x14ac:dyDescent="0.2">
      <c r="A5" s="2364" t="s">
        <v>1984</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7205625</v>
      </c>
      <c r="C8" s="1815">
        <f>'Acct Summary 7-8'!D8</f>
        <v>1312755</v>
      </c>
      <c r="D8" s="1815">
        <f>'Acct Summary 7-8'!F8</f>
        <v>816025</v>
      </c>
      <c r="E8" s="1815">
        <f>'Acct Summary 7-8'!I8</f>
        <v>11529</v>
      </c>
      <c r="F8" s="1815">
        <f>SUM(B8:E8)</f>
        <v>9345934</v>
      </c>
    </row>
    <row r="9" spans="1:8" s="1079" customFormat="1" ht="14.25" customHeight="1" thickBot="1" x14ac:dyDescent="0.25">
      <c r="A9" s="1078" t="s">
        <v>1369</v>
      </c>
      <c r="B9" s="1816">
        <f>'Acct Summary 7-8'!C17</f>
        <v>7431028</v>
      </c>
      <c r="C9" s="1816">
        <f>'Acct Summary 7-8'!D17</f>
        <v>1157775</v>
      </c>
      <c r="D9" s="1816">
        <f>'Acct Summary 7-8'!F17</f>
        <v>736087</v>
      </c>
      <c r="E9" s="1815"/>
      <c r="F9" s="1815">
        <f>SUM(B9:E9)</f>
        <v>9324890</v>
      </c>
    </row>
    <row r="10" spans="1:8" s="1079" customFormat="1" ht="14.25" thickTop="1" thickBot="1" x14ac:dyDescent="0.25">
      <c r="A10" s="1080" t="s">
        <v>1370</v>
      </c>
      <c r="B10" s="1817">
        <f>(B8-B9)</f>
        <v>-225403</v>
      </c>
      <c r="C10" s="1817">
        <f>(C8-C9)</f>
        <v>154980</v>
      </c>
      <c r="D10" s="1817">
        <f>(D8-D9)</f>
        <v>79938</v>
      </c>
      <c r="E10" s="1816">
        <f>(E8-E9)</f>
        <v>11529</v>
      </c>
      <c r="F10" s="1818">
        <f>SUM(F8-F9)</f>
        <v>21044</v>
      </c>
    </row>
    <row r="11" spans="1:8" s="1079" customFormat="1" ht="14.25" thickTop="1" thickBot="1" x14ac:dyDescent="0.25">
      <c r="A11" s="1081" t="s">
        <v>1985</v>
      </c>
      <c r="B11" s="1819">
        <f>'Acct Summary 7-8'!C81</f>
        <v>3272318</v>
      </c>
      <c r="C11" s="1819">
        <f>'Acct Summary 7-8'!D81</f>
        <v>1898516</v>
      </c>
      <c r="D11" s="1819">
        <f>'Acct Summary 7-8'!F81</f>
        <v>1318224</v>
      </c>
      <c r="E11" s="1819">
        <f>'Acct Summary 7-8'!I81</f>
        <v>425197</v>
      </c>
      <c r="F11" s="1820">
        <f>SUM(B11:E11)</f>
        <v>6914255</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6" colorId="8" zoomScale="110" zoomScaleNormal="110" workbookViewId="0">
      <selection activeCell="C68" sqref="C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16019429026</v>
      </c>
    </row>
    <row r="3" spans="1:2" x14ac:dyDescent="0.2">
      <c r="A3" t="s">
        <v>956</v>
      </c>
      <c r="B3" s="138" t="str">
        <f>COVER!A15</f>
        <v>DeKalb</v>
      </c>
    </row>
    <row r="4" spans="1:2" x14ac:dyDescent="0.2">
      <c r="A4" t="s">
        <v>1007</v>
      </c>
      <c r="B4" s="138" t="str">
        <f>COVER!A17</f>
        <v>Hinckley Big Rock CUSD 429</v>
      </c>
    </row>
    <row r="5" spans="1:2" x14ac:dyDescent="0.2">
      <c r="A5" t="s">
        <v>704</v>
      </c>
      <c r="B5" s="138" t="str">
        <f>COVER!A38</f>
        <v>Travis McGuire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36263</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3499821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3508501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1000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236183</v>
      </c>
      <c r="C91" s="2" t="s">
        <v>573</v>
      </c>
      <c r="D91" s="2" t="str">
        <f t="shared" si="0"/>
        <v>Error?</v>
      </c>
    </row>
    <row r="92" spans="1:4" x14ac:dyDescent="0.2">
      <c r="A92" s="5">
        <v>31</v>
      </c>
      <c r="B92" s="138">
        <f>'Assets-Liab 5-6'!C39</f>
        <v>3272318</v>
      </c>
      <c r="D92" s="2" t="str">
        <f t="shared" si="0"/>
        <v>Error?</v>
      </c>
    </row>
    <row r="93" spans="1:4" x14ac:dyDescent="0.2">
      <c r="A93" s="5">
        <v>32</v>
      </c>
      <c r="B93" s="138">
        <f>'Assets-Liab 5-6'!C41</f>
        <v>3508501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1597537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1898516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1898516</v>
      </c>
      <c r="D123" s="2" t="str">
        <f t="shared" si="0"/>
        <v>Error?</v>
      </c>
    </row>
    <row r="124" spans="1:4" x14ac:dyDescent="0.2">
      <c r="A124" s="5">
        <v>63</v>
      </c>
      <c r="B124" s="138">
        <f>'Assets-Liab 5-6'!D41</f>
        <v>1898516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1165703</v>
      </c>
      <c r="D129" s="2" t="str">
        <f t="shared" si="1"/>
        <v>Error?</v>
      </c>
    </row>
    <row r="130" spans="1:4" x14ac:dyDescent="0.2">
      <c r="A130" s="5">
        <v>69</v>
      </c>
      <c r="B130" s="138">
        <f>'Assets-Liab 5-6'!E12</f>
        <v>0</v>
      </c>
      <c r="D130" s="2" t="str">
        <f t="shared" si="1"/>
        <v>Error?</v>
      </c>
    </row>
    <row r="131" spans="1:4" x14ac:dyDescent="0.2">
      <c r="A131" s="5">
        <v>70</v>
      </c>
      <c r="B131" s="138">
        <f>'Assets-Liab 5-6'!E13</f>
        <v>1237177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1237177</v>
      </c>
      <c r="D140" s="2" t="str">
        <f t="shared" si="1"/>
        <v>Error?</v>
      </c>
    </row>
    <row r="141" spans="1:4" x14ac:dyDescent="0.2">
      <c r="A141" s="5">
        <v>80</v>
      </c>
      <c r="B141" s="138">
        <f>'Assets-Liab 5-6'!E41</f>
        <v>1237177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1296470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1318224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1318224</v>
      </c>
      <c r="D170" s="2" t="str">
        <f t="shared" si="1"/>
        <v>Error?</v>
      </c>
    </row>
    <row r="171" spans="1:4" x14ac:dyDescent="0.2">
      <c r="A171" s="5">
        <v>110</v>
      </c>
      <c r="B171" s="138">
        <f>'Assets-Liab 5-6'!F41</f>
        <v>1318224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197808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214127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126607</v>
      </c>
      <c r="D189" s="2" t="str">
        <f t="shared" si="1"/>
        <v>Error?</v>
      </c>
    </row>
    <row r="190" spans="1:4" x14ac:dyDescent="0.2">
      <c r="A190" s="5">
        <v>129</v>
      </c>
      <c r="B190" s="138">
        <f>'Assets-Liab 5-6'!G41</f>
        <v>214127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219866</v>
      </c>
      <c r="D273" s="2" t="str">
        <f t="shared" si="3"/>
        <v>Error?</v>
      </c>
    </row>
    <row r="274" spans="1:4" x14ac:dyDescent="0.2">
      <c r="A274" s="5">
        <v>213</v>
      </c>
      <c r="B274" s="138">
        <f>'Assets-Liab 5-6'!M17</f>
        <v>25824480</v>
      </c>
      <c r="D274" s="2" t="str">
        <f t="shared" si="3"/>
        <v>Error?</v>
      </c>
    </row>
    <row r="275" spans="1:4" x14ac:dyDescent="0.2">
      <c r="A275" s="5">
        <v>214</v>
      </c>
      <c r="B275" s="138">
        <f>'Assets-Liab 5-6'!M18</f>
        <v>0</v>
      </c>
      <c r="D275" s="2" t="str">
        <f t="shared" si="3"/>
        <v>Error?</v>
      </c>
    </row>
    <row r="276" spans="1:4" x14ac:dyDescent="0.2">
      <c r="A276" s="5">
        <v>215</v>
      </c>
      <c r="B276" s="138">
        <f>'Assets-Liab 5-6'!M19</f>
        <v>4416488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30460834</v>
      </c>
      <c r="C279" s="2" t="s">
        <v>573</v>
      </c>
      <c r="D279" s="2" t="str">
        <f t="shared" si="3"/>
        <v>Error?</v>
      </c>
    </row>
    <row r="280" spans="1:4" x14ac:dyDescent="0.2">
      <c r="A280" s="5">
        <v>219</v>
      </c>
      <c r="B280" s="138">
        <f>'Assets-Liab 5-6'!M40</f>
        <v>30460834</v>
      </c>
      <c r="D280" s="2" t="str">
        <f t="shared" si="3"/>
        <v>Error?</v>
      </c>
    </row>
    <row r="281" spans="1:4" x14ac:dyDescent="0.2">
      <c r="A281" s="5">
        <v>220</v>
      </c>
      <c r="B281" s="138">
        <f>'Assets-Liab 5-6'!M41</f>
        <v>30460834</v>
      </c>
      <c r="C281" s="2" t="s">
        <v>573</v>
      </c>
      <c r="D281" s="2" t="str">
        <f t="shared" si="3"/>
        <v>Error?</v>
      </c>
    </row>
    <row r="282" spans="1:4" x14ac:dyDescent="0.2">
      <c r="A282" s="5">
        <v>221</v>
      </c>
      <c r="B282" s="138">
        <f>'Assets-Liab 5-6'!N21</f>
        <v>1237177</v>
      </c>
      <c r="D282" s="2" t="str">
        <f t="shared" si="3"/>
        <v>Error?</v>
      </c>
    </row>
    <row r="283" spans="1:4" x14ac:dyDescent="0.2">
      <c r="A283" s="5">
        <v>222</v>
      </c>
      <c r="B283" s="138">
        <f>'Assets-Liab 5-6'!N22</f>
        <v>7387823</v>
      </c>
      <c r="D283" s="2" t="str">
        <f t="shared" si="3"/>
        <v>Error?</v>
      </c>
    </row>
    <row r="284" spans="1:4" x14ac:dyDescent="0.2">
      <c r="A284" s="5">
        <v>223</v>
      </c>
      <c r="B284" s="138">
        <f>'Assets-Liab 5-6'!N23</f>
        <v>8625000</v>
      </c>
      <c r="C284" s="2" t="s">
        <v>573</v>
      </c>
      <c r="D284" s="2" t="str">
        <f t="shared" si="3"/>
        <v>Error?</v>
      </c>
    </row>
    <row r="285" spans="1:4" x14ac:dyDescent="0.2">
      <c r="A285" s="5">
        <v>224</v>
      </c>
      <c r="B285" s="138">
        <f>'Assets-Liab 5-6'!N36</f>
        <v>8625000</v>
      </c>
      <c r="D285" s="2" t="str">
        <f t="shared" si="3"/>
        <v>Error?</v>
      </c>
    </row>
    <row r="286" spans="1:4" x14ac:dyDescent="0.2">
      <c r="A286" s="10">
        <v>225</v>
      </c>
      <c r="D286" s="2" t="str">
        <f t="shared" si="3"/>
        <v>OK</v>
      </c>
    </row>
    <row r="287" spans="1:4" x14ac:dyDescent="0.2">
      <c r="A287" s="5">
        <v>226</v>
      </c>
      <c r="B287" s="138">
        <f>'Assets-Liab 5-6'!N37</f>
        <v>8625000</v>
      </c>
      <c r="C287" s="2" t="s">
        <v>573</v>
      </c>
      <c r="D287" s="2" t="str">
        <f t="shared" si="3"/>
        <v>Error?</v>
      </c>
    </row>
    <row r="288" spans="1:4" x14ac:dyDescent="0.2">
      <c r="A288" s="5">
        <v>227</v>
      </c>
      <c r="B288" s="138">
        <f>'Assets-Liab 5-6'!N41</f>
        <v>8625000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2551</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2327104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115894</v>
      </c>
      <c r="D717" s="2" t="str">
        <f t="shared" si="10"/>
        <v>Error?</v>
      </c>
    </row>
    <row r="718" spans="1:4" x14ac:dyDescent="0.2">
      <c r="A718" s="5">
        <v>657</v>
      </c>
      <c r="B718" s="138">
        <f>'Expenditures 15-22'!C14</f>
        <v>160855</v>
      </c>
      <c r="D718" s="2" t="str">
        <f t="shared" si="10"/>
        <v>Error?</v>
      </c>
    </row>
    <row r="719" spans="1:4" x14ac:dyDescent="0.2">
      <c r="A719" s="5">
        <v>658</v>
      </c>
      <c r="B719" s="138">
        <f>'Expenditures 15-22'!C15</f>
        <v>10700</v>
      </c>
      <c r="D719" s="2" t="str">
        <f t="shared" si="10"/>
        <v>Error?</v>
      </c>
    </row>
    <row r="720" spans="1:4" x14ac:dyDescent="0.2">
      <c r="A720" s="5">
        <v>659</v>
      </c>
      <c r="B720" s="138">
        <f>'Expenditures 15-22'!C33</f>
        <v>3484021</v>
      </c>
      <c r="C720" s="2" t="s">
        <v>573</v>
      </c>
      <c r="D720" s="2" t="str">
        <f t="shared" si="10"/>
        <v>Error?</v>
      </c>
    </row>
    <row r="721" spans="1:4" x14ac:dyDescent="0.2">
      <c r="A721" s="5">
        <v>660</v>
      </c>
      <c r="B721" s="138">
        <f>'Expenditures 15-22'!C36</f>
        <v>100426</v>
      </c>
      <c r="D721" s="2" t="str">
        <f t="shared" si="10"/>
        <v>Error?</v>
      </c>
    </row>
    <row r="722" spans="1:4" x14ac:dyDescent="0.2">
      <c r="A722" s="5">
        <v>661</v>
      </c>
      <c r="B722" s="138">
        <f>'Expenditures 15-22'!C37</f>
        <v>53699</v>
      </c>
      <c r="D722" s="2" t="str">
        <f t="shared" si="10"/>
        <v>Error?</v>
      </c>
    </row>
    <row r="723" spans="1:4" x14ac:dyDescent="0.2">
      <c r="A723" s="5">
        <v>662</v>
      </c>
      <c r="B723" s="138">
        <f>'Expenditures 15-22'!C38</f>
        <v>42590</v>
      </c>
      <c r="D723" s="2" t="str">
        <f t="shared" si="10"/>
        <v>Error?</v>
      </c>
    </row>
    <row r="724" spans="1:4" x14ac:dyDescent="0.2">
      <c r="A724" s="5">
        <v>663</v>
      </c>
      <c r="B724" s="138">
        <f>'Expenditures 15-22'!C39</f>
        <v>47584</v>
      </c>
      <c r="D724" s="2" t="str">
        <f t="shared" si="10"/>
        <v>Error?</v>
      </c>
    </row>
    <row r="725" spans="1:4" x14ac:dyDescent="0.2">
      <c r="A725" s="5">
        <v>664</v>
      </c>
      <c r="B725" s="138">
        <f>'Expenditures 15-22'!C40</f>
        <v>121534</v>
      </c>
      <c r="D725" s="2" t="str">
        <f t="shared" si="10"/>
        <v>Error?</v>
      </c>
    </row>
    <row r="726" spans="1:4" x14ac:dyDescent="0.2">
      <c r="A726" s="5">
        <v>665</v>
      </c>
      <c r="B726" s="138">
        <f>'Expenditures 15-22'!C41</f>
        <v>10287</v>
      </c>
      <c r="D726" s="2" t="str">
        <f t="shared" si="10"/>
        <v>Error?</v>
      </c>
    </row>
    <row r="727" spans="1:4" x14ac:dyDescent="0.2">
      <c r="A727" s="5">
        <v>666</v>
      </c>
      <c r="B727" s="138">
        <f>'Expenditures 15-22'!C42</f>
        <v>376120</v>
      </c>
      <c r="C727" s="2" t="s">
        <v>573</v>
      </c>
      <c r="D727" s="2" t="str">
        <f t="shared" si="10"/>
        <v>Error?</v>
      </c>
    </row>
    <row r="728" spans="1:4" x14ac:dyDescent="0.2">
      <c r="A728" s="5">
        <v>667</v>
      </c>
      <c r="B728" s="138">
        <f>'Expenditures 15-22'!C44</f>
        <v>14010</v>
      </c>
      <c r="D728" s="2" t="str">
        <f t="shared" si="10"/>
        <v>Error?</v>
      </c>
    </row>
    <row r="729" spans="1:4" x14ac:dyDescent="0.2">
      <c r="A729" s="5">
        <v>668</v>
      </c>
      <c r="B729" s="138">
        <f>'Expenditures 15-22'!C45</f>
        <v>22356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36366</v>
      </c>
      <c r="C731" s="2" t="s">
        <v>573</v>
      </c>
      <c r="D731" s="2" t="str">
        <f t="shared" si="10"/>
        <v>Error?</v>
      </c>
    </row>
    <row r="732" spans="1:4" x14ac:dyDescent="0.2">
      <c r="A732" s="5">
        <v>671</v>
      </c>
      <c r="B732" s="138">
        <f>'Expenditures 15-22'!C49</f>
        <v>34658</v>
      </c>
      <c r="D732" s="2" t="str">
        <f t="shared" si="10"/>
        <v>Error?</v>
      </c>
    </row>
    <row r="733" spans="1:4" x14ac:dyDescent="0.2">
      <c r="A733" s="5">
        <v>672</v>
      </c>
      <c r="B733" s="138">
        <f>'Expenditures 15-22'!C50</f>
        <v>162079</v>
      </c>
      <c r="D733" s="2" t="str">
        <f t="shared" si="10"/>
        <v>Error?</v>
      </c>
    </row>
    <row r="734" spans="1:4" x14ac:dyDescent="0.2">
      <c r="A734" s="5">
        <v>673</v>
      </c>
      <c r="B734" s="138">
        <f>'Expenditures 15-22'!C53</f>
        <v>322178</v>
      </c>
      <c r="C734" s="2" t="s">
        <v>573</v>
      </c>
      <c r="D734" s="2" t="str">
        <f t="shared" si="10"/>
        <v>Error?</v>
      </c>
    </row>
    <row r="735" spans="1:4" x14ac:dyDescent="0.2">
      <c r="A735" s="5">
        <v>674</v>
      </c>
      <c r="B735" s="138">
        <f>'Expenditures 15-22'!C55</f>
        <v>509075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509075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83422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87653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88156</v>
      </c>
      <c r="D754" s="2" t="str">
        <f t="shared" si="10"/>
        <v>Error?</v>
      </c>
    </row>
    <row r="755" spans="1:4" x14ac:dyDescent="0.2">
      <c r="A755" s="5">
        <v>694</v>
      </c>
      <c r="B755" s="138">
        <f>'Expenditures 15-22'!C74</f>
        <v>1419548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4903569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528966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35583</v>
      </c>
      <c r="D775" s="2" t="str">
        <f t="shared" si="11"/>
        <v>Error?</v>
      </c>
    </row>
    <row r="776" spans="1:4" x14ac:dyDescent="0.2">
      <c r="A776" s="5">
        <v>715</v>
      </c>
      <c r="B776" s="138">
        <f>'Expenditures 15-22'!D14</f>
        <v>12403</v>
      </c>
      <c r="D776" s="2" t="str">
        <f t="shared" si="11"/>
        <v>Error?</v>
      </c>
    </row>
    <row r="777" spans="1:4" x14ac:dyDescent="0.2">
      <c r="A777" s="5">
        <v>716</v>
      </c>
      <c r="B777" s="138">
        <f>'Expenditures 15-22'!D15</f>
        <v>1772</v>
      </c>
      <c r="D777" s="2" t="str">
        <f t="shared" si="11"/>
        <v>Error?</v>
      </c>
    </row>
    <row r="778" spans="1:4" x14ac:dyDescent="0.2">
      <c r="A778" s="5">
        <v>717</v>
      </c>
      <c r="B778" s="138">
        <f>'Expenditures 15-22'!D33</f>
        <v>781751</v>
      </c>
      <c r="C778" s="2" t="s">
        <v>573</v>
      </c>
      <c r="D778" s="2" t="str">
        <f t="shared" si="11"/>
        <v>Error?</v>
      </c>
    </row>
    <row r="779" spans="1:4" x14ac:dyDescent="0.2">
      <c r="A779" s="5">
        <v>718</v>
      </c>
      <c r="B779" s="138">
        <f>'Expenditures 15-22'!D36</f>
        <v>21090</v>
      </c>
      <c r="D779" s="2" t="str">
        <f t="shared" si="11"/>
        <v>Error?</v>
      </c>
    </row>
    <row r="780" spans="1:4" x14ac:dyDescent="0.2">
      <c r="A780" s="5">
        <v>719</v>
      </c>
      <c r="B780" s="138">
        <f>'Expenditures 15-22'!D37</f>
        <v>16442</v>
      </c>
      <c r="D780" s="2" t="str">
        <f t="shared" si="11"/>
        <v>Error?</v>
      </c>
    </row>
    <row r="781" spans="1:4" x14ac:dyDescent="0.2">
      <c r="A781" s="5">
        <v>720</v>
      </c>
      <c r="B781" s="138">
        <f>'Expenditures 15-22'!D38</f>
        <v>2566</v>
      </c>
      <c r="D781" s="2" t="str">
        <f t="shared" si="11"/>
        <v>Error?</v>
      </c>
    </row>
    <row r="782" spans="1:4" x14ac:dyDescent="0.2">
      <c r="A782" s="5">
        <v>721</v>
      </c>
      <c r="B782" s="138">
        <f>'Expenditures 15-22'!D39</f>
        <v>14356</v>
      </c>
      <c r="D782" s="2" t="str">
        <f t="shared" si="11"/>
        <v>Error?</v>
      </c>
    </row>
    <row r="783" spans="1:4" x14ac:dyDescent="0.2">
      <c r="A783" s="5">
        <v>722</v>
      </c>
      <c r="B783" s="138">
        <f>'Expenditures 15-22'!D40</f>
        <v>32920</v>
      </c>
      <c r="D783" s="2" t="str">
        <f t="shared" si="11"/>
        <v>Error?</v>
      </c>
    </row>
    <row r="784" spans="1:4" x14ac:dyDescent="0.2">
      <c r="A784" s="5">
        <v>723</v>
      </c>
      <c r="B784" s="138">
        <f>'Expenditures 15-22'!D41</f>
        <v>1888</v>
      </c>
      <c r="D784" s="2" t="str">
        <f t="shared" si="11"/>
        <v>Error?</v>
      </c>
    </row>
    <row r="785" spans="1:4" x14ac:dyDescent="0.2">
      <c r="A785" s="5">
        <v>724</v>
      </c>
      <c r="B785" s="138">
        <f>'Expenditures 15-22'!D42</f>
        <v>89262</v>
      </c>
      <c r="C785" s="2" t="s">
        <v>573</v>
      </c>
      <c r="D785" s="2" t="str">
        <f t="shared" si="11"/>
        <v>Error?</v>
      </c>
    </row>
    <row r="786" spans="1:4" x14ac:dyDescent="0.2">
      <c r="A786" s="5">
        <v>725</v>
      </c>
      <c r="B786" s="138">
        <f>'Expenditures 15-22'!D44</f>
        <v>2114</v>
      </c>
      <c r="D786" s="2" t="str">
        <f t="shared" si="11"/>
        <v>Error?</v>
      </c>
    </row>
    <row r="787" spans="1:4" x14ac:dyDescent="0.2">
      <c r="A787" s="5">
        <v>726</v>
      </c>
      <c r="B787" s="138">
        <f>'Expenditures 15-22'!D45</f>
        <v>8713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10827</v>
      </c>
      <c r="C789" s="2" t="s">
        <v>573</v>
      </c>
      <c r="D789" s="2" t="str">
        <f t="shared" si="11"/>
        <v>Error?</v>
      </c>
    </row>
    <row r="790" spans="1:4" x14ac:dyDescent="0.2">
      <c r="A790" s="5">
        <v>729</v>
      </c>
      <c r="B790" s="138">
        <f>'Expenditures 15-22'!D49</f>
        <v>4789</v>
      </c>
      <c r="D790" s="2" t="str">
        <f t="shared" si="11"/>
        <v>Error?</v>
      </c>
    </row>
    <row r="791" spans="1:4" x14ac:dyDescent="0.2">
      <c r="A791" s="5">
        <v>730</v>
      </c>
      <c r="B791" s="138">
        <f>'Expenditures 15-22'!D50</f>
        <v>52834</v>
      </c>
      <c r="D791" s="2" t="str">
        <f t="shared" si="11"/>
        <v>Error?</v>
      </c>
    </row>
    <row r="792" spans="1:4" x14ac:dyDescent="0.2">
      <c r="A792" s="5">
        <v>731</v>
      </c>
      <c r="B792" s="138">
        <f>'Expenditures 15-22'!D53</f>
        <v>90018</v>
      </c>
      <c r="C792" s="2" t="s">
        <v>573</v>
      </c>
      <c r="D792" s="2" t="str">
        <f t="shared" si="11"/>
        <v>Error?</v>
      </c>
    </row>
    <row r="793" spans="1:4" x14ac:dyDescent="0.2">
      <c r="A793" s="5">
        <v>732</v>
      </c>
      <c r="B793" s="138">
        <f>'Expenditures 15-22'!D55</f>
        <v>165315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165315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9399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9399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9416</v>
      </c>
      <c r="D812" s="2" t="str">
        <f t="shared" si="11"/>
        <v>Error?</v>
      </c>
    </row>
    <row r="813" spans="1:4" x14ac:dyDescent="0.2">
      <c r="A813" s="5">
        <v>752</v>
      </c>
      <c r="B813" s="138">
        <f>'Expenditures 15-22'!D74</f>
        <v>374237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1155988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46181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10865</v>
      </c>
      <c r="D833" s="2" t="str">
        <f t="shared" si="12"/>
        <v>Error?</v>
      </c>
    </row>
    <row r="834" spans="1:4" x14ac:dyDescent="0.2">
      <c r="A834" s="5">
        <v>773</v>
      </c>
      <c r="B834" s="138">
        <f>'Expenditures 15-22'!E14</f>
        <v>24096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91911</v>
      </c>
      <c r="C836" s="2" t="s">
        <v>573</v>
      </c>
      <c r="D836" s="2" t="str">
        <f t="shared" si="12"/>
        <v>Error?</v>
      </c>
    </row>
    <row r="837" spans="1:4" x14ac:dyDescent="0.2">
      <c r="A837" s="5">
        <v>776</v>
      </c>
      <c r="B837" s="138">
        <f>'Expenditures 15-22'!E36</f>
        <v>141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92587</v>
      </c>
      <c r="D839" s="2" t="str">
        <f t="shared" si="12"/>
        <v>Error?</v>
      </c>
    </row>
    <row r="840" spans="1:4" x14ac:dyDescent="0.2">
      <c r="A840" s="5">
        <v>779</v>
      </c>
      <c r="B840" s="138">
        <f>'Expenditures 15-22'!E39</f>
        <v>76</v>
      </c>
      <c r="D840" s="2" t="str">
        <f t="shared" si="12"/>
        <v>Error?</v>
      </c>
    </row>
    <row r="841" spans="1:4" x14ac:dyDescent="0.2">
      <c r="A841" s="5">
        <v>780</v>
      </c>
      <c r="B841" s="138">
        <f>'Expenditures 15-22'!E40</f>
        <v>45326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138130</v>
      </c>
      <c r="C843" s="2" t="s">
        <v>573</v>
      </c>
      <c r="D843" s="2" t="str">
        <f t="shared" si="12"/>
        <v>Error?</v>
      </c>
    </row>
    <row r="844" spans="1:4" x14ac:dyDescent="0.2">
      <c r="A844" s="5">
        <v>783</v>
      </c>
      <c r="B844" s="138">
        <f>'Expenditures 15-22'!E44</f>
        <v>31773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1659</v>
      </c>
      <c r="D846" s="2" t="str">
        <f t="shared" si="12"/>
        <v>Error?</v>
      </c>
    </row>
    <row r="847" spans="1:4" x14ac:dyDescent="0.2">
      <c r="A847" s="5">
        <v>786</v>
      </c>
      <c r="B847" s="138">
        <f>'Expenditures 15-22'!E47</f>
        <v>33432</v>
      </c>
      <c r="C847" s="2" t="s">
        <v>573</v>
      </c>
      <c r="D847" s="2" t="str">
        <f t="shared" si="12"/>
        <v>Error?</v>
      </c>
    </row>
    <row r="848" spans="1:4" x14ac:dyDescent="0.2">
      <c r="A848" s="5">
        <v>787</v>
      </c>
      <c r="B848" s="138">
        <f>'Expenditures 15-22'!E49</f>
        <v>37930</v>
      </c>
      <c r="D848" s="2" t="str">
        <f t="shared" si="12"/>
        <v>Error?</v>
      </c>
    </row>
    <row r="849" spans="1:4" x14ac:dyDescent="0.2">
      <c r="A849" s="5">
        <v>788</v>
      </c>
      <c r="B849" s="138">
        <f>'Expenditures 15-22'!E50</f>
        <v>21689</v>
      </c>
      <c r="D849" s="2" t="str">
        <f t="shared" si="12"/>
        <v>Error?</v>
      </c>
    </row>
    <row r="850" spans="1:4" x14ac:dyDescent="0.2">
      <c r="A850" s="5">
        <v>789</v>
      </c>
      <c r="B850" s="138">
        <f>'Expenditures 15-22'!E53</f>
        <v>59883</v>
      </c>
      <c r="C850" s="2" t="s">
        <v>573</v>
      </c>
      <c r="D850" s="2" t="str">
        <f t="shared" si="12"/>
        <v>Error?</v>
      </c>
    </row>
    <row r="851" spans="1:4" x14ac:dyDescent="0.2">
      <c r="A851" s="5">
        <v>790</v>
      </c>
      <c r="B851" s="138">
        <f>'Expenditures 15-22'!E55</f>
        <v>7794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7794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24508</v>
      </c>
      <c r="D855" s="2" t="str">
        <f t="shared" si="12"/>
        <v>Error?</v>
      </c>
    </row>
    <row r="856" spans="1:4" x14ac:dyDescent="0.2">
      <c r="A856" s="5">
        <v>795</v>
      </c>
      <c r="B856" s="138">
        <f>'Expenditures 15-22'!E61</f>
        <v>17179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147589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189276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97158</v>
      </c>
      <c r="D870" s="2" t="str">
        <f t="shared" si="12"/>
        <v>Error?</v>
      </c>
    </row>
    <row r="871" spans="1:4" x14ac:dyDescent="0.2">
      <c r="A871" s="5">
        <v>810</v>
      </c>
      <c r="B871" s="138">
        <f>'Expenditures 15-22'!E74</f>
        <v>525673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647304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84865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5766</v>
      </c>
      <c r="D891" s="2" t="str">
        <f t="shared" si="12"/>
        <v>Error?</v>
      </c>
    </row>
    <row r="892" spans="1:4" x14ac:dyDescent="0.2">
      <c r="A892" s="5">
        <v>831</v>
      </c>
      <c r="B892" s="138">
        <f>'Expenditures 15-22'!F14</f>
        <v>10943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114197</v>
      </c>
      <c r="C894" s="2" t="s">
        <v>573</v>
      </c>
      <c r="D894" s="2" t="str">
        <f t="shared" si="12"/>
        <v>Error?</v>
      </c>
    </row>
    <row r="895" spans="1:4" x14ac:dyDescent="0.2">
      <c r="A895" s="5">
        <v>834</v>
      </c>
      <c r="B895" s="138">
        <f>'Expenditures 15-22'!F36</f>
        <v>163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1596</v>
      </c>
      <c r="D897" s="2" t="str">
        <f t="shared" si="13"/>
        <v>Error?</v>
      </c>
    </row>
    <row r="898" spans="1:4" x14ac:dyDescent="0.2">
      <c r="A898" s="5">
        <v>837</v>
      </c>
      <c r="B898" s="138">
        <f>'Expenditures 15-22'!F39</f>
        <v>670</v>
      </c>
      <c r="D898" s="2" t="str">
        <f t="shared" si="13"/>
        <v>Error?</v>
      </c>
    </row>
    <row r="899" spans="1:4" x14ac:dyDescent="0.2">
      <c r="A899" s="5">
        <v>838</v>
      </c>
      <c r="B899" s="138">
        <f>'Expenditures 15-22'!F40</f>
        <v>811</v>
      </c>
      <c r="D899" s="2" t="str">
        <f t="shared" si="13"/>
        <v>Error?</v>
      </c>
    </row>
    <row r="900" spans="1:4" x14ac:dyDescent="0.2">
      <c r="A900" s="5">
        <v>839</v>
      </c>
      <c r="B900" s="138">
        <f>'Expenditures 15-22'!F41</f>
        <v>5331</v>
      </c>
      <c r="D900" s="2" t="str">
        <f t="shared" si="13"/>
        <v>Error?</v>
      </c>
    </row>
    <row r="901" spans="1:4" x14ac:dyDescent="0.2">
      <c r="A901" s="5">
        <v>840</v>
      </c>
      <c r="B901" s="138">
        <f>'Expenditures 15-22'!F42</f>
        <v>8571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2509</v>
      </c>
      <c r="D903" s="2" t="str">
        <f t="shared" si="13"/>
        <v>Error?</v>
      </c>
    </row>
    <row r="904" spans="1:4" x14ac:dyDescent="0.2">
      <c r="A904" s="5">
        <v>843</v>
      </c>
      <c r="B904" s="138">
        <f>'Expenditures 15-22'!F46</f>
        <v>5978</v>
      </c>
      <c r="D904" s="2" t="str">
        <f t="shared" si="13"/>
        <v>Error?</v>
      </c>
    </row>
    <row r="905" spans="1:4" x14ac:dyDescent="0.2">
      <c r="A905" s="5">
        <v>844</v>
      </c>
      <c r="B905" s="138">
        <f>'Expenditures 15-22'!F47</f>
        <v>8487</v>
      </c>
      <c r="C905" s="2" t="s">
        <v>573</v>
      </c>
      <c r="D905" s="2" t="str">
        <f t="shared" si="13"/>
        <v>Error?</v>
      </c>
    </row>
    <row r="906" spans="1:4" x14ac:dyDescent="0.2">
      <c r="A906" s="5">
        <v>845</v>
      </c>
      <c r="B906" s="138">
        <f>'Expenditures 15-22'!F49</f>
        <v>68</v>
      </c>
      <c r="D906" s="2" t="str">
        <f t="shared" si="13"/>
        <v>Error?</v>
      </c>
    </row>
    <row r="907" spans="1:4" x14ac:dyDescent="0.2">
      <c r="A907" s="5">
        <v>846</v>
      </c>
      <c r="B907" s="138">
        <f>'Expenditures 15-22'!F50</f>
        <v>12652</v>
      </c>
      <c r="D907" s="2" t="str">
        <f t="shared" si="13"/>
        <v>Error?</v>
      </c>
    </row>
    <row r="908" spans="1:4" x14ac:dyDescent="0.2">
      <c r="A908" s="5">
        <v>847</v>
      </c>
      <c r="B908" s="138">
        <f>'Expenditures 15-22'!F53</f>
        <v>12720</v>
      </c>
      <c r="C908" s="2" t="s">
        <v>573</v>
      </c>
      <c r="D908" s="2" t="str">
        <f t="shared" si="13"/>
        <v>Error?</v>
      </c>
    </row>
    <row r="909" spans="1:4" x14ac:dyDescent="0.2">
      <c r="A909" s="5">
        <v>848</v>
      </c>
      <c r="B909" s="138">
        <f>'Expenditures 15-22'!F55</f>
        <v>720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1536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3085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96394</v>
      </c>
      <c r="D928" s="2" t="str">
        <f t="shared" si="13"/>
        <v>Error?</v>
      </c>
    </row>
    <row r="929" spans="1:4" x14ac:dyDescent="0.2">
      <c r="A929" s="5">
        <v>868</v>
      </c>
      <c r="B929" s="138">
        <f>'Expenditures 15-22'!F74</f>
        <v>129977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244174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7977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23823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31800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18627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18627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18627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50427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767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7743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250809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1305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1305</v>
      </c>
      <c r="C1021" s="2" t="s">
        <v>573</v>
      </c>
      <c r="D1021" s="2" t="str">
        <f t="shared" si="14"/>
        <v>Error?</v>
      </c>
    </row>
    <row r="1022" spans="1:4" x14ac:dyDescent="0.2">
      <c r="A1022" s="5">
        <v>961</v>
      </c>
      <c r="B1022" s="138">
        <f>'Expenditures 15-22'!H49</f>
        <v>17003</v>
      </c>
      <c r="D1022" s="2" t="str">
        <f t="shared" si="14"/>
        <v>Error?</v>
      </c>
    </row>
    <row r="1023" spans="1:4" x14ac:dyDescent="0.2">
      <c r="A1023" s="5">
        <v>962</v>
      </c>
      <c r="B1023" s="138">
        <f>'Expenditures 15-22'!H50</f>
        <v>2744</v>
      </c>
      <c r="D1023" s="2" t="str">
        <f t="shared" ref="D1023:D1086" si="15">IF(ISBLANK(B1023),"OK",IF(A1023-B1023=0,"OK","Error?"))</f>
        <v>Error?</v>
      </c>
    </row>
    <row r="1024" spans="1:4" x14ac:dyDescent="0.2">
      <c r="A1024" s="5">
        <v>963</v>
      </c>
      <c r="B1024" s="138">
        <f>'Expenditures 15-22'!H53</f>
        <v>19747</v>
      </c>
      <c r="C1024" s="2" t="s">
        <v>573</v>
      </c>
      <c r="D1024" s="2" t="str">
        <f t="shared" si="15"/>
        <v>Error?</v>
      </c>
    </row>
    <row r="1025" spans="1:4" x14ac:dyDescent="0.2">
      <c r="A1025" s="5">
        <v>964</v>
      </c>
      <c r="B1025" s="138">
        <f>'Expenditures 15-22'!H55</f>
        <v>1592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1592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22644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138471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411924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2999335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175201</v>
      </c>
      <c r="C1105" s="2" t="s">
        <v>573</v>
      </c>
      <c r="D1105" s="2" t="str">
        <f t="shared" si="16"/>
        <v>Error?</v>
      </c>
    </row>
    <row r="1106" spans="1:4" x14ac:dyDescent="0.2">
      <c r="A1106" s="5">
        <v>1045</v>
      </c>
      <c r="B1106" s="138">
        <f>'Expenditures 15-22'!K14</f>
        <v>239863</v>
      </c>
      <c r="C1106" s="2" t="s">
        <v>573</v>
      </c>
      <c r="D1106" s="2" t="str">
        <f t="shared" si="16"/>
        <v>Error?</v>
      </c>
    </row>
    <row r="1107" spans="1:4" x14ac:dyDescent="0.2">
      <c r="A1107" s="5">
        <v>1046</v>
      </c>
      <c r="B1107" s="138">
        <f>'Expenditures 15-22'!K15</f>
        <v>12472</v>
      </c>
      <c r="C1107" s="2" t="s">
        <v>573</v>
      </c>
      <c r="D1107" s="2" t="str">
        <f t="shared" si="16"/>
        <v>Error?</v>
      </c>
    </row>
    <row r="1108" spans="1:4" x14ac:dyDescent="0.2">
      <c r="A1108" s="5">
        <v>1047</v>
      </c>
      <c r="B1108" s="138">
        <f>'Expenditures 15-22'!K33</f>
        <v>4765057</v>
      </c>
      <c r="C1108" s="2" t="s">
        <v>573</v>
      </c>
      <c r="D1108" s="2" t="str">
        <f t="shared" si="16"/>
        <v>Error?</v>
      </c>
    </row>
    <row r="1109" spans="1:4" x14ac:dyDescent="0.2">
      <c r="A1109" s="5">
        <v>1048</v>
      </c>
      <c r="B1109" s="138">
        <f>'Expenditures 15-22'!K36</f>
        <v>121820</v>
      </c>
      <c r="C1109" s="2" t="s">
        <v>573</v>
      </c>
      <c r="D1109" s="2" t="str">
        <f t="shared" si="16"/>
        <v>Error?</v>
      </c>
    </row>
    <row r="1110" spans="1:4" x14ac:dyDescent="0.2">
      <c r="A1110" s="5">
        <v>1049</v>
      </c>
      <c r="B1110" s="138">
        <f>'Expenditures 15-22'!K37</f>
        <v>70141</v>
      </c>
      <c r="C1110" s="2" t="s">
        <v>573</v>
      </c>
      <c r="D1110" s="2" t="str">
        <f t="shared" si="16"/>
        <v>Error?</v>
      </c>
    </row>
    <row r="1111" spans="1:4" x14ac:dyDescent="0.2">
      <c r="A1111" s="5">
        <v>1050</v>
      </c>
      <c r="B1111" s="138">
        <f>'Expenditures 15-22'!K38</f>
        <v>139339</v>
      </c>
      <c r="C1111" s="2" t="s">
        <v>573</v>
      </c>
      <c r="D1111" s="2" t="str">
        <f t="shared" si="16"/>
        <v>Error?</v>
      </c>
    </row>
    <row r="1112" spans="1:4" x14ac:dyDescent="0.2">
      <c r="A1112" s="5">
        <v>1051</v>
      </c>
      <c r="B1112" s="138">
        <f>'Expenditures 15-22'!K39</f>
        <v>62686</v>
      </c>
      <c r="C1112" s="2" t="s">
        <v>573</v>
      </c>
      <c r="D1112" s="2" t="str">
        <f t="shared" si="16"/>
        <v>Error?</v>
      </c>
    </row>
    <row r="1113" spans="1:4" x14ac:dyDescent="0.2">
      <c r="A1113" s="5">
        <v>1052</v>
      </c>
      <c r="B1113" s="138">
        <f>'Expenditures 15-22'!K40</f>
        <v>200591</v>
      </c>
      <c r="C1113" s="2" t="s">
        <v>573</v>
      </c>
      <c r="D1113" s="2" t="str">
        <f t="shared" si="16"/>
        <v>Error?</v>
      </c>
    </row>
    <row r="1114" spans="1:4" x14ac:dyDescent="0.2">
      <c r="A1114" s="5">
        <v>1053</v>
      </c>
      <c r="B1114" s="138">
        <f>'Expenditures 15-22'!K41</f>
        <v>17506</v>
      </c>
      <c r="C1114" s="2" t="s">
        <v>573</v>
      </c>
      <c r="D1114" s="2" t="str">
        <f t="shared" si="16"/>
        <v>Error?</v>
      </c>
    </row>
    <row r="1115" spans="1:4" x14ac:dyDescent="0.2">
      <c r="A1115" s="5">
        <v>1054</v>
      </c>
      <c r="B1115" s="138">
        <f>'Expenditures 15-22'!K42</f>
        <v>612083</v>
      </c>
      <c r="C1115" s="2" t="s">
        <v>573</v>
      </c>
      <c r="D1115" s="2" t="str">
        <f t="shared" si="16"/>
        <v>Error?</v>
      </c>
    </row>
    <row r="1116" spans="1:4" x14ac:dyDescent="0.2">
      <c r="A1116" s="5">
        <v>1055</v>
      </c>
      <c r="B1116" s="138">
        <f>'Expenditures 15-22'!K44</f>
        <v>49202</v>
      </c>
      <c r="C1116" s="2" t="s">
        <v>573</v>
      </c>
      <c r="D1116" s="2" t="str">
        <f t="shared" si="16"/>
        <v>Error?</v>
      </c>
    </row>
    <row r="1117" spans="1:4" x14ac:dyDescent="0.2">
      <c r="A1117" s="5">
        <v>1056</v>
      </c>
      <c r="B1117" s="138">
        <f>'Expenditures 15-22'!K45</f>
        <v>33578</v>
      </c>
      <c r="C1117" s="2" t="s">
        <v>573</v>
      </c>
      <c r="D1117" s="2" t="str">
        <f t="shared" si="16"/>
        <v>Error?</v>
      </c>
    </row>
    <row r="1118" spans="1:4" x14ac:dyDescent="0.2">
      <c r="A1118" s="5">
        <v>1057</v>
      </c>
      <c r="B1118" s="138">
        <f>'Expenditures 15-22'!K46</f>
        <v>7637</v>
      </c>
      <c r="C1118" s="2" t="s">
        <v>573</v>
      </c>
      <c r="D1118" s="2" t="str">
        <f t="shared" si="16"/>
        <v>Error?</v>
      </c>
    </row>
    <row r="1119" spans="1:4" x14ac:dyDescent="0.2">
      <c r="A1119" s="5">
        <v>1058</v>
      </c>
      <c r="B1119" s="138">
        <f>'Expenditures 15-22'!K47</f>
        <v>90417</v>
      </c>
      <c r="C1119" s="2" t="s">
        <v>573</v>
      </c>
      <c r="D1119" s="2" t="str">
        <f t="shared" si="16"/>
        <v>Error?</v>
      </c>
    </row>
    <row r="1120" spans="1:4" x14ac:dyDescent="0.2">
      <c r="A1120" s="5">
        <v>1059</v>
      </c>
      <c r="B1120" s="138">
        <f>'Expenditures 15-22'!K49</f>
        <v>94448</v>
      </c>
      <c r="C1120" s="2" t="s">
        <v>573</v>
      </c>
      <c r="D1120" s="2" t="str">
        <f t="shared" si="16"/>
        <v>Error?</v>
      </c>
    </row>
    <row r="1121" spans="1:4" x14ac:dyDescent="0.2">
      <c r="A1121" s="5">
        <v>1060</v>
      </c>
      <c r="B1121" s="138">
        <f>'Expenditures 15-22'!K50</f>
        <v>251998</v>
      </c>
      <c r="C1121" s="2" t="s">
        <v>573</v>
      </c>
      <c r="D1121" s="2" t="str">
        <f t="shared" si="16"/>
        <v>Error?</v>
      </c>
    </row>
    <row r="1122" spans="1:4" x14ac:dyDescent="0.2">
      <c r="A1122" s="5">
        <v>1061</v>
      </c>
      <c r="B1122" s="138">
        <f>'Expenditures 15-22'!K53</f>
        <v>504546</v>
      </c>
      <c r="C1122" s="2" t="s">
        <v>573</v>
      </c>
      <c r="D1122" s="2" t="str">
        <f t="shared" si="16"/>
        <v>Error?</v>
      </c>
    </row>
    <row r="1123" spans="1:4" x14ac:dyDescent="0.2">
      <c r="A1123" s="5">
        <v>1062</v>
      </c>
      <c r="B1123" s="138">
        <f>'Expenditures 15-22'!K55</f>
        <v>684496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684496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118865</v>
      </c>
      <c r="C1127" s="2" t="s">
        <v>573</v>
      </c>
      <c r="D1127" s="2" t="str">
        <f t="shared" si="16"/>
        <v>Error?</v>
      </c>
    </row>
    <row r="1128" spans="1:4" x14ac:dyDescent="0.2">
      <c r="A1128" s="5">
        <v>1067</v>
      </c>
      <c r="B1128" s="138">
        <f>'Expenditures 15-22'!K61</f>
        <v>17179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174487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310531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295707</v>
      </c>
      <c r="C1142" s="2" t="s">
        <v>573</v>
      </c>
      <c r="D1142" s="2" t="str">
        <f t="shared" si="16"/>
        <v>Error?</v>
      </c>
    </row>
    <row r="1143" spans="1:4" x14ac:dyDescent="0.2">
      <c r="A1143" s="5">
        <v>1082</v>
      </c>
      <c r="B1143" s="138">
        <f>'Expenditures 15-22'!K74</f>
        <v>2497780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168191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7431028</v>
      </c>
      <c r="C1152" s="2" t="s">
        <v>573</v>
      </c>
      <c r="D1152" s="2" t="str">
        <f t="shared" si="17"/>
        <v>Error?</v>
      </c>
    </row>
    <row r="1153" spans="1:4" x14ac:dyDescent="0.2">
      <c r="A1153" s="5">
        <v>1092</v>
      </c>
      <c r="B1153" s="138">
        <f>'Expenditures 15-22'!K115</f>
        <v>-225403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332544</v>
      </c>
      <c r="D1221" s="2" t="str">
        <f t="shared" si="18"/>
        <v>Error?</v>
      </c>
    </row>
    <row r="1222" spans="1:4" x14ac:dyDescent="0.2">
      <c r="A1222" s="10">
        <v>1161</v>
      </c>
      <c r="D1222" s="2" t="str">
        <f t="shared" si="18"/>
        <v>OK</v>
      </c>
    </row>
    <row r="1223" spans="1:4" x14ac:dyDescent="0.2">
      <c r="A1223" s="5">
        <v>1162</v>
      </c>
      <c r="B1223" s="138">
        <f>'Expenditures 15-22'!C127</f>
        <v>332544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332544</v>
      </c>
      <c r="C1225" s="2" t="s">
        <v>573</v>
      </c>
      <c r="D1225" s="2" t="str">
        <f t="shared" si="18"/>
        <v>Error?</v>
      </c>
    </row>
    <row r="1226" spans="1:4" x14ac:dyDescent="0.2">
      <c r="A1226" s="5">
        <v>1165</v>
      </c>
      <c r="B1226" s="138">
        <f>'Expenditures 15-22'!C151</f>
        <v>332544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53974</v>
      </c>
      <c r="D1229" s="2" t="str">
        <f t="shared" si="18"/>
        <v>Error?</v>
      </c>
    </row>
    <row r="1230" spans="1:4" x14ac:dyDescent="0.2">
      <c r="A1230" s="10">
        <v>1169</v>
      </c>
      <c r="D1230" s="2" t="str">
        <f t="shared" si="18"/>
        <v>OK</v>
      </c>
    </row>
    <row r="1231" spans="1:4" x14ac:dyDescent="0.2">
      <c r="A1231" s="5">
        <v>1170</v>
      </c>
      <c r="B1231" s="138">
        <f>'Expenditures 15-22'!D127</f>
        <v>53974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53974</v>
      </c>
      <c r="C1233" s="2" t="s">
        <v>573</v>
      </c>
      <c r="D1233" s="2" t="str">
        <f t="shared" si="18"/>
        <v>Error?</v>
      </c>
    </row>
    <row r="1234" spans="1:4" x14ac:dyDescent="0.2">
      <c r="A1234" s="5">
        <v>1173</v>
      </c>
      <c r="B1234" s="138">
        <f>'Expenditures 15-22'!D151</f>
        <v>53974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245425</v>
      </c>
      <c r="D1237" s="2" t="str">
        <f t="shared" si="18"/>
        <v>Error?</v>
      </c>
    </row>
    <row r="1238" spans="1:4" x14ac:dyDescent="0.2">
      <c r="A1238" s="10">
        <v>1177</v>
      </c>
      <c r="D1238" s="2" t="str">
        <f t="shared" si="18"/>
        <v>OK</v>
      </c>
    </row>
    <row r="1239" spans="1:4" x14ac:dyDescent="0.2">
      <c r="A1239" s="5">
        <v>1178</v>
      </c>
      <c r="B1239" s="138">
        <f>'Expenditures 15-22'!E127</f>
        <v>245425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245425</v>
      </c>
      <c r="C1241" s="2" t="s">
        <v>573</v>
      </c>
      <c r="D1241" s="2" t="str">
        <f t="shared" si="18"/>
        <v>Error?</v>
      </c>
    </row>
    <row r="1242" spans="1:4" x14ac:dyDescent="0.2">
      <c r="A1242" s="5">
        <v>1181</v>
      </c>
      <c r="B1242" s="138">
        <f>'Expenditures 15-22'!E151</f>
        <v>245425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270707</v>
      </c>
      <c r="D1245" s="2" t="str">
        <f t="shared" si="18"/>
        <v>Error?</v>
      </c>
    </row>
    <row r="1246" spans="1:4" x14ac:dyDescent="0.2">
      <c r="A1246" s="10">
        <v>1185</v>
      </c>
      <c r="D1246" s="2" t="str">
        <f t="shared" si="18"/>
        <v>OK</v>
      </c>
    </row>
    <row r="1247" spans="1:4" x14ac:dyDescent="0.2">
      <c r="A1247" s="5">
        <v>1186</v>
      </c>
      <c r="B1247" s="138">
        <f>'Expenditures 15-22'!F127</f>
        <v>270707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270707</v>
      </c>
      <c r="C1249" s="2" t="s">
        <v>573</v>
      </c>
      <c r="D1249" s="2" t="str">
        <f t="shared" si="18"/>
        <v>Error?</v>
      </c>
    </row>
    <row r="1250" spans="1:4" x14ac:dyDescent="0.2">
      <c r="A1250" s="5">
        <v>1189</v>
      </c>
      <c r="B1250" s="138">
        <f>'Expenditures 15-22'!F151</f>
        <v>270707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158950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158950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158950</v>
      </c>
      <c r="C1258" s="2" t="s">
        <v>573</v>
      </c>
      <c r="D1258" s="2" t="str">
        <f t="shared" si="18"/>
        <v>Error?</v>
      </c>
    </row>
    <row r="1259" spans="1:4" x14ac:dyDescent="0.2">
      <c r="A1259" s="5">
        <v>1198</v>
      </c>
      <c r="B1259" s="138">
        <f>'Expenditures 15-22'!G151</f>
        <v>158950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84157</v>
      </c>
      <c r="D1261" s="2" t="str">
        <f t="shared" si="18"/>
        <v>Error?</v>
      </c>
    </row>
    <row r="1262" spans="1:4" x14ac:dyDescent="0.2">
      <c r="A1262" s="5">
        <v>1201</v>
      </c>
      <c r="B1262" s="138">
        <f>'Expenditures 15-22'!H124</f>
        <v>340</v>
      </c>
      <c r="D1262" s="2" t="str">
        <f t="shared" si="18"/>
        <v>Error?</v>
      </c>
    </row>
    <row r="1263" spans="1:4" x14ac:dyDescent="0.2">
      <c r="A1263" s="10">
        <v>1202</v>
      </c>
      <c r="D1263" s="2" t="str">
        <f t="shared" si="18"/>
        <v>OK</v>
      </c>
    </row>
    <row r="1264" spans="1:4" x14ac:dyDescent="0.2">
      <c r="A1264" s="5">
        <v>1203</v>
      </c>
      <c r="B1264" s="138">
        <f>'Expenditures 15-22'!H127</f>
        <v>84497</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84497</v>
      </c>
      <c r="C1266" s="2" t="s">
        <v>573</v>
      </c>
      <c r="D1266" s="2" t="str">
        <f t="shared" si="18"/>
        <v>Error?</v>
      </c>
    </row>
    <row r="1267" spans="1:4" x14ac:dyDescent="0.2">
      <c r="A1267" s="5">
        <v>1206</v>
      </c>
      <c r="B1267" s="138">
        <f>'Expenditures 15-22'!H139</f>
        <v>1983</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1817</v>
      </c>
      <c r="D1270" s="2" t="str">
        <f t="shared" si="18"/>
        <v>Error?</v>
      </c>
    </row>
    <row r="1271" spans="1:4" x14ac:dyDescent="0.2">
      <c r="A1271" s="10">
        <v>1210</v>
      </c>
      <c r="D1271" s="2" t="str">
        <f t="shared" si="18"/>
        <v>OK</v>
      </c>
    </row>
    <row r="1272" spans="1:4" x14ac:dyDescent="0.2">
      <c r="A1272" s="5">
        <v>1211</v>
      </c>
      <c r="B1272" s="138">
        <f>'Expenditures 15-22'!H149</f>
        <v>1817</v>
      </c>
      <c r="C1272" s="2" t="s">
        <v>573</v>
      </c>
      <c r="D1272" s="2" t="str">
        <f t="shared" si="18"/>
        <v>Error?</v>
      </c>
    </row>
    <row r="1273" spans="1:4" x14ac:dyDescent="0.2">
      <c r="A1273" s="5">
        <v>1212</v>
      </c>
      <c r="B1273" s="138">
        <f>'Expenditures 15-22'!H151</f>
        <v>88297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84157</v>
      </c>
      <c r="C1275" s="2" t="s">
        <v>573</v>
      </c>
      <c r="D1275" s="2" t="str">
        <f t="shared" si="18"/>
        <v>Error?</v>
      </c>
    </row>
    <row r="1276" spans="1:4" x14ac:dyDescent="0.2">
      <c r="A1276" s="5">
        <v>1215</v>
      </c>
      <c r="B1276" s="138">
        <f>'Expenditures 15-22'!K124</f>
        <v>1069818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1153975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1153975</v>
      </c>
      <c r="C1281" s="2" t="s">
        <v>573</v>
      </c>
      <c r="D1281" s="2" t="str">
        <f t="shared" si="19"/>
        <v>Error?</v>
      </c>
    </row>
    <row r="1282" spans="1:4" x14ac:dyDescent="0.2">
      <c r="A1282" s="5">
        <v>1221</v>
      </c>
      <c r="B1282" s="138">
        <f>'Expenditures 15-22'!K139</f>
        <v>1983</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1817</v>
      </c>
      <c r="C1285" s="2" t="s">
        <v>573</v>
      </c>
      <c r="D1285" s="2" t="str">
        <f t="shared" si="19"/>
        <v>Error?</v>
      </c>
    </row>
    <row r="1286" spans="1:4" x14ac:dyDescent="0.2">
      <c r="A1286" s="10">
        <v>1225</v>
      </c>
      <c r="D1286" s="2" t="str">
        <f t="shared" si="19"/>
        <v>OK</v>
      </c>
    </row>
    <row r="1287" spans="1:4" x14ac:dyDescent="0.2">
      <c r="A1287" s="12">
        <v>1226</v>
      </c>
      <c r="B1287" s="138">
        <f>'Expenditures 15-22'!K149</f>
        <v>1817</v>
      </c>
      <c r="C1287" s="2" t="s">
        <v>573</v>
      </c>
      <c r="D1287" s="2" t="str">
        <f t="shared" si="19"/>
        <v>Error?</v>
      </c>
    </row>
    <row r="1288" spans="1:4" x14ac:dyDescent="0.2">
      <c r="A1288" s="5">
        <v>1227</v>
      </c>
      <c r="B1288" s="138">
        <f>'Expenditures 15-22'!K151</f>
        <v>1157775</v>
      </c>
      <c r="C1288" s="2" t="s">
        <v>573</v>
      </c>
      <c r="D1288" s="2" t="str">
        <f t="shared" si="19"/>
        <v>Error?</v>
      </c>
    </row>
    <row r="1289" spans="1:4" x14ac:dyDescent="0.2">
      <c r="A1289" s="5">
        <v>1228</v>
      </c>
      <c r="B1289" s="138">
        <f>'Expenditures 15-22'!K152</f>
        <v>154980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348502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1405000</v>
      </c>
      <c r="D1315" s="2" t="str">
        <f t="shared" si="19"/>
        <v>Error?</v>
      </c>
    </row>
    <row r="1316" spans="1:4" x14ac:dyDescent="0.2">
      <c r="A1316" s="5">
        <v>1255</v>
      </c>
      <c r="B1316" s="138">
        <f>'Expenditures 15-22'!H171</f>
        <v>3483</v>
      </c>
      <c r="D1316" s="2" t="str">
        <f t="shared" si="19"/>
        <v>Error?</v>
      </c>
    </row>
    <row r="1317" spans="1:4" x14ac:dyDescent="0.2">
      <c r="A1317" s="5">
        <v>1256</v>
      </c>
      <c r="B1317" s="138">
        <f>'Expenditures 15-22'!H172</f>
        <v>1756985</v>
      </c>
      <c r="C1317" s="2" t="s">
        <v>573</v>
      </c>
      <c r="D1317" s="2" t="str">
        <f t="shared" si="19"/>
        <v>Error?</v>
      </c>
    </row>
    <row r="1318" spans="1:4" x14ac:dyDescent="0.2">
      <c r="A1318" s="5">
        <v>1257</v>
      </c>
      <c r="B1318" s="138">
        <f>'Expenditures 15-22'!H174</f>
        <v>1756985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348502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1405000</v>
      </c>
      <c r="C1329" s="2" t="s">
        <v>573</v>
      </c>
      <c r="D1329" s="2" t="str">
        <f t="shared" si="19"/>
        <v>Error?</v>
      </c>
    </row>
    <row r="1330" spans="1:4" x14ac:dyDescent="0.2">
      <c r="A1330" s="5">
        <v>1269</v>
      </c>
      <c r="B1330" s="138">
        <f>'Expenditures 15-22'!K171</f>
        <v>3483</v>
      </c>
      <c r="C1330" s="2" t="s">
        <v>573</v>
      </c>
      <c r="D1330" s="2" t="str">
        <f t="shared" si="19"/>
        <v>Error?</v>
      </c>
    </row>
    <row r="1331" spans="1:4" x14ac:dyDescent="0.2">
      <c r="A1331" s="5">
        <v>1270</v>
      </c>
      <c r="B1331" s="138">
        <f>'Expenditures 15-22'!K172</f>
        <v>1756985</v>
      </c>
      <c r="C1331" s="2" t="s">
        <v>573</v>
      </c>
      <c r="D1331" s="2" t="str">
        <f t="shared" si="19"/>
        <v>Error?</v>
      </c>
    </row>
    <row r="1332" spans="1:4" x14ac:dyDescent="0.2">
      <c r="A1332" s="5">
        <v>1271</v>
      </c>
      <c r="B1332" s="138">
        <f>'Expenditures 15-22'!K174</f>
        <v>1756985</v>
      </c>
      <c r="C1332" s="2" t="s">
        <v>573</v>
      </c>
      <c r="D1332" s="2" t="str">
        <f t="shared" si="19"/>
        <v>Error?</v>
      </c>
    </row>
    <row r="1333" spans="1:4" x14ac:dyDescent="0.2">
      <c r="A1333" s="5">
        <v>1272</v>
      </c>
      <c r="B1333" s="138">
        <f>'Expenditures 15-22'!K175</f>
        <v>15290</v>
      </c>
      <c r="C1333" s="2" t="s">
        <v>573</v>
      </c>
      <c r="D1333" s="2" t="str">
        <f t="shared" si="19"/>
        <v>Error?</v>
      </c>
    </row>
    <row r="1334" spans="1:4" x14ac:dyDescent="0.2">
      <c r="A1334" s="10">
        <v>1273</v>
      </c>
      <c r="D1334" s="2" t="str">
        <f t="shared" si="19"/>
        <v>OK</v>
      </c>
    </row>
    <row r="1335" spans="1:4" x14ac:dyDescent="0.2">
      <c r="A1335" s="5">
        <v>1274</v>
      </c>
      <c r="B1335" s="138">
        <f>'Expenditures 15-22'!C182</f>
        <v>439282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439282</v>
      </c>
      <c r="C1339" s="2" t="s">
        <v>573</v>
      </c>
      <c r="D1339" s="2" t="str">
        <f t="shared" si="19"/>
        <v>Error?</v>
      </c>
    </row>
    <row r="1340" spans="1:4" x14ac:dyDescent="0.2">
      <c r="A1340" s="5">
        <v>1279</v>
      </c>
      <c r="B1340" s="138">
        <f>'Expenditures 15-22'!C210</f>
        <v>439282</v>
      </c>
      <c r="C1340" s="2" t="s">
        <v>573</v>
      </c>
      <c r="D1340" s="2" t="str">
        <f t="shared" si="19"/>
        <v>Error?</v>
      </c>
    </row>
    <row r="1341" spans="1:4" x14ac:dyDescent="0.2">
      <c r="A1341" s="5">
        <v>1280</v>
      </c>
      <c r="B1341" s="138">
        <f>'Expenditures 15-22'!D182</f>
        <v>3427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3427</v>
      </c>
      <c r="C1345" s="2" t="s">
        <v>573</v>
      </c>
      <c r="D1345" s="2" t="str">
        <f t="shared" si="20"/>
        <v>Error?</v>
      </c>
    </row>
    <row r="1346" spans="1:4" x14ac:dyDescent="0.2">
      <c r="A1346" s="5">
        <v>1285</v>
      </c>
      <c r="B1346" s="138">
        <f>'Expenditures 15-22'!D210</f>
        <v>3427</v>
      </c>
      <c r="C1346" s="2" t="s">
        <v>573</v>
      </c>
      <c r="D1346" s="2" t="str">
        <f t="shared" si="20"/>
        <v>Error?</v>
      </c>
    </row>
    <row r="1347" spans="1:4" x14ac:dyDescent="0.2">
      <c r="A1347" s="5">
        <v>1286</v>
      </c>
      <c r="B1347" s="138">
        <f>'Expenditures 15-22'!E182</f>
        <v>140155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140155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140155</v>
      </c>
      <c r="C1353" s="2" t="s">
        <v>573</v>
      </c>
      <c r="D1353" s="2" t="str">
        <f t="shared" si="20"/>
        <v>Error?</v>
      </c>
    </row>
    <row r="1354" spans="1:4" x14ac:dyDescent="0.2">
      <c r="A1354" s="5">
        <v>1293</v>
      </c>
      <c r="B1354" s="138">
        <f>'Expenditures 15-22'!F182</f>
        <v>60556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60556</v>
      </c>
      <c r="C1358" s="2" t="s">
        <v>573</v>
      </c>
      <c r="D1358" s="2" t="str">
        <f t="shared" si="20"/>
        <v>Error?</v>
      </c>
    </row>
    <row r="1359" spans="1:4" x14ac:dyDescent="0.2">
      <c r="A1359" s="5">
        <v>1298</v>
      </c>
      <c r="B1359" s="138">
        <f>'Expenditures 15-22'!F210</f>
        <v>60556</v>
      </c>
      <c r="C1359" s="2" t="s">
        <v>573</v>
      </c>
      <c r="D1359" s="2" t="str">
        <f t="shared" si="20"/>
        <v>Error?</v>
      </c>
    </row>
    <row r="1360" spans="1:4" x14ac:dyDescent="0.2">
      <c r="A1360" s="5">
        <v>1299</v>
      </c>
      <c r="B1360" s="138">
        <f>'Expenditures 15-22'!G182</f>
        <v>81625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81625</v>
      </c>
      <c r="C1364" s="2" t="s">
        <v>573</v>
      </c>
      <c r="D1364" s="2" t="str">
        <f t="shared" si="20"/>
        <v>Error?</v>
      </c>
    </row>
    <row r="1365" spans="1:4" x14ac:dyDescent="0.2">
      <c r="A1365" s="5">
        <v>1304</v>
      </c>
      <c r="B1365" s="138">
        <f>'Expenditures 15-22'!G210</f>
        <v>81625</v>
      </c>
      <c r="C1365" s="2" t="s">
        <v>573</v>
      </c>
      <c r="D1365" s="2" t="str">
        <f t="shared" si="20"/>
        <v>Error?</v>
      </c>
    </row>
    <row r="1366" spans="1:4" x14ac:dyDescent="0.2">
      <c r="A1366" s="5">
        <v>1305</v>
      </c>
      <c r="B1366" s="138">
        <f>'Expenditures 15-22'!H182</f>
        <v>11042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11042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11042</v>
      </c>
      <c r="C1376" s="2" t="s">
        <v>573</v>
      </c>
      <c r="D1376" s="2" t="str">
        <f t="shared" si="20"/>
        <v>Error?</v>
      </c>
    </row>
    <row r="1377" spans="1:4" x14ac:dyDescent="0.2">
      <c r="A1377" s="5">
        <v>1316</v>
      </c>
      <c r="B1377" s="138">
        <f>'Expenditures 15-22'!K182</f>
        <v>736087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736087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736087</v>
      </c>
      <c r="C1388" s="2" t="s">
        <v>573</v>
      </c>
      <c r="D1388" s="2" t="str">
        <f t="shared" si="20"/>
        <v>Error?</v>
      </c>
    </row>
    <row r="1389" spans="1:4" x14ac:dyDescent="0.2">
      <c r="A1389" s="5">
        <v>1328</v>
      </c>
      <c r="B1389" s="138">
        <f>'Expenditures 15-22'!K211</f>
        <v>79938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1585</v>
      </c>
      <c r="D1407" s="2" t="str">
        <f t="shared" ref="D1407:D1470" si="21">IF(ISBLANK(B1407),"OK",IF(A1407-B1407=0,"OK","Error?"))</f>
        <v>Error?</v>
      </c>
    </row>
    <row r="1408" spans="1:4" x14ac:dyDescent="0.2">
      <c r="A1408" s="5">
        <v>1347</v>
      </c>
      <c r="B1408" s="138">
        <f>'Expenditures 15-22'!D223</f>
        <v>6546</v>
      </c>
      <c r="D1408" s="2" t="str">
        <f t="shared" si="21"/>
        <v>Error?</v>
      </c>
    </row>
    <row r="1409" spans="1:4" x14ac:dyDescent="0.2">
      <c r="A1409" s="5">
        <v>1348</v>
      </c>
      <c r="B1409" s="138">
        <f>'Expenditures 15-22'!D224</f>
        <v>388</v>
      </c>
      <c r="D1409" s="2" t="str">
        <f t="shared" si="21"/>
        <v>Error?</v>
      </c>
    </row>
    <row r="1410" spans="1:4" x14ac:dyDescent="0.2">
      <c r="A1410" s="5">
        <v>1349</v>
      </c>
      <c r="B1410" s="138">
        <f>'Expenditures 15-22'!D229</f>
        <v>96370</v>
      </c>
      <c r="C1410" s="2" t="s">
        <v>573</v>
      </c>
      <c r="D1410" s="2" t="str">
        <f t="shared" si="21"/>
        <v>Error?</v>
      </c>
    </row>
    <row r="1411" spans="1:4" x14ac:dyDescent="0.2">
      <c r="A1411" s="5">
        <v>1350</v>
      </c>
      <c r="B1411" s="138">
        <f>'Expenditures 15-22'!D232</f>
        <v>1325</v>
      </c>
      <c r="D1411" s="2" t="str">
        <f t="shared" si="21"/>
        <v>Error?</v>
      </c>
    </row>
    <row r="1412" spans="1:4" x14ac:dyDescent="0.2">
      <c r="A1412" s="5">
        <v>1351</v>
      </c>
      <c r="B1412" s="138">
        <f>'Expenditures 15-22'!D233</f>
        <v>643</v>
      </c>
      <c r="D1412" s="2" t="str">
        <f t="shared" si="21"/>
        <v>Error?</v>
      </c>
    </row>
    <row r="1413" spans="1:4" x14ac:dyDescent="0.2">
      <c r="A1413" s="5">
        <v>1352</v>
      </c>
      <c r="B1413" s="138">
        <f>'Expenditures 15-22'!D234</f>
        <v>6141</v>
      </c>
      <c r="D1413" s="2" t="str">
        <f t="shared" si="21"/>
        <v>Error?</v>
      </c>
    </row>
    <row r="1414" spans="1:4" x14ac:dyDescent="0.2">
      <c r="A1414" s="5">
        <v>1353</v>
      </c>
      <c r="B1414" s="138">
        <f>'Expenditures 15-22'!D235</f>
        <v>668</v>
      </c>
      <c r="D1414" s="2" t="str">
        <f t="shared" si="21"/>
        <v>Error?</v>
      </c>
    </row>
    <row r="1415" spans="1:4" x14ac:dyDescent="0.2">
      <c r="A1415" s="5">
        <v>1354</v>
      </c>
      <c r="B1415" s="138">
        <f>'Expenditures 15-22'!D236</f>
        <v>1605</v>
      </c>
      <c r="D1415" s="2" t="str">
        <f t="shared" si="21"/>
        <v>Error?</v>
      </c>
    </row>
    <row r="1416" spans="1:4" x14ac:dyDescent="0.2">
      <c r="A1416" s="5">
        <v>1355</v>
      </c>
      <c r="B1416" s="138">
        <f>'Expenditures 15-22'!D237</f>
        <v>293</v>
      </c>
      <c r="D1416" s="2" t="str">
        <f t="shared" si="21"/>
        <v>Error?</v>
      </c>
    </row>
    <row r="1417" spans="1:4" x14ac:dyDescent="0.2">
      <c r="A1417" s="5">
        <v>1356</v>
      </c>
      <c r="B1417" s="138">
        <f>'Expenditures 15-22'!D238</f>
        <v>10675</v>
      </c>
      <c r="C1417" s="2" t="s">
        <v>573</v>
      </c>
      <c r="D1417" s="2" t="str">
        <f t="shared" si="21"/>
        <v>Error?</v>
      </c>
    </row>
    <row r="1418" spans="1:4" x14ac:dyDescent="0.2">
      <c r="A1418" s="5">
        <v>1357</v>
      </c>
      <c r="B1418" s="138">
        <f>'Expenditures 15-22'!D240</f>
        <v>139</v>
      </c>
      <c r="D1418" s="2" t="str">
        <f t="shared" si="21"/>
        <v>Error?</v>
      </c>
    </row>
    <row r="1419" spans="1:4" x14ac:dyDescent="0.2">
      <c r="A1419" s="5">
        <v>1358</v>
      </c>
      <c r="B1419" s="138">
        <f>'Expenditures 15-22'!D241</f>
        <v>3988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4127</v>
      </c>
      <c r="C1421" s="2" t="s">
        <v>573</v>
      </c>
      <c r="D1421" s="2" t="str">
        <f t="shared" si="21"/>
        <v>Error?</v>
      </c>
    </row>
    <row r="1422" spans="1:4" x14ac:dyDescent="0.2">
      <c r="A1422" s="5">
        <v>1361</v>
      </c>
      <c r="B1422" s="138">
        <f>'Expenditures 15-22'!D245</f>
        <v>4682</v>
      </c>
      <c r="D1422" s="2" t="str">
        <f t="shared" si="21"/>
        <v>Error?</v>
      </c>
    </row>
    <row r="1423" spans="1:4" x14ac:dyDescent="0.2">
      <c r="A1423" s="5">
        <v>1362</v>
      </c>
      <c r="B1423" s="138">
        <f>'Expenditures 15-22'!D246</f>
        <v>4743</v>
      </c>
      <c r="D1423" s="2" t="str">
        <f t="shared" si="21"/>
        <v>Error?</v>
      </c>
    </row>
    <row r="1424" spans="1:4" x14ac:dyDescent="0.2">
      <c r="A1424" s="5">
        <v>1363</v>
      </c>
      <c r="B1424" s="138">
        <f>'Expenditures 15-22'!D257</f>
        <v>15327</v>
      </c>
      <c r="C1424" s="2" t="s">
        <v>573</v>
      </c>
      <c r="D1424" s="2" t="str">
        <f t="shared" si="21"/>
        <v>Error?</v>
      </c>
    </row>
    <row r="1425" spans="1:4" x14ac:dyDescent="0.2">
      <c r="A1425" s="5">
        <v>1364</v>
      </c>
      <c r="B1425" s="138">
        <f>'Expenditures 15-22'!D259</f>
        <v>26318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26318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15167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57666</v>
      </c>
      <c r="D1431" s="2" t="str">
        <f t="shared" si="21"/>
        <v>Error?</v>
      </c>
    </row>
    <row r="1432" spans="1:4" x14ac:dyDescent="0.2">
      <c r="A1432" s="5">
        <v>1371</v>
      </c>
      <c r="B1432" s="138">
        <f>'Expenditures 15-22'!D267</f>
        <v>75496</v>
      </c>
      <c r="D1432" s="2" t="str">
        <f t="shared" si="21"/>
        <v>Error?</v>
      </c>
    </row>
    <row r="1433" spans="1:4" x14ac:dyDescent="0.2">
      <c r="A1433" s="5">
        <v>1372</v>
      </c>
      <c r="B1433" s="138">
        <f>'Expenditures 15-22'!D268</f>
        <v>323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148652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15921</v>
      </c>
      <c r="D1445" s="2" t="str">
        <f t="shared" si="21"/>
        <v>Error?</v>
      </c>
    </row>
    <row r="1446" spans="1:4" x14ac:dyDescent="0.2">
      <c r="A1446" s="5">
        <v>1385</v>
      </c>
      <c r="B1446" s="138">
        <f>'Expenditures 15-22'!D279</f>
        <v>221020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317390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1585</v>
      </c>
      <c r="C1471" s="2" t="s">
        <v>573</v>
      </c>
      <c r="D1471" s="2" t="str">
        <f t="shared" ref="D1471:D1534" si="22">IF(ISBLANK(B1471),"OK",IF(A1471-B1471=0,"OK","Error?"))</f>
        <v>Error?</v>
      </c>
    </row>
    <row r="1472" spans="1:4" x14ac:dyDescent="0.2">
      <c r="A1472" s="5">
        <v>1411</v>
      </c>
      <c r="B1472" s="138">
        <f>'Expenditures 15-22'!K223</f>
        <v>6546</v>
      </c>
      <c r="C1472" s="2" t="s">
        <v>573</v>
      </c>
      <c r="D1472" s="2" t="str">
        <f t="shared" si="22"/>
        <v>Error?</v>
      </c>
    </row>
    <row r="1473" spans="1:4" x14ac:dyDescent="0.2">
      <c r="A1473" s="5">
        <v>1412</v>
      </c>
      <c r="B1473" s="138">
        <f>'Expenditures 15-22'!K224</f>
        <v>388</v>
      </c>
      <c r="C1473" s="2" t="s">
        <v>573</v>
      </c>
      <c r="D1473" s="2" t="str">
        <f t="shared" si="22"/>
        <v>Error?</v>
      </c>
    </row>
    <row r="1474" spans="1:4" x14ac:dyDescent="0.2">
      <c r="A1474" s="5">
        <v>1413</v>
      </c>
      <c r="B1474" s="138">
        <f>'Expenditures 15-22'!K229</f>
        <v>96370</v>
      </c>
      <c r="C1474" s="2" t="s">
        <v>573</v>
      </c>
      <c r="D1474" s="2" t="str">
        <f t="shared" si="22"/>
        <v>Error?</v>
      </c>
    </row>
    <row r="1475" spans="1:4" x14ac:dyDescent="0.2">
      <c r="A1475" s="5">
        <v>1414</v>
      </c>
      <c r="B1475" s="138">
        <f>'Expenditures 15-22'!K232</f>
        <v>1325</v>
      </c>
      <c r="C1475" s="2" t="s">
        <v>573</v>
      </c>
      <c r="D1475" s="2" t="str">
        <f t="shared" si="22"/>
        <v>Error?</v>
      </c>
    </row>
    <row r="1476" spans="1:4" x14ac:dyDescent="0.2">
      <c r="A1476" s="5">
        <v>1415</v>
      </c>
      <c r="B1476" s="138">
        <f>'Expenditures 15-22'!K233</f>
        <v>643</v>
      </c>
      <c r="C1476" s="2" t="s">
        <v>573</v>
      </c>
      <c r="D1476" s="2" t="str">
        <f t="shared" si="22"/>
        <v>Error?</v>
      </c>
    </row>
    <row r="1477" spans="1:4" x14ac:dyDescent="0.2">
      <c r="A1477" s="5">
        <v>1416</v>
      </c>
      <c r="B1477" s="138">
        <f>'Expenditures 15-22'!K234</f>
        <v>6141</v>
      </c>
      <c r="C1477" s="2" t="s">
        <v>573</v>
      </c>
      <c r="D1477" s="2" t="str">
        <f t="shared" si="22"/>
        <v>Error?</v>
      </c>
    </row>
    <row r="1478" spans="1:4" x14ac:dyDescent="0.2">
      <c r="A1478" s="5">
        <v>1417</v>
      </c>
      <c r="B1478" s="138">
        <f>'Expenditures 15-22'!K235</f>
        <v>668</v>
      </c>
      <c r="C1478" s="2" t="s">
        <v>573</v>
      </c>
      <c r="D1478" s="2" t="str">
        <f t="shared" si="22"/>
        <v>Error?</v>
      </c>
    </row>
    <row r="1479" spans="1:4" x14ac:dyDescent="0.2">
      <c r="A1479" s="5">
        <v>1418</v>
      </c>
      <c r="B1479" s="138">
        <f>'Expenditures 15-22'!K236</f>
        <v>1605</v>
      </c>
      <c r="C1479" s="2" t="s">
        <v>573</v>
      </c>
      <c r="D1479" s="2" t="str">
        <f t="shared" si="22"/>
        <v>Error?</v>
      </c>
    </row>
    <row r="1480" spans="1:4" x14ac:dyDescent="0.2">
      <c r="A1480" s="5">
        <v>1419</v>
      </c>
      <c r="B1480" s="138">
        <f>'Expenditures 15-22'!K237</f>
        <v>293</v>
      </c>
      <c r="C1480" s="2" t="s">
        <v>573</v>
      </c>
      <c r="D1480" s="2" t="str">
        <f t="shared" si="22"/>
        <v>Error?</v>
      </c>
    </row>
    <row r="1481" spans="1:4" x14ac:dyDescent="0.2">
      <c r="A1481" s="5">
        <v>1420</v>
      </c>
      <c r="B1481" s="138">
        <f>'Expenditures 15-22'!K238</f>
        <v>10675</v>
      </c>
      <c r="C1481" s="2" t="s">
        <v>573</v>
      </c>
      <c r="D1481" s="2" t="str">
        <f t="shared" si="22"/>
        <v>Error?</v>
      </c>
    </row>
    <row r="1482" spans="1:4" x14ac:dyDescent="0.2">
      <c r="A1482" s="5">
        <v>1421</v>
      </c>
      <c r="B1482" s="138">
        <f>'Expenditures 15-22'!K240</f>
        <v>139</v>
      </c>
      <c r="C1482" s="2" t="s">
        <v>573</v>
      </c>
      <c r="D1482" s="2" t="str">
        <f t="shared" si="22"/>
        <v>Error?</v>
      </c>
    </row>
    <row r="1483" spans="1:4" x14ac:dyDescent="0.2">
      <c r="A1483" s="5">
        <v>1422</v>
      </c>
      <c r="B1483" s="138">
        <f>'Expenditures 15-22'!K241</f>
        <v>3988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4127</v>
      </c>
      <c r="C1485" s="2" t="s">
        <v>573</v>
      </c>
      <c r="D1485" s="2" t="str">
        <f t="shared" si="22"/>
        <v>Error?</v>
      </c>
    </row>
    <row r="1486" spans="1:4" x14ac:dyDescent="0.2">
      <c r="A1486" s="5">
        <v>1425</v>
      </c>
      <c r="B1486" s="138">
        <f>'Expenditures 15-22'!K245</f>
        <v>4682</v>
      </c>
      <c r="C1486" s="2" t="s">
        <v>573</v>
      </c>
      <c r="D1486" s="2" t="str">
        <f t="shared" si="22"/>
        <v>Error?</v>
      </c>
    </row>
    <row r="1487" spans="1:4" x14ac:dyDescent="0.2">
      <c r="A1487" s="5">
        <v>1426</v>
      </c>
      <c r="B1487" s="138">
        <f>'Expenditures 15-22'!K246</f>
        <v>4743</v>
      </c>
      <c r="C1487" s="2" t="s">
        <v>573</v>
      </c>
      <c r="D1487" s="2" t="str">
        <f t="shared" si="22"/>
        <v>Error?</v>
      </c>
    </row>
    <row r="1488" spans="1:4" x14ac:dyDescent="0.2">
      <c r="A1488" s="5">
        <v>1427</v>
      </c>
      <c r="B1488" s="138">
        <f>'Expenditures 15-22'!K257</f>
        <v>15327</v>
      </c>
      <c r="C1488" s="2" t="s">
        <v>573</v>
      </c>
      <c r="D1488" s="2" t="str">
        <f t="shared" si="22"/>
        <v>Error?</v>
      </c>
    </row>
    <row r="1489" spans="1:4" x14ac:dyDescent="0.2">
      <c r="A1489" s="5">
        <v>1428</v>
      </c>
      <c r="B1489" s="138">
        <f>'Expenditures 15-22'!K259</f>
        <v>26318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26318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15167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57666</v>
      </c>
      <c r="C1495" s="2" t="s">
        <v>573</v>
      </c>
      <c r="D1495" s="2" t="str">
        <f t="shared" si="22"/>
        <v>Error?</v>
      </c>
    </row>
    <row r="1496" spans="1:4" x14ac:dyDescent="0.2">
      <c r="A1496" s="5">
        <v>1435</v>
      </c>
      <c r="B1496" s="138">
        <f>'Expenditures 15-22'!K267</f>
        <v>75496</v>
      </c>
      <c r="C1496" s="2" t="s">
        <v>573</v>
      </c>
      <c r="D1496" s="2" t="str">
        <f t="shared" si="22"/>
        <v>Error?</v>
      </c>
    </row>
    <row r="1497" spans="1:4" x14ac:dyDescent="0.2">
      <c r="A1497" s="5">
        <v>1436</v>
      </c>
      <c r="B1497" s="138">
        <f>'Expenditures 15-22'!K268</f>
        <v>323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148652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15921</v>
      </c>
      <c r="C1509" s="2" t="s">
        <v>573</v>
      </c>
      <c r="D1509" s="2" t="str">
        <f t="shared" si="22"/>
        <v>Error?</v>
      </c>
    </row>
    <row r="1510" spans="1:4" x14ac:dyDescent="0.2">
      <c r="A1510" s="5">
        <v>1449</v>
      </c>
      <c r="B1510" s="138">
        <f>'Expenditures 15-22'!K279</f>
        <v>221020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317390</v>
      </c>
      <c r="C1517" s="2" t="s">
        <v>573</v>
      </c>
      <c r="D1517" s="2" t="str">
        <f t="shared" si="22"/>
        <v>Error?</v>
      </c>
    </row>
    <row r="1518" spans="1:4" x14ac:dyDescent="0.2">
      <c r="A1518" s="5">
        <v>1457</v>
      </c>
      <c r="B1518" s="138">
        <f>'Expenditures 15-22'!K296</f>
        <v>22504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3550619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3272318</v>
      </c>
      <c r="C1630" s="2" t="s">
        <v>573</v>
      </c>
      <c r="D1630" s="2" t="str">
        <f t="shared" si="24"/>
        <v>Error?</v>
      </c>
    </row>
    <row r="1631" spans="1:4" x14ac:dyDescent="0.2">
      <c r="A1631" s="5">
        <v>1570</v>
      </c>
      <c r="B1631" s="138">
        <f>'Acct Summary 7-8'!D79</f>
        <v>1732536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1898516</v>
      </c>
      <c r="C1644" s="2" t="s">
        <v>573</v>
      </c>
      <c r="D1644" s="2" t="str">
        <f t="shared" si="24"/>
        <v>Error?</v>
      </c>
    </row>
    <row r="1645" spans="1:4" x14ac:dyDescent="0.2">
      <c r="A1645" s="5">
        <v>1584</v>
      </c>
      <c r="B1645" s="138">
        <f>'Acct Summary 7-8'!E79</f>
        <v>1219336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1237177</v>
      </c>
      <c r="C1658" s="2" t="s">
        <v>573</v>
      </c>
      <c r="D1658" s="2" t="str">
        <f t="shared" si="24"/>
        <v>Error?</v>
      </c>
    </row>
    <row r="1659" spans="1:4" x14ac:dyDescent="0.2">
      <c r="A1659" s="5">
        <v>1598</v>
      </c>
      <c r="B1659" s="138">
        <f>'Acct Summary 7-8'!F79</f>
        <v>1238286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1318224</v>
      </c>
      <c r="C1672" s="2" t="s">
        <v>573</v>
      </c>
      <c r="D1672" s="2" t="str">
        <f t="shared" si="25"/>
        <v>Error?</v>
      </c>
    </row>
    <row r="1673" spans="1:4" x14ac:dyDescent="0.2">
      <c r="A1673" s="5">
        <v>1612</v>
      </c>
      <c r="B1673" s="138">
        <f>'Acct Summary 7-8'!G79</f>
        <v>191623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214127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4836128</v>
      </c>
      <c r="C1744" s="2" t="s">
        <v>573</v>
      </c>
      <c r="D1744" s="2" t="str">
        <f t="shared" si="26"/>
        <v>Error?</v>
      </c>
    </row>
    <row r="1745" spans="1:5" x14ac:dyDescent="0.2">
      <c r="A1745" s="5">
        <v>1684</v>
      </c>
      <c r="B1745" s="138">
        <f>'Tax Sched 23'!B5</f>
        <v>1027683</v>
      </c>
      <c r="C1745" s="2" t="s">
        <v>573</v>
      </c>
      <c r="D1745" s="2" t="str">
        <f t="shared" si="26"/>
        <v>Error?</v>
      </c>
    </row>
    <row r="1746" spans="1:5" x14ac:dyDescent="0.2">
      <c r="A1746" s="5">
        <v>1685</v>
      </c>
      <c r="B1746" s="138">
        <f>'Tax Sched 23'!B6</f>
        <v>1753140</v>
      </c>
      <c r="C1746" s="2" t="s">
        <v>573</v>
      </c>
      <c r="D1746" s="2" t="str">
        <f t="shared" si="26"/>
        <v>Error?</v>
      </c>
    </row>
    <row r="1747" spans="1:5" x14ac:dyDescent="0.2">
      <c r="A1747" s="5">
        <v>1686</v>
      </c>
      <c r="B1747" s="138">
        <f>'Tax Sched 23'!B7</f>
        <v>369493</v>
      </c>
      <c r="C1747" s="2" t="s">
        <v>573</v>
      </c>
      <c r="D1747" s="2" t="str">
        <f t="shared" si="26"/>
        <v>Error?</v>
      </c>
    </row>
    <row r="1748" spans="1:5" x14ac:dyDescent="0.2">
      <c r="A1748" s="5">
        <v>1687</v>
      </c>
      <c r="B1748" s="138">
        <f>'Tax Sched 23'!B8</f>
        <v>164868</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105050</v>
      </c>
      <c r="C1752" s="2" t="s">
        <v>573</v>
      </c>
      <c r="D1752" s="2" t="str">
        <f t="shared" si="26"/>
        <v>Error?</v>
      </c>
    </row>
    <row r="1753" spans="1:5" x14ac:dyDescent="0.2">
      <c r="A1753" s="5">
        <v>1692</v>
      </c>
      <c r="B1753" s="138">
        <f>'Tax Sched 23'!B12</f>
        <v>908</v>
      </c>
      <c r="C1753" s="2" t="s">
        <v>573</v>
      </c>
      <c r="D1753" s="2" t="str">
        <f t="shared" si="26"/>
        <v>Error?</v>
      </c>
    </row>
    <row r="1754" spans="1:5" x14ac:dyDescent="0.2">
      <c r="A1754" s="5">
        <v>1693</v>
      </c>
      <c r="B1754" s="138">
        <f>'Tax Sched 23'!B14</f>
        <v>576232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8996821</v>
      </c>
      <c r="C1759" s="2" t="s">
        <v>573</v>
      </c>
      <c r="D1759" s="2" t="str">
        <f t="shared" si="26"/>
        <v>Error?</v>
      </c>
    </row>
    <row r="1760" spans="1:5" x14ac:dyDescent="0.2">
      <c r="A1760" s="5">
        <v>1699</v>
      </c>
      <c r="B1760" s="138">
        <f>'Tax Sched 23'!D4</f>
        <v>2365393</v>
      </c>
      <c r="C1760" s="2" t="s">
        <v>573</v>
      </c>
      <c r="D1760" s="2" t="str">
        <f t="shared" si="26"/>
        <v>Error?</v>
      </c>
    </row>
    <row r="1761" spans="1:5" x14ac:dyDescent="0.2">
      <c r="A1761" s="5">
        <v>1700</v>
      </c>
      <c r="B1761" s="138">
        <f>'Tax Sched 23'!D5</f>
        <v>454299</v>
      </c>
      <c r="C1761" s="2" t="s">
        <v>573</v>
      </c>
      <c r="D1761" s="2" t="str">
        <f t="shared" si="26"/>
        <v>Error?</v>
      </c>
    </row>
    <row r="1762" spans="1:5" s="8" customFormat="1" x14ac:dyDescent="0.2">
      <c r="A1762" s="5">
        <v>1701</v>
      </c>
      <c r="B1762" s="138">
        <f>'Tax Sched 23'!D6</f>
        <v>821239</v>
      </c>
      <c r="C1762" s="2" t="s">
        <v>573</v>
      </c>
      <c r="D1762" s="2" t="str">
        <f t="shared" si="26"/>
        <v>Error?</v>
      </c>
      <c r="E1762" s="9"/>
    </row>
    <row r="1763" spans="1:5" x14ac:dyDescent="0.2">
      <c r="A1763" s="5">
        <v>1702</v>
      </c>
      <c r="B1763" s="138">
        <f>'Tax Sched 23'!D7</f>
        <v>194195</v>
      </c>
      <c r="C1763" s="2" t="s">
        <v>573</v>
      </c>
      <c r="D1763" s="2" t="str">
        <f t="shared" si="26"/>
        <v>Error?</v>
      </c>
    </row>
    <row r="1764" spans="1:5" x14ac:dyDescent="0.2">
      <c r="A1764" s="5">
        <v>1703</v>
      </c>
      <c r="B1764" s="138">
        <f>'Tax Sched 23'!D8</f>
        <v>77949</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53795</v>
      </c>
      <c r="C1768" s="2" t="s">
        <v>573</v>
      </c>
      <c r="D1768" s="2" t="str">
        <f t="shared" si="26"/>
        <v>Error?</v>
      </c>
    </row>
    <row r="1769" spans="1:5" x14ac:dyDescent="0.2">
      <c r="A1769" s="5">
        <v>1708</v>
      </c>
      <c r="B1769" s="138">
        <f>'Tax Sched 23'!D12</f>
        <v>445</v>
      </c>
      <c r="C1769" s="2" t="s">
        <v>573</v>
      </c>
      <c r="D1769" s="2" t="str">
        <f t="shared" si="26"/>
        <v>Error?</v>
      </c>
    </row>
    <row r="1770" spans="1:5" x14ac:dyDescent="0.2">
      <c r="A1770" s="5">
        <v>1709</v>
      </c>
      <c r="B1770" s="138">
        <f>'Tax Sched 23'!D14</f>
        <v>281996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4328626</v>
      </c>
      <c r="C1775" s="2" t="s">
        <v>573</v>
      </c>
      <c r="D1775" s="2" t="str">
        <f t="shared" si="26"/>
        <v>Error?</v>
      </c>
    </row>
    <row r="1776" spans="1:5" x14ac:dyDescent="0.2">
      <c r="A1776" s="5">
        <v>1715</v>
      </c>
      <c r="B1776" s="138">
        <f>'Tax Sched 23'!C4</f>
        <v>2470735</v>
      </c>
      <c r="D1776" s="2" t="str">
        <f t="shared" si="26"/>
        <v>Error?</v>
      </c>
    </row>
    <row r="1777" spans="1:4" x14ac:dyDescent="0.2">
      <c r="A1777" s="5">
        <v>1716</v>
      </c>
      <c r="B1777" s="138">
        <f>'Tax Sched 23'!C5</f>
        <v>573384</v>
      </c>
      <c r="D1777" s="2" t="str">
        <f t="shared" si="26"/>
        <v>Error?</v>
      </c>
    </row>
    <row r="1778" spans="1:4" x14ac:dyDescent="0.2">
      <c r="A1778" s="5">
        <v>1717</v>
      </c>
      <c r="B1778" s="138">
        <f>'Tax Sched 23'!C6</f>
        <v>931901</v>
      </c>
      <c r="D1778" s="2" t="str">
        <f t="shared" si="26"/>
        <v>Error?</v>
      </c>
    </row>
    <row r="1779" spans="1:4" x14ac:dyDescent="0.2">
      <c r="A1779" s="5">
        <v>1718</v>
      </c>
      <c r="B1779" s="138">
        <f>'Tax Sched 23'!C7</f>
        <v>175298</v>
      </c>
      <c r="D1779" s="2" t="str">
        <f t="shared" si="26"/>
        <v>Error?</v>
      </c>
    </row>
    <row r="1780" spans="1:4" x14ac:dyDescent="0.2">
      <c r="A1780" s="5">
        <v>1719</v>
      </c>
      <c r="B1780" s="138">
        <f>'Tax Sched 23'!C8</f>
        <v>86919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51255</v>
      </c>
      <c r="D1784" s="2" t="str">
        <f t="shared" si="26"/>
        <v>Error?</v>
      </c>
    </row>
    <row r="1785" spans="1:4" x14ac:dyDescent="0.2">
      <c r="A1785" s="5">
        <v>1724</v>
      </c>
      <c r="B1785" s="138">
        <f>'Tax Sched 23'!C12</f>
        <v>463</v>
      </c>
      <c r="D1785" s="2" t="str">
        <f t="shared" si="26"/>
        <v>Error?</v>
      </c>
    </row>
    <row r="1786" spans="1:4" x14ac:dyDescent="0.2">
      <c r="A1786" s="5">
        <v>1725</v>
      </c>
      <c r="B1786" s="138">
        <f>'Tax Sched 23'!C14</f>
        <v>294236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4668195</v>
      </c>
      <c r="C1791" s="2" t="s">
        <v>573</v>
      </c>
      <c r="D1791" s="2" t="str">
        <f t="shared" ref="D1791:D1854" si="27">IF(ISBLANK(B1791),"OK",IF(A1791-B1791=0,"OK","Error?"))</f>
        <v>Error?</v>
      </c>
    </row>
    <row r="1792" spans="1:4" x14ac:dyDescent="0.2">
      <c r="A1792" s="5">
        <v>1731</v>
      </c>
      <c r="B1792" s="138">
        <f>'Tax Sched 23'!F4</f>
        <v>2796039</v>
      </c>
      <c r="C1792" s="2" t="s">
        <v>573</v>
      </c>
      <c r="D1792" s="2" t="str">
        <f t="shared" si="27"/>
        <v>Error?</v>
      </c>
    </row>
    <row r="1793" spans="1:4" x14ac:dyDescent="0.2">
      <c r="A1793" s="5">
        <v>1732</v>
      </c>
      <c r="B1793" s="138">
        <f>'Tax Sched 23'!F5</f>
        <v>648848</v>
      </c>
      <c r="C1793" s="2" t="s">
        <v>573</v>
      </c>
      <c r="D1793" s="2" t="str">
        <f t="shared" si="27"/>
        <v>Error?</v>
      </c>
    </row>
    <row r="1794" spans="1:4" x14ac:dyDescent="0.2">
      <c r="A1794" s="5">
        <v>1733</v>
      </c>
      <c r="B1794" s="138">
        <f>'Tax Sched 23'!F6</f>
        <v>1054592</v>
      </c>
      <c r="C1794" s="2" t="s">
        <v>573</v>
      </c>
      <c r="D1794" s="2" t="str">
        <f t="shared" si="27"/>
        <v>Error?</v>
      </c>
    </row>
    <row r="1795" spans="1:4" x14ac:dyDescent="0.2">
      <c r="A1795" s="5">
        <v>1734</v>
      </c>
      <c r="B1795" s="138">
        <f>'Tax Sched 23'!F7</f>
        <v>198368</v>
      </c>
      <c r="C1795" s="2" t="s">
        <v>573</v>
      </c>
      <c r="D1795" s="2" t="str">
        <f t="shared" si="27"/>
        <v>Error?</v>
      </c>
    </row>
    <row r="1796" spans="1:4" x14ac:dyDescent="0.2">
      <c r="A1796" s="5">
        <v>1735</v>
      </c>
      <c r="B1796" s="138">
        <f>'Tax Sched 23'!F8</f>
        <v>98360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58006</v>
      </c>
      <c r="C1800" s="2" t="s">
        <v>573</v>
      </c>
      <c r="D1800" s="2" t="str">
        <f t="shared" si="27"/>
        <v>Error?</v>
      </c>
    </row>
    <row r="1801" spans="1:4" x14ac:dyDescent="0.2">
      <c r="A1801" s="5">
        <v>1740</v>
      </c>
      <c r="B1801" s="138">
        <f>'Tax Sched 23'!F12</f>
        <v>534</v>
      </c>
      <c r="C1801" s="2" t="s">
        <v>573</v>
      </c>
      <c r="D1801" s="2" t="str">
        <f t="shared" si="27"/>
        <v>Error?</v>
      </c>
    </row>
    <row r="1802" spans="1:4" x14ac:dyDescent="0.2">
      <c r="A1802" s="5">
        <v>1741</v>
      </c>
      <c r="B1802" s="138">
        <f>'Tax Sched 23'!F14</f>
        <v>332963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5282775</v>
      </c>
      <c r="C1807" s="2" t="s">
        <v>573</v>
      </c>
      <c r="D1807" s="2" t="str">
        <f t="shared" si="27"/>
        <v>Error?</v>
      </c>
    </row>
    <row r="1808" spans="1:4" x14ac:dyDescent="0.2">
      <c r="A1808" s="5">
        <v>1747</v>
      </c>
      <c r="B1808" s="138">
        <f>'Tax Sched 23'!E4</f>
        <v>5266774</v>
      </c>
      <c r="D1808" s="2" t="str">
        <f t="shared" si="27"/>
        <v>Error?</v>
      </c>
    </row>
    <row r="1809" spans="1:4" x14ac:dyDescent="0.2">
      <c r="A1809" s="5">
        <v>1748</v>
      </c>
      <c r="B1809" s="138">
        <f>'Tax Sched 23'!E5</f>
        <v>1222232</v>
      </c>
      <c r="D1809" s="2" t="str">
        <f t="shared" si="27"/>
        <v>Error?</v>
      </c>
    </row>
    <row r="1810" spans="1:4" x14ac:dyDescent="0.2">
      <c r="A1810" s="5">
        <v>1749</v>
      </c>
      <c r="B1810" s="138">
        <f>'Tax Sched 23'!E6</f>
        <v>1986493</v>
      </c>
      <c r="D1810" s="2" t="str">
        <f t="shared" si="27"/>
        <v>Error?</v>
      </c>
    </row>
    <row r="1811" spans="1:4" x14ac:dyDescent="0.2">
      <c r="A1811" s="5">
        <v>1750</v>
      </c>
      <c r="B1811" s="138">
        <f>'Tax Sched 23'!E7</f>
        <v>373666</v>
      </c>
      <c r="D1811" s="2" t="str">
        <f t="shared" si="27"/>
        <v>Error?</v>
      </c>
    </row>
    <row r="1812" spans="1:4" x14ac:dyDescent="0.2">
      <c r="A1812" s="5">
        <v>1751</v>
      </c>
      <c r="B1812" s="138">
        <f>'Tax Sched 23'!E8</f>
        <v>185279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109261</v>
      </c>
      <c r="D1816" s="2" t="str">
        <f t="shared" si="27"/>
        <v>Error?</v>
      </c>
    </row>
    <row r="1817" spans="1:4" x14ac:dyDescent="0.2">
      <c r="A1817" s="5">
        <v>1756</v>
      </c>
      <c r="B1817" s="138">
        <f>'Tax Sched 23'!E12</f>
        <v>997</v>
      </c>
      <c r="D1817" s="2" t="str">
        <f t="shared" si="27"/>
        <v>Error?</v>
      </c>
    </row>
    <row r="1818" spans="1:4" x14ac:dyDescent="0.2">
      <c r="A1818" s="5">
        <v>1757</v>
      </c>
      <c r="B1818" s="138">
        <f>'Tax Sched 23'!E14</f>
        <v>627199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9950970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10084749</v>
      </c>
      <c r="C1939" s="2" t="s">
        <v>573</v>
      </c>
      <c r="D1939" s="2" t="str">
        <f t="shared" si="29"/>
        <v>Error?</v>
      </c>
    </row>
    <row r="1940" spans="1:5" x14ac:dyDescent="0.2">
      <c r="A1940" s="5">
        <v>1879</v>
      </c>
      <c r="B1940" s="138">
        <f>'Short-Term Long-Term Debt 24'!F49</f>
        <v>3215000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576232</v>
      </c>
      <c r="D1972" s="2" t="str">
        <f t="shared" si="29"/>
        <v>Error?</v>
      </c>
    </row>
    <row r="1973" spans="1:5" x14ac:dyDescent="0.2">
      <c r="A1973" s="5">
        <v>1912</v>
      </c>
      <c r="B1973" s="138">
        <f>'Rest Tax Levies-Tort Im 25'!H6</f>
        <v>8643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584875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584875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219866</v>
      </c>
      <c r="D2008" s="2" t="str">
        <f t="shared" si="30"/>
        <v>Error?</v>
      </c>
    </row>
    <row r="2009" spans="1:4" x14ac:dyDescent="0.2">
      <c r="A2009" s="5">
        <v>1948</v>
      </c>
      <c r="B2009" s="138">
        <f>'Cap Outlay Deprec 26'!C8</f>
        <v>21492231</v>
      </c>
      <c r="D2009" s="2" t="str">
        <f t="shared" si="30"/>
        <v>Error?</v>
      </c>
    </row>
    <row r="2010" spans="1:4" x14ac:dyDescent="0.2">
      <c r="A2010" s="5">
        <v>1949</v>
      </c>
      <c r="B2010" s="138">
        <f>'Cap Outlay Deprec 26'!C10</f>
        <v>4173299</v>
      </c>
      <c r="D2010" s="2" t="str">
        <f t="shared" si="30"/>
        <v>Error?</v>
      </c>
    </row>
    <row r="2011" spans="1:4" x14ac:dyDescent="0.2">
      <c r="A2011" s="5">
        <v>1950</v>
      </c>
      <c r="B2011" s="138">
        <f>'Cap Outlay Deprec 26'!C12</f>
        <v>2761419</v>
      </c>
      <c r="D2011" s="2" t="str">
        <f t="shared" si="30"/>
        <v>Error?</v>
      </c>
    </row>
    <row r="2012" spans="1:4" x14ac:dyDescent="0.2">
      <c r="A2012" s="5">
        <v>1951</v>
      </c>
      <c r="B2012" s="138">
        <f>'Cap Outlay Deprec 26'!C13</f>
        <v>1523017</v>
      </c>
      <c r="D2012" s="2" t="str">
        <f t="shared" si="30"/>
        <v>Error?</v>
      </c>
    </row>
    <row r="2013" spans="1:4" x14ac:dyDescent="0.2">
      <c r="A2013" s="5">
        <v>1952</v>
      </c>
      <c r="B2013" s="138">
        <f>'Cap Outlay Deprec 26'!C16</f>
        <v>30169832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158950</v>
      </c>
      <c r="D2016" s="2" t="str">
        <f t="shared" si="30"/>
        <v>Error?</v>
      </c>
    </row>
    <row r="2017" spans="1:4" x14ac:dyDescent="0.2">
      <c r="A2017" s="5">
        <v>1956</v>
      </c>
      <c r="B2017" s="138">
        <f>'Cap Outlay Deprec 26'!D12</f>
        <v>50427</v>
      </c>
      <c r="D2017" s="2" t="str">
        <f t="shared" si="30"/>
        <v>Error?</v>
      </c>
    </row>
    <row r="2018" spans="1:4" x14ac:dyDescent="0.2">
      <c r="A2018" s="5">
        <v>1957</v>
      </c>
      <c r="B2018" s="138">
        <f>'Cap Outlay Deprec 26'!D13</f>
        <v>81625</v>
      </c>
      <c r="D2018" s="2" t="str">
        <f t="shared" si="30"/>
        <v>Error?</v>
      </c>
    </row>
    <row r="2019" spans="1:4" x14ac:dyDescent="0.2">
      <c r="A2019" s="5">
        <v>1958</v>
      </c>
      <c r="B2019" s="138">
        <f>'Cap Outlay Deprec 26'!D16</f>
        <v>291002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219866</v>
      </c>
      <c r="C2026" s="2" t="s">
        <v>573</v>
      </c>
      <c r="D2026" s="2" t="str">
        <f t="shared" si="30"/>
        <v>Error?</v>
      </c>
    </row>
    <row r="2027" spans="1:4" x14ac:dyDescent="0.2">
      <c r="A2027" s="5">
        <v>1966</v>
      </c>
      <c r="B2027" s="138">
        <f>'Cap Outlay Deprec 26'!F8</f>
        <v>21492231</v>
      </c>
      <c r="C2027" s="2" t="s">
        <v>573</v>
      </c>
      <c r="D2027" s="2" t="str">
        <f t="shared" si="30"/>
        <v>Error?</v>
      </c>
    </row>
    <row r="2028" spans="1:4" x14ac:dyDescent="0.2">
      <c r="A2028" s="5">
        <v>1967</v>
      </c>
      <c r="B2028" s="138">
        <f>'Cap Outlay Deprec 26'!F10</f>
        <v>4332249</v>
      </c>
      <c r="C2028" s="2" t="s">
        <v>573</v>
      </c>
      <c r="D2028" s="2" t="str">
        <f t="shared" si="30"/>
        <v>Error?</v>
      </c>
    </row>
    <row r="2029" spans="1:4" x14ac:dyDescent="0.2">
      <c r="A2029" s="5">
        <v>1968</v>
      </c>
      <c r="B2029" s="138">
        <f>'Cap Outlay Deprec 26'!F12</f>
        <v>2811846</v>
      </c>
      <c r="C2029" s="2" t="s">
        <v>573</v>
      </c>
      <c r="D2029" s="2" t="str">
        <f t="shared" si="30"/>
        <v>Error?</v>
      </c>
    </row>
    <row r="2030" spans="1:4" x14ac:dyDescent="0.2">
      <c r="A2030" s="5">
        <v>1969</v>
      </c>
      <c r="B2030" s="138">
        <f>'Cap Outlay Deprec 26'!F13</f>
        <v>1604642</v>
      </c>
      <c r="C2030" s="2" t="s">
        <v>573</v>
      </c>
      <c r="D2030" s="2" t="str">
        <f t="shared" si="30"/>
        <v>Error?</v>
      </c>
    </row>
    <row r="2031" spans="1:4" x14ac:dyDescent="0.2">
      <c r="A2031" s="5">
        <v>1970</v>
      </c>
      <c r="B2031" s="138">
        <f>'Cap Outlay Deprec 26'!F16</f>
        <v>30460834</v>
      </c>
      <c r="C2031" s="2" t="s">
        <v>573</v>
      </c>
      <c r="D2031" s="2" t="str">
        <f t="shared" si="30"/>
        <v>Error?</v>
      </c>
    </row>
    <row r="2032" spans="1:4" x14ac:dyDescent="0.2">
      <c r="A2032" s="10">
        <v>1971</v>
      </c>
      <c r="D2032" s="2" t="str">
        <f t="shared" si="30"/>
        <v>OK</v>
      </c>
    </row>
    <row r="2033" spans="1:4" x14ac:dyDescent="0.2">
      <c r="A2033" s="5">
        <v>1972</v>
      </c>
      <c r="B2033" s="138">
        <f>'Cap Outlay Deprec 26'!H8</f>
        <v>9071224</v>
      </c>
      <c r="D2033" s="2" t="str">
        <f t="shared" si="30"/>
        <v>Error?</v>
      </c>
    </row>
    <row r="2034" spans="1:4" x14ac:dyDescent="0.2">
      <c r="A2034" s="5">
        <v>1973</v>
      </c>
      <c r="B2034" s="138">
        <f>'Cap Outlay Deprec 26'!H10</f>
        <v>2851132</v>
      </c>
      <c r="D2034" s="2" t="str">
        <f t="shared" si="30"/>
        <v>Error?</v>
      </c>
    </row>
    <row r="2035" spans="1:4" x14ac:dyDescent="0.2">
      <c r="A2035" s="5">
        <v>1974</v>
      </c>
      <c r="B2035" s="138">
        <f>'Cap Outlay Deprec 26'!H12</f>
        <v>2580915</v>
      </c>
      <c r="D2035" s="2" t="str">
        <f t="shared" si="30"/>
        <v>Error?</v>
      </c>
    </row>
    <row r="2036" spans="1:4" x14ac:dyDescent="0.2">
      <c r="A2036" s="5">
        <v>1975</v>
      </c>
      <c r="B2036" s="138">
        <f>'Cap Outlay Deprec 26'!H13</f>
        <v>1461177</v>
      </c>
      <c r="D2036" s="2" t="str">
        <f t="shared" si="30"/>
        <v>Error?</v>
      </c>
    </row>
    <row r="2037" spans="1:4" x14ac:dyDescent="0.2">
      <c r="A2037" s="5">
        <v>1976</v>
      </c>
      <c r="B2037" s="138">
        <f>'Cap Outlay Deprec 26'!H16</f>
        <v>15964448</v>
      </c>
      <c r="C2037" s="2" t="s">
        <v>573</v>
      </c>
      <c r="D2037" s="2" t="str">
        <f t="shared" si="30"/>
        <v>Error?</v>
      </c>
    </row>
    <row r="2038" spans="1:4" x14ac:dyDescent="0.2">
      <c r="A2038" s="10">
        <v>1977</v>
      </c>
      <c r="D2038" s="2" t="str">
        <f t="shared" si="30"/>
        <v>OK</v>
      </c>
    </row>
    <row r="2039" spans="1:4" x14ac:dyDescent="0.2">
      <c r="A2039" s="5">
        <v>1978</v>
      </c>
      <c r="B2039" s="138">
        <f>'Cap Outlay Deprec 26'!I8</f>
        <v>429845</v>
      </c>
      <c r="D2039" s="2" t="str">
        <f t="shared" si="30"/>
        <v>Error?</v>
      </c>
    </row>
    <row r="2040" spans="1:4" x14ac:dyDescent="0.2">
      <c r="A2040" s="5">
        <v>1979</v>
      </c>
      <c r="B2040" s="138">
        <f>'Cap Outlay Deprec 26'!I10</f>
        <v>100055</v>
      </c>
      <c r="D2040" s="2" t="str">
        <f t="shared" si="30"/>
        <v>Error?</v>
      </c>
    </row>
    <row r="2041" spans="1:4" x14ac:dyDescent="0.2">
      <c r="A2041" s="5">
        <v>1980</v>
      </c>
      <c r="B2041" s="138">
        <f>'Cap Outlay Deprec 26'!I12</f>
        <v>34457</v>
      </c>
      <c r="D2041" s="2" t="str">
        <f t="shared" si="30"/>
        <v>Error?</v>
      </c>
    </row>
    <row r="2042" spans="1:4" x14ac:dyDescent="0.2">
      <c r="A2042" s="5">
        <v>1981</v>
      </c>
      <c r="B2042" s="138">
        <f>'Cap Outlay Deprec 26'!I13</f>
        <v>39405</v>
      </c>
      <c r="D2042" s="2" t="str">
        <f t="shared" si="30"/>
        <v>Error?</v>
      </c>
    </row>
    <row r="2043" spans="1:4" x14ac:dyDescent="0.2">
      <c r="A2043" s="5">
        <v>1982</v>
      </c>
      <c r="B2043" s="138">
        <f>'Cap Outlay Deprec 26'!I16</f>
        <v>603762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9501069</v>
      </c>
      <c r="C2051" s="2" t="s">
        <v>573</v>
      </c>
      <c r="D2051" s="2" t="str">
        <f t="shared" si="31"/>
        <v>Error?</v>
      </c>
    </row>
    <row r="2052" spans="1:4" x14ac:dyDescent="0.2">
      <c r="A2052" s="5">
        <v>1991</v>
      </c>
      <c r="B2052" s="138">
        <f>'Cap Outlay Deprec 26'!K10</f>
        <v>2951187</v>
      </c>
      <c r="C2052" s="2" t="s">
        <v>573</v>
      </c>
      <c r="D2052" s="2" t="str">
        <f t="shared" si="31"/>
        <v>Error?</v>
      </c>
    </row>
    <row r="2053" spans="1:4" x14ac:dyDescent="0.2">
      <c r="A2053" s="5">
        <v>1992</v>
      </c>
      <c r="B2053" s="138">
        <f>'Cap Outlay Deprec 26'!K12</f>
        <v>2615372</v>
      </c>
      <c r="C2053" s="2" t="s">
        <v>573</v>
      </c>
      <c r="D2053" s="2" t="str">
        <f t="shared" si="31"/>
        <v>Error?</v>
      </c>
    </row>
    <row r="2054" spans="1:4" x14ac:dyDescent="0.2">
      <c r="A2054" s="5">
        <v>1993</v>
      </c>
      <c r="B2054" s="138">
        <f>'Cap Outlay Deprec 26'!K13</f>
        <v>1500582</v>
      </c>
      <c r="C2054" s="2" t="s">
        <v>573</v>
      </c>
      <c r="D2054" s="2" t="str">
        <f t="shared" si="31"/>
        <v>Error?</v>
      </c>
    </row>
    <row r="2055" spans="1:4" x14ac:dyDescent="0.2">
      <c r="A2055" s="5">
        <v>1994</v>
      </c>
      <c r="B2055" s="138">
        <f>'Cap Outlay Deprec 26'!K16</f>
        <v>16568210</v>
      </c>
      <c r="C2055" s="2" t="s">
        <v>573</v>
      </c>
      <c r="D2055" s="2" t="str">
        <f t="shared" si="31"/>
        <v>Error?</v>
      </c>
    </row>
    <row r="2056" spans="1:4" x14ac:dyDescent="0.2">
      <c r="A2056" s="5">
        <v>1995</v>
      </c>
      <c r="B2056" s="138">
        <f>'Cap Outlay Deprec 26'!L5</f>
        <v>219866</v>
      </c>
      <c r="C2056" s="2" t="s">
        <v>573</v>
      </c>
      <c r="D2056" s="2" t="str">
        <f t="shared" si="31"/>
        <v>Error?</v>
      </c>
    </row>
    <row r="2057" spans="1:4" x14ac:dyDescent="0.2">
      <c r="A2057" s="5">
        <v>1996</v>
      </c>
      <c r="B2057" s="138">
        <f>'Cap Outlay Deprec 26'!L8</f>
        <v>11991162</v>
      </c>
      <c r="C2057" s="2" t="s">
        <v>573</v>
      </c>
      <c r="D2057" s="2" t="str">
        <f t="shared" si="31"/>
        <v>Error?</v>
      </c>
    </row>
    <row r="2058" spans="1:4" x14ac:dyDescent="0.2">
      <c r="A2058" s="5">
        <v>1997</v>
      </c>
      <c r="B2058" s="138">
        <f>'Cap Outlay Deprec 26'!L10</f>
        <v>1381062</v>
      </c>
      <c r="C2058" s="2" t="s">
        <v>573</v>
      </c>
      <c r="D2058" s="2" t="str">
        <f t="shared" si="31"/>
        <v>Error?</v>
      </c>
    </row>
    <row r="2059" spans="1:4" x14ac:dyDescent="0.2">
      <c r="A2059" s="5">
        <v>1998</v>
      </c>
      <c r="B2059" s="138">
        <f>'Cap Outlay Deprec 26'!L12</f>
        <v>196474</v>
      </c>
      <c r="C2059" s="2" t="s">
        <v>573</v>
      </c>
      <c r="D2059" s="2" t="str">
        <f t="shared" si="31"/>
        <v>Error?</v>
      </c>
    </row>
    <row r="2060" spans="1:4" x14ac:dyDescent="0.2">
      <c r="A2060" s="5">
        <v>1999</v>
      </c>
      <c r="B2060" s="138">
        <f>'Cap Outlay Deprec 26'!L13</f>
        <v>104060</v>
      </c>
      <c r="C2060" s="2" t="s">
        <v>573</v>
      </c>
      <c r="D2060" s="2" t="str">
        <f t="shared" si="31"/>
        <v>Error?</v>
      </c>
    </row>
    <row r="2061" spans="1:4" x14ac:dyDescent="0.2">
      <c r="A2061" s="5">
        <v>2000</v>
      </c>
      <c r="B2061" s="138">
        <f>'Cap Outlay Deprec 26'!L16</f>
        <v>13892624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138471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168191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1983</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1983</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87520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5906527</v>
      </c>
      <c r="C2551" s="2" t="s">
        <v>573</v>
      </c>
      <c r="D2551" s="2" t="str">
        <f t="shared" si="38"/>
        <v>Error?</v>
      </c>
    </row>
    <row r="2552" spans="1:4" x14ac:dyDescent="0.2">
      <c r="A2552" s="10">
        <v>2491</v>
      </c>
      <c r="D2552" s="2" t="str">
        <f t="shared" si="38"/>
        <v>OK</v>
      </c>
    </row>
    <row r="2553" spans="1:4" x14ac:dyDescent="0.2">
      <c r="A2553" s="5">
        <v>2492</v>
      </c>
      <c r="B2553" s="138">
        <f>'Acct Summary 7-8'!C6</f>
        <v>797376</v>
      </c>
      <c r="C2553" s="2" t="s">
        <v>573</v>
      </c>
      <c r="D2553" s="2" t="str">
        <f t="shared" si="38"/>
        <v>Error?</v>
      </c>
    </row>
    <row r="2554" spans="1:4" x14ac:dyDescent="0.2">
      <c r="A2554" s="5">
        <v>2493</v>
      </c>
      <c r="B2554" s="138">
        <f>'Acct Summary 7-8'!C7</f>
        <v>501722</v>
      </c>
      <c r="C2554" s="2" t="s">
        <v>573</v>
      </c>
      <c r="D2554" s="2" t="str">
        <f t="shared" si="38"/>
        <v>Error?</v>
      </c>
    </row>
    <row r="2555" spans="1:4" x14ac:dyDescent="0.2">
      <c r="A2555" s="5">
        <v>2494</v>
      </c>
      <c r="B2555" s="138">
        <f>'Acct Summary 7-8'!C8</f>
        <v>7205625</v>
      </c>
      <c r="C2555" s="2" t="s">
        <v>573</v>
      </c>
      <c r="D2555" s="2" t="str">
        <f t="shared" si="38"/>
        <v>Error?</v>
      </c>
    </row>
    <row r="2556" spans="1:4" x14ac:dyDescent="0.2">
      <c r="A2556" s="5">
        <v>2495</v>
      </c>
      <c r="B2556" s="138">
        <f>'Acct Summary 7-8'!C12</f>
        <v>4765057</v>
      </c>
      <c r="C2556" s="2" t="s">
        <v>573</v>
      </c>
      <c r="D2556" s="2" t="str">
        <f t="shared" si="38"/>
        <v>Error?</v>
      </c>
    </row>
    <row r="2557" spans="1:4" x14ac:dyDescent="0.2">
      <c r="A2557" s="5">
        <v>2496</v>
      </c>
      <c r="B2557" s="138">
        <f>'Acct Summary 7-8'!C13</f>
        <v>2497780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168191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7431028</v>
      </c>
      <c r="C2561" s="2" t="s">
        <v>573</v>
      </c>
      <c r="D2561" s="2" t="str">
        <f t="shared" si="39"/>
        <v>Error?</v>
      </c>
    </row>
    <row r="2562" spans="1:4" x14ac:dyDescent="0.2">
      <c r="A2562" s="5">
        <v>2501</v>
      </c>
      <c r="B2562" s="138">
        <f>'Acct Summary 7-8'!C20</f>
        <v>-225403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1237755</v>
      </c>
      <c r="C2564" s="2" t="s">
        <v>573</v>
      </c>
      <c r="D2564" s="2" t="str">
        <f t="shared" si="39"/>
        <v>Error?</v>
      </c>
    </row>
    <row r="2565" spans="1:4" x14ac:dyDescent="0.2">
      <c r="A2565" s="10">
        <v>2504</v>
      </c>
      <c r="D2565" s="2" t="str">
        <f t="shared" si="39"/>
        <v>OK</v>
      </c>
    </row>
    <row r="2566" spans="1:4" x14ac:dyDescent="0.2">
      <c r="A2566" s="5">
        <v>2505</v>
      </c>
      <c r="B2566" s="138">
        <f>'Acct Summary 7-8'!D6</f>
        <v>75000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1312755</v>
      </c>
      <c r="C2568" s="2" t="s">
        <v>573</v>
      </c>
      <c r="D2568" s="2" t="str">
        <f t="shared" si="39"/>
        <v>Error?</v>
      </c>
    </row>
    <row r="2569" spans="1:4" x14ac:dyDescent="0.2">
      <c r="A2569" s="5">
        <v>2508</v>
      </c>
      <c r="B2569" s="138">
        <f>'Acct Summary 7-8'!D13</f>
        <v>1153975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1983</v>
      </c>
      <c r="C2571" s="2" t="s">
        <v>573</v>
      </c>
      <c r="D2571" s="2" t="str">
        <f t="shared" si="39"/>
        <v>Error?</v>
      </c>
    </row>
    <row r="2572" spans="1:4" x14ac:dyDescent="0.2">
      <c r="A2572" s="5">
        <v>2511</v>
      </c>
      <c r="B2572" s="138">
        <f>'Acct Summary 7-8'!D16</f>
        <v>1817</v>
      </c>
      <c r="C2572" s="2" t="s">
        <v>573</v>
      </c>
      <c r="D2572" s="2" t="str">
        <f t="shared" si="39"/>
        <v>Error?</v>
      </c>
    </row>
    <row r="2573" spans="1:4" x14ac:dyDescent="0.2">
      <c r="A2573" s="5">
        <v>2512</v>
      </c>
      <c r="B2573" s="138">
        <f>'Acct Summary 7-8'!D17</f>
        <v>1157775</v>
      </c>
      <c r="C2573" s="2" t="s">
        <v>573</v>
      </c>
      <c r="D2573" s="2" t="str">
        <f t="shared" si="39"/>
        <v>Error?</v>
      </c>
    </row>
    <row r="2574" spans="1:4" x14ac:dyDescent="0.2">
      <c r="A2574" s="5">
        <v>2513</v>
      </c>
      <c r="B2574" s="138">
        <f>'Acct Summary 7-8'!D20</f>
        <v>154980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387101</v>
      </c>
      <c r="C2591" s="2" t="s">
        <v>573</v>
      </c>
      <c r="D2591" s="2" t="str">
        <f t="shared" si="39"/>
        <v>Error?</v>
      </c>
    </row>
    <row r="2592" spans="1:4" x14ac:dyDescent="0.2">
      <c r="A2592" s="10">
        <v>2531</v>
      </c>
      <c r="D2592" s="2" t="str">
        <f t="shared" si="39"/>
        <v>OK</v>
      </c>
    </row>
    <row r="2593" spans="1:4" x14ac:dyDescent="0.2">
      <c r="A2593" s="5">
        <v>2532</v>
      </c>
      <c r="B2593" s="138">
        <f>'Acct Summary 7-8'!F6</f>
        <v>428924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816025</v>
      </c>
      <c r="C2595" s="2" t="s">
        <v>573</v>
      </c>
      <c r="D2595" s="2" t="str">
        <f t="shared" si="39"/>
        <v>Error?</v>
      </c>
    </row>
    <row r="2596" spans="1:4" x14ac:dyDescent="0.2">
      <c r="A2596" s="5">
        <v>2535</v>
      </c>
      <c r="B2596" s="138">
        <f>'Acct Summary 7-8'!F13</f>
        <v>736087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736087</v>
      </c>
      <c r="C2600" s="2" t="s">
        <v>573</v>
      </c>
      <c r="D2600" s="2" t="str">
        <f t="shared" si="39"/>
        <v>Error?</v>
      </c>
    </row>
    <row r="2601" spans="1:4" x14ac:dyDescent="0.2">
      <c r="A2601" s="5">
        <v>2540</v>
      </c>
      <c r="B2601" s="138">
        <f>'Acct Summary 7-8'!F20</f>
        <v>79938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339894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339894</v>
      </c>
      <c r="C2606" s="2" t="s">
        <v>573</v>
      </c>
      <c r="D2606" s="2" t="str">
        <f t="shared" si="39"/>
        <v>Error?</v>
      </c>
    </row>
    <row r="2607" spans="1:4" x14ac:dyDescent="0.2">
      <c r="A2607" s="5">
        <v>2546</v>
      </c>
      <c r="B2607" s="138">
        <f>'Acct Summary 7-8'!G12</f>
        <v>96370</v>
      </c>
      <c r="C2607" s="2" t="s">
        <v>573</v>
      </c>
      <c r="D2607" s="2" t="str">
        <f t="shared" si="39"/>
        <v>Error?</v>
      </c>
    </row>
    <row r="2608" spans="1:4" x14ac:dyDescent="0.2">
      <c r="A2608" s="5">
        <v>2547</v>
      </c>
      <c r="B2608" s="138">
        <f>'Acct Summary 7-8'!G13</f>
        <v>221020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317390</v>
      </c>
      <c r="C2612" s="2" t="s">
        <v>573</v>
      </c>
      <c r="D2612" s="2" t="str">
        <f t="shared" si="39"/>
        <v>Error?</v>
      </c>
    </row>
    <row r="2613" spans="1:4" x14ac:dyDescent="0.2">
      <c r="A2613" s="5">
        <v>2552</v>
      </c>
      <c r="B2613" s="138">
        <f>'Acct Summary 7-8'!G20</f>
        <v>22504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1772275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1772275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1756985</v>
      </c>
      <c r="C2634" s="2" t="s">
        <v>573</v>
      </c>
      <c r="D2634" s="2" t="str">
        <f t="shared" si="40"/>
        <v>Error?</v>
      </c>
    </row>
    <row r="2635" spans="1:4" x14ac:dyDescent="0.2">
      <c r="A2635" s="5">
        <v>2574</v>
      </c>
      <c r="B2635" s="138">
        <f>'Acct Summary 7-8'!E17</f>
        <v>1756985</v>
      </c>
      <c r="C2635" s="2" t="s">
        <v>573</v>
      </c>
      <c r="D2635" s="2" t="str">
        <f t="shared" si="40"/>
        <v>Error?</v>
      </c>
    </row>
    <row r="2636" spans="1:4" x14ac:dyDescent="0.2">
      <c r="A2636" s="5">
        <v>2575</v>
      </c>
      <c r="B2636" s="138">
        <f>'Acct Summary 7-8'!E20</f>
        <v>15290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125441</v>
      </c>
      <c r="D2718" s="2" t="str">
        <f t="shared" si="41"/>
        <v>Error?</v>
      </c>
    </row>
    <row r="2719" spans="1:4" x14ac:dyDescent="0.2">
      <c r="A2719" s="5">
        <v>2658</v>
      </c>
      <c r="B2719" s="138">
        <f>'Expenditures 15-22'!D51</f>
        <v>32395</v>
      </c>
      <c r="D2719" s="2" t="str">
        <f t="shared" si="41"/>
        <v>Error?</v>
      </c>
    </row>
    <row r="2720" spans="1:4" x14ac:dyDescent="0.2">
      <c r="A2720" s="5">
        <v>2659</v>
      </c>
      <c r="B2720" s="138">
        <f>'Expenditures 15-22'!E51</f>
        <v>264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158100</v>
      </c>
      <c r="C2724" s="2" t="s">
        <v>573</v>
      </c>
      <c r="D2724" s="2" t="str">
        <f t="shared" si="41"/>
        <v>Error?</v>
      </c>
    </row>
    <row r="2725" spans="1:4" x14ac:dyDescent="0.2">
      <c r="A2725" s="5">
        <v>2664</v>
      </c>
      <c r="B2725" s="138">
        <f>'Expenditures 15-22'!D247</f>
        <v>4247</v>
      </c>
      <c r="D2725" s="2" t="str">
        <f t="shared" si="41"/>
        <v>Error?</v>
      </c>
    </row>
    <row r="2726" spans="1:4" x14ac:dyDescent="0.2">
      <c r="A2726" s="5">
        <v>2665</v>
      </c>
      <c r="B2726" s="138">
        <f>'Expenditures 15-22'!K247</f>
        <v>4247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29720</v>
      </c>
      <c r="C2789" s="2" t="s">
        <v>573</v>
      </c>
      <c r="D2789" s="2" t="str">
        <f t="shared" si="42"/>
        <v>Error?</v>
      </c>
    </row>
    <row r="2790" spans="1:4" x14ac:dyDescent="0.2">
      <c r="A2790" s="5">
        <v>2729</v>
      </c>
      <c r="B2790" s="138">
        <f>'Expenditures 15-22'!E102</f>
        <v>29720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425197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425197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151796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425197</v>
      </c>
      <c r="D2912" s="2" t="str">
        <f t="shared" si="44"/>
        <v>Error?</v>
      </c>
    </row>
    <row r="2913" spans="1:4" x14ac:dyDescent="0.2">
      <c r="A2913" s="5">
        <v>2852</v>
      </c>
      <c r="B2913" s="138">
        <f>'Assets-Liab 5-6'!I41</f>
        <v>425197</v>
      </c>
      <c r="C2913" s="2" t="s">
        <v>573</v>
      </c>
      <c r="D2913" s="2" t="str">
        <f t="shared" si="44"/>
        <v>Error?</v>
      </c>
    </row>
    <row r="2914" spans="1:4" x14ac:dyDescent="0.2">
      <c r="A2914" s="5">
        <v>2853</v>
      </c>
      <c r="B2914" s="138">
        <f>'Assets-Liab 5-6'!L33</f>
        <v>151796</v>
      </c>
      <c r="D2914" s="2" t="str">
        <f t="shared" si="44"/>
        <v>Error?</v>
      </c>
    </row>
    <row r="2915" spans="1:4" x14ac:dyDescent="0.2">
      <c r="A2915" s="10">
        <v>2854</v>
      </c>
      <c r="D2915" s="2" t="str">
        <f t="shared" si="44"/>
        <v>OK</v>
      </c>
    </row>
    <row r="2916" spans="1:4" x14ac:dyDescent="0.2">
      <c r="A2916" s="5">
        <v>2855</v>
      </c>
      <c r="B2916" s="138">
        <f>'Assets-Liab 5-6'!L34</f>
        <v>151796</v>
      </c>
      <c r="C2916" s="2" t="s">
        <v>573</v>
      </c>
      <c r="D2916" s="2" t="str">
        <f t="shared" si="44"/>
        <v>Error?</v>
      </c>
    </row>
    <row r="2917" spans="1:4" x14ac:dyDescent="0.2">
      <c r="A2917" s="5">
        <v>2856</v>
      </c>
      <c r="B2917" s="138">
        <f>'Assets-Liab 5-6'!L41</f>
        <v>151796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29720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52483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85988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82203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85988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1983</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1983</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107844</v>
      </c>
      <c r="D3055" s="2" t="str">
        <f t="shared" si="46"/>
        <v>Error?</v>
      </c>
    </row>
    <row r="3056" spans="1:4" x14ac:dyDescent="0.2">
      <c r="A3056" s="5">
        <v>2995</v>
      </c>
      <c r="B3056" s="138">
        <f>'Expenditures 15-22'!D10</f>
        <v>33551</v>
      </c>
      <c r="D3056" s="2" t="str">
        <f t="shared" si="46"/>
        <v>Error?</v>
      </c>
    </row>
    <row r="3057" spans="1:4" x14ac:dyDescent="0.2">
      <c r="A3057" s="5">
        <v>2996</v>
      </c>
      <c r="B3057" s="138">
        <f>'Expenditures 15-22'!E10</f>
        <v>9000</v>
      </c>
      <c r="D3057" s="2" t="str">
        <f t="shared" si="46"/>
        <v>Error?</v>
      </c>
    </row>
    <row r="3058" spans="1:4" x14ac:dyDescent="0.2">
      <c r="A3058" s="5">
        <v>2997</v>
      </c>
      <c r="B3058" s="138">
        <f>'Expenditures 15-22'!F10</f>
        <v>5714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156109</v>
      </c>
      <c r="C3062" s="2" t="s">
        <v>573</v>
      </c>
      <c r="D3062" s="2" t="str">
        <f t="shared" si="46"/>
        <v>Error?</v>
      </c>
    </row>
    <row r="3063" spans="1:4" x14ac:dyDescent="0.2">
      <c r="A3063" s="10">
        <v>3002</v>
      </c>
      <c r="D3063" s="2" t="str">
        <f t="shared" si="46"/>
        <v>OK</v>
      </c>
    </row>
    <row r="3064" spans="1:4" x14ac:dyDescent="0.2">
      <c r="A3064" s="5">
        <v>3003</v>
      </c>
      <c r="B3064" s="138">
        <f>'Expenditures 15-22'!D219</f>
        <v>1480</v>
      </c>
      <c r="D3064" s="2" t="str">
        <f t="shared" si="46"/>
        <v>Error?</v>
      </c>
    </row>
    <row r="3065" spans="1:4" x14ac:dyDescent="0.2">
      <c r="A3065" s="5">
        <v>3004</v>
      </c>
      <c r="B3065" s="138">
        <f>'Expenditures 15-22'!K219</f>
        <v>1480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3215000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11529</v>
      </c>
      <c r="C3225" s="2" t="s">
        <v>573</v>
      </c>
      <c r="D3225" s="2" t="str">
        <f t="shared" si="49"/>
        <v>Error?</v>
      </c>
    </row>
    <row r="3226" spans="1:4" x14ac:dyDescent="0.2">
      <c r="A3226" s="5">
        <v>3165</v>
      </c>
      <c r="B3226" s="138">
        <f>'Acct Summary 7-8'!I8</f>
        <v>11529</v>
      </c>
      <c r="C3226" s="2" t="s">
        <v>573</v>
      </c>
      <c r="D3226" s="2" t="str">
        <f t="shared" si="49"/>
        <v>Error?</v>
      </c>
    </row>
    <row r="3227" spans="1:4" x14ac:dyDescent="0.2">
      <c r="A3227" s="5">
        <v>3166</v>
      </c>
      <c r="B3227" s="138">
        <f>'Acct Summary 7-8'!I20</f>
        <v>11529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52898</v>
      </c>
      <c r="D3230" s="2" t="str">
        <f t="shared" si="49"/>
        <v>Error?</v>
      </c>
    </row>
    <row r="3231" spans="1:4" x14ac:dyDescent="0.2">
      <c r="A3231" s="5">
        <v>3170</v>
      </c>
      <c r="B3231" s="138">
        <f>'Acct Summary 7-8'!C76</f>
        <v>52898</v>
      </c>
      <c r="C3231" s="2" t="s">
        <v>573</v>
      </c>
      <c r="D3231" s="2" t="str">
        <f t="shared" si="49"/>
        <v>Error?</v>
      </c>
    </row>
    <row r="3232" spans="1:4" x14ac:dyDescent="0.2">
      <c r="A3232" s="5">
        <v>3171</v>
      </c>
      <c r="B3232" s="138">
        <f>'Acct Summary 7-8'!C77</f>
        <v>-52898</v>
      </c>
      <c r="C3232" s="2" t="s">
        <v>573</v>
      </c>
      <c r="D3232" s="2" t="str">
        <f t="shared" si="49"/>
        <v>Error?</v>
      </c>
    </row>
    <row r="3233" spans="1:4" x14ac:dyDescent="0.2">
      <c r="A3233" s="5">
        <v>3172</v>
      </c>
      <c r="B3233" s="138">
        <f>'Acct Summary 7-8'!C78</f>
        <v>-278301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11000</v>
      </c>
      <c r="C3238" s="2" t="s">
        <v>573</v>
      </c>
      <c r="D3238" s="2" t="str">
        <f t="shared" si="49"/>
        <v>Error?</v>
      </c>
    </row>
    <row r="3239" spans="1:4" x14ac:dyDescent="0.2">
      <c r="A3239" s="5">
        <v>3178</v>
      </c>
      <c r="B3239" s="138">
        <f>'Acct Summary 7-8'!D78</f>
        <v>165980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79938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22504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3217551</v>
      </c>
      <c r="C3274" s="2" t="s">
        <v>573</v>
      </c>
      <c r="D3274" s="2" t="str">
        <f t="shared" si="50"/>
        <v>Error?</v>
      </c>
    </row>
    <row r="3275" spans="1:4" x14ac:dyDescent="0.2">
      <c r="A3275" s="5">
        <v>3214</v>
      </c>
      <c r="B3275" s="138">
        <f>'Acct Summary 7-8'!E75</f>
        <v>3215000</v>
      </c>
      <c r="D3275" s="2" t="str">
        <f t="shared" si="50"/>
        <v>Error?</v>
      </c>
    </row>
    <row r="3276" spans="1:4" x14ac:dyDescent="0.2">
      <c r="A3276" s="5">
        <v>3215</v>
      </c>
      <c r="B3276" s="138">
        <f>'Acct Summary 7-8'!E76</f>
        <v>3215000</v>
      </c>
      <c r="C3276" s="2" t="s">
        <v>573</v>
      </c>
      <c r="D3276" s="2" t="str">
        <f t="shared" si="50"/>
        <v>Error?</v>
      </c>
    </row>
    <row r="3277" spans="1:4" x14ac:dyDescent="0.2">
      <c r="A3277" s="5">
        <v>3216</v>
      </c>
      <c r="B3277" s="138">
        <f>'Acct Summary 7-8'!E77</f>
        <v>2551</v>
      </c>
      <c r="C3277" s="2" t="s">
        <v>573</v>
      </c>
      <c r="D3277" s="2" t="str">
        <f t="shared" si="50"/>
        <v>Error?</v>
      </c>
    </row>
    <row r="3278" spans="1:4" x14ac:dyDescent="0.2">
      <c r="A3278" s="5">
        <v>3217</v>
      </c>
      <c r="B3278" s="138">
        <f>'Acct Summary 7-8'!E78</f>
        <v>17841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11529</v>
      </c>
      <c r="C3320" s="2" t="s">
        <v>573</v>
      </c>
      <c r="D3320" s="2" t="str">
        <f t="shared" si="50"/>
        <v>Error?</v>
      </c>
    </row>
    <row r="3321" spans="1:4" x14ac:dyDescent="0.2">
      <c r="A3321" s="5">
        <v>3260</v>
      </c>
      <c r="B3321" s="138">
        <f>'Acct Summary 7-8'!I79</f>
        <v>413668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425197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646309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150289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6909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805276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31401</v>
      </c>
      <c r="D3387" s="2" t="str">
        <f t="shared" si="51"/>
        <v>Error?</v>
      </c>
    </row>
    <row r="3388" spans="1:4" x14ac:dyDescent="0.2">
      <c r="A3388" s="5">
        <v>3327</v>
      </c>
      <c r="B3388" s="138">
        <f>'Expenditures 15-22'!D217</f>
        <v>48046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31401</v>
      </c>
      <c r="C3390" s="2" t="s">
        <v>573</v>
      </c>
      <c r="D3390" s="2" t="str">
        <f t="shared" si="51"/>
        <v>Error?</v>
      </c>
    </row>
    <row r="3391" spans="1:4" x14ac:dyDescent="0.2">
      <c r="A3391" s="5">
        <v>3330</v>
      </c>
      <c r="B3391" s="138">
        <f>'Expenditures 15-22'!K217</f>
        <v>48046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8680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69034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71474</v>
      </c>
      <c r="D3417" s="2" t="str">
        <f t="shared" si="52"/>
        <v>Error?</v>
      </c>
    </row>
    <row r="3418" spans="1:4" x14ac:dyDescent="0.2">
      <c r="A3418" s="10">
        <v>3357</v>
      </c>
      <c r="D3418" s="2" t="str">
        <f t="shared" si="52"/>
        <v>OK</v>
      </c>
    </row>
    <row r="3419" spans="1:4" x14ac:dyDescent="0.2">
      <c r="A3419" s="5">
        <v>3358</v>
      </c>
      <c r="B3419" s="138">
        <f>'Assets-Liab 5-6'!F4</f>
        <v>21754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16319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151796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163319</v>
      </c>
      <c r="C3446" s="2" t="s">
        <v>573</v>
      </c>
      <c r="D3446" s="2" t="str">
        <f t="shared" si="52"/>
        <v>Error?</v>
      </c>
    </row>
    <row r="3447" spans="1:4" x14ac:dyDescent="0.2">
      <c r="A3447" s="5">
        <v>3386</v>
      </c>
      <c r="B3447" s="138">
        <f>'Tax Sched 23'!D16</f>
        <v>79315</v>
      </c>
      <c r="C3447" s="2" t="s">
        <v>573</v>
      </c>
      <c r="D3447" s="2" t="str">
        <f t="shared" si="52"/>
        <v>Error?</v>
      </c>
    </row>
    <row r="3448" spans="1:4" x14ac:dyDescent="0.2">
      <c r="A3448" s="5">
        <v>3387</v>
      </c>
      <c r="B3448" s="138">
        <f>'Tax Sched 23'!C16</f>
        <v>84004</v>
      </c>
      <c r="D3448" s="2" t="str">
        <f t="shared" si="52"/>
        <v>Error?</v>
      </c>
    </row>
    <row r="3449" spans="1:4" x14ac:dyDescent="0.2">
      <c r="A3449" s="5">
        <v>3388</v>
      </c>
      <c r="B3449" s="138">
        <f>'Tax Sched 23'!F16</f>
        <v>95065</v>
      </c>
      <c r="C3449" s="2" t="s">
        <v>573</v>
      </c>
      <c r="D3449" s="2" t="str">
        <f t="shared" si="52"/>
        <v>Error?</v>
      </c>
    </row>
    <row r="3450" spans="1:4" x14ac:dyDescent="0.2">
      <c r="A3450" s="5">
        <v>3389</v>
      </c>
      <c r="B3450" s="138">
        <f>'Tax Sched 23'!E16</f>
        <v>179069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11000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28461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34096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34096</v>
      </c>
      <c r="D3567" s="2" t="str">
        <f t="shared" si="54"/>
        <v>Error?</v>
      </c>
    </row>
    <row r="3568" spans="1:4" x14ac:dyDescent="0.2">
      <c r="A3568" s="5">
        <v>3507</v>
      </c>
      <c r="B3568" s="138">
        <f>'Assets-Liab 5-6'!K41</f>
        <v>34096</v>
      </c>
      <c r="C3568" s="2" t="s">
        <v>573</v>
      </c>
      <c r="D3568" s="2" t="str">
        <f t="shared" si="54"/>
        <v>Error?</v>
      </c>
    </row>
    <row r="3569" spans="1:4" x14ac:dyDescent="0.2">
      <c r="A3569" s="5">
        <v>3508</v>
      </c>
      <c r="B3569" s="138">
        <f>'Acct Summary 7-8'!K4</f>
        <v>1246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1246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1246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1246</v>
      </c>
      <c r="C3588" s="2" t="s">
        <v>573</v>
      </c>
      <c r="D3588" s="2" t="str">
        <f t="shared" si="55"/>
        <v>Error?</v>
      </c>
    </row>
    <row r="3589" spans="1:4" x14ac:dyDescent="0.2">
      <c r="A3589" s="5">
        <v>3528</v>
      </c>
      <c r="B3589" s="138">
        <f>'Acct Summary 7-8'!K79</f>
        <v>32850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34096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1246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3026113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10231738</v>
      </c>
      <c r="C4122" s="2" t="s">
        <v>573</v>
      </c>
      <c r="D4122" s="2" t="str">
        <f t="shared" si="63"/>
        <v>Error?</v>
      </c>
    </row>
    <row r="4123" spans="1:4" x14ac:dyDescent="0.2">
      <c r="A4123" s="5">
        <v>4062</v>
      </c>
      <c r="B4123" s="138">
        <f>'Acct Summary 7-8'!D10</f>
        <v>1312755</v>
      </c>
      <c r="C4123" s="2" t="s">
        <v>573</v>
      </c>
      <c r="D4123" s="2" t="str">
        <f t="shared" si="63"/>
        <v>Error?</v>
      </c>
    </row>
    <row r="4124" spans="1:4" x14ac:dyDescent="0.2">
      <c r="A4124" s="5">
        <v>4063</v>
      </c>
      <c r="B4124" s="138">
        <f>'Acct Summary 7-8'!E10</f>
        <v>1772275</v>
      </c>
      <c r="C4124" s="2" t="s">
        <v>573</v>
      </c>
      <c r="D4124" s="2" t="str">
        <f t="shared" si="63"/>
        <v>Error?</v>
      </c>
    </row>
    <row r="4125" spans="1:4" x14ac:dyDescent="0.2">
      <c r="A4125" s="5">
        <v>4064</v>
      </c>
      <c r="B4125" s="138">
        <f>'Acct Summary 7-8'!F10</f>
        <v>816025</v>
      </c>
      <c r="C4125" s="2" t="s">
        <v>573</v>
      </c>
      <c r="D4125" s="2" t="str">
        <f t="shared" si="63"/>
        <v>Error?</v>
      </c>
    </row>
    <row r="4126" spans="1:4" x14ac:dyDescent="0.2">
      <c r="A4126" s="5">
        <v>4065</v>
      </c>
      <c r="B4126" s="138">
        <f>'Acct Summary 7-8'!G10</f>
        <v>339894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11529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1246</v>
      </c>
      <c r="C4130" s="2" t="s">
        <v>573</v>
      </c>
      <c r="D4130" s="2" t="str">
        <f t="shared" si="63"/>
        <v>Error?</v>
      </c>
    </row>
    <row r="4131" spans="1:4" x14ac:dyDescent="0.2">
      <c r="A4131" s="5">
        <v>4070</v>
      </c>
      <c r="B4131" s="138">
        <f>'Acct Summary 7-8'!C18</f>
        <v>3026113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10457141</v>
      </c>
      <c r="C4136" s="2" t="s">
        <v>573</v>
      </c>
      <c r="D4136" s="2" t="str">
        <f t="shared" si="63"/>
        <v>Error?</v>
      </c>
    </row>
    <row r="4137" spans="1:4" x14ac:dyDescent="0.2">
      <c r="A4137" s="5">
        <v>4076</v>
      </c>
      <c r="B4137" s="138">
        <f>'Acct Summary 7-8'!D19</f>
        <v>1157775</v>
      </c>
      <c r="C4137" s="2" t="s">
        <v>573</v>
      </c>
      <c r="D4137" s="2" t="str">
        <f t="shared" si="63"/>
        <v>Error?</v>
      </c>
    </row>
    <row r="4138" spans="1:4" x14ac:dyDescent="0.2">
      <c r="A4138" s="5">
        <v>4077</v>
      </c>
      <c r="B4138" s="138">
        <f>'Acct Summary 7-8'!E19</f>
        <v>1756985</v>
      </c>
      <c r="C4138" s="2" t="s">
        <v>573</v>
      </c>
      <c r="D4138" s="2" t="str">
        <f t="shared" si="63"/>
        <v>Error?</v>
      </c>
    </row>
    <row r="4139" spans="1:4" x14ac:dyDescent="0.2">
      <c r="A4139" s="5">
        <v>4078</v>
      </c>
      <c r="B4139" s="138">
        <f>'Acct Summary 7-8'!F19</f>
        <v>736087</v>
      </c>
      <c r="C4139" s="2" t="s">
        <v>573</v>
      </c>
      <c r="D4139" s="2" t="str">
        <f t="shared" si="63"/>
        <v>Error?</v>
      </c>
    </row>
    <row r="4140" spans="1:4" x14ac:dyDescent="0.2">
      <c r="A4140" s="5">
        <v>4079</v>
      </c>
      <c r="B4140" s="138">
        <f>'Acct Summary 7-8'!G19</f>
        <v>317390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8625000</v>
      </c>
      <c r="C4171" s="2" t="s">
        <v>573</v>
      </c>
      <c r="D4171" s="2" t="str">
        <f t="shared" si="64"/>
        <v>Error?</v>
      </c>
    </row>
    <row r="4172" spans="1:4" x14ac:dyDescent="0.2">
      <c r="A4172" s="5">
        <v>4111</v>
      </c>
      <c r="B4172" s="138">
        <f>'Short-Term Long-Term Debt 24'!J49</f>
        <v>7387823</v>
      </c>
      <c r="C4172" s="2" t="s">
        <v>573</v>
      </c>
      <c r="D4172" s="2" t="str">
        <f t="shared" si="64"/>
        <v>Error?</v>
      </c>
    </row>
    <row r="4173" spans="1:4" x14ac:dyDescent="0.2">
      <c r="A4173" s="5">
        <v>4112</v>
      </c>
      <c r="B4173" s="138">
        <f>'Short-Term Long-Term Debt 24'!H49</f>
        <v>1405000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-3269749</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3222.2380000000003</v>
      </c>
      <c r="C4265" s="2" t="s">
        <v>573</v>
      </c>
      <c r="D4265" s="2" t="str">
        <f t="shared" si="65"/>
        <v>Error?</v>
      </c>
      <c r="E4265" s="128"/>
    </row>
    <row r="4266" spans="1:5" x14ac:dyDescent="0.2">
      <c r="A4266" s="12">
        <v>4205</v>
      </c>
      <c r="B4266" s="138">
        <f>('FP Info 3'!F10)*100000</f>
        <v>747.80000000000007</v>
      </c>
      <c r="C4266" s="2" t="s">
        <v>573</v>
      </c>
      <c r="D4266" s="2" t="str">
        <f t="shared" si="65"/>
        <v>Error?</v>
      </c>
      <c r="E4266" s="128"/>
    </row>
    <row r="4267" spans="1:5" x14ac:dyDescent="0.2">
      <c r="A4267" s="12">
        <v>4206</v>
      </c>
      <c r="B4267" s="138">
        <f>('FP Info 3'!H10)*100000</f>
        <v>228.62</v>
      </c>
      <c r="C4267" s="2" t="s">
        <v>573</v>
      </c>
      <c r="D4267" s="2" t="str">
        <f t="shared" si="65"/>
        <v>Error?</v>
      </c>
      <c r="E4267" s="128"/>
    </row>
    <row r="4268" spans="1:5" x14ac:dyDescent="0.2">
      <c r="A4268" s="12">
        <v>4207</v>
      </c>
      <c r="B4268" s="138">
        <f>('FP Info 3'!J10)*100000</f>
        <v>4199</v>
      </c>
      <c r="C4268" s="2" t="s">
        <v>573</v>
      </c>
      <c r="D4268" s="2" t="str">
        <f t="shared" si="65"/>
        <v>Error?</v>
      </c>
    </row>
    <row r="4269" spans="1:5" x14ac:dyDescent="0.2">
      <c r="A4269" s="12">
        <v>4208</v>
      </c>
      <c r="B4269" s="138">
        <f>'FP Info 3'!J16</f>
        <v>6914255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12543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43003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11516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17584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1220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929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163431649</v>
      </c>
      <c r="D4995" s="2" t="str">
        <f t="shared" si="77"/>
        <v>Error?</v>
      </c>
    </row>
    <row r="4996" spans="1:4" x14ac:dyDescent="0.2">
      <c r="A4996" s="12">
        <v>4935</v>
      </c>
      <c r="B4996" s="138">
        <f>'FP Info 3'!H31</f>
        <v>22553567.562000003</v>
      </c>
      <c r="D4996" s="2" t="str">
        <f t="shared" si="77"/>
        <v>Error?</v>
      </c>
    </row>
    <row r="4997" spans="1:4" x14ac:dyDescent="0.2">
      <c r="A4997" s="12">
        <v>4936</v>
      </c>
      <c r="B4997" s="138">
        <f>'FP Info 3'!H37</f>
        <v>8625000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4836128</v>
      </c>
      <c r="D5061" s="2" t="str">
        <f t="shared" si="78"/>
        <v>Error?</v>
      </c>
    </row>
    <row r="5062" spans="1:4" x14ac:dyDescent="0.2">
      <c r="A5062" s="10">
        <v>5001</v>
      </c>
      <c r="D5062" s="2" t="str">
        <f t="shared" si="78"/>
        <v>OK</v>
      </c>
    </row>
    <row r="5063" spans="1:4" x14ac:dyDescent="0.2">
      <c r="A5063" s="5">
        <v>5002</v>
      </c>
      <c r="B5063" s="138">
        <f>'Revenues 9-14'!C7</f>
        <v>576232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5412360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147141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147141</v>
      </c>
      <c r="C5071" s="2" t="s">
        <v>573</v>
      </c>
      <c r="D5071" s="2" t="str">
        <f t="shared" si="78"/>
        <v>Error?</v>
      </c>
    </row>
    <row r="5072" spans="1:4" x14ac:dyDescent="0.2">
      <c r="A5072" s="5">
        <v>5011</v>
      </c>
      <c r="B5072" s="138">
        <f>'Revenues 9-14'!C20</f>
        <v>17580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17580</v>
      </c>
      <c r="C5087" s="2" t="s">
        <v>573</v>
      </c>
      <c r="D5087" s="2" t="str">
        <f t="shared" si="78"/>
        <v>Error?</v>
      </c>
    </row>
    <row r="5088" spans="1:4" x14ac:dyDescent="0.2">
      <c r="A5088" s="5">
        <v>5027</v>
      </c>
      <c r="B5088" s="138">
        <f>'Revenues 9-14'!C65</f>
        <v>81143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81143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20379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52</v>
      </c>
      <c r="D5094" s="2" t="str">
        <f t="shared" si="78"/>
        <v>Error?</v>
      </c>
    </row>
    <row r="5095" spans="1:4" x14ac:dyDescent="0.2">
      <c r="A5095" s="5">
        <v>5034</v>
      </c>
      <c r="B5095" s="138">
        <f>'Revenues 9-14'!C74</f>
        <v>2621</v>
      </c>
      <c r="D5095" s="2" t="str">
        <f t="shared" si="78"/>
        <v>Error?</v>
      </c>
    </row>
    <row r="5096" spans="1:4" x14ac:dyDescent="0.2">
      <c r="A5096" s="5">
        <v>5035</v>
      </c>
      <c r="B5096" s="138">
        <f>'Revenues 9-14'!C75</f>
        <v>86312</v>
      </c>
      <c r="C5096" s="2" t="s">
        <v>573</v>
      </c>
      <c r="D5096" s="2" t="str">
        <f t="shared" si="78"/>
        <v>Error?</v>
      </c>
    </row>
    <row r="5097" spans="1:4" x14ac:dyDescent="0.2">
      <c r="A5097" s="5">
        <v>5036</v>
      </c>
      <c r="B5097" s="138">
        <f>'Revenues 9-14'!C77</f>
        <v>9598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60994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9388</v>
      </c>
      <c r="D5101" s="2" t="str">
        <f t="shared" si="78"/>
        <v>Error?</v>
      </c>
    </row>
    <row r="5102" spans="1:4" x14ac:dyDescent="0.2">
      <c r="A5102" s="5">
        <v>5041</v>
      </c>
      <c r="B5102" s="138">
        <f>'Revenues 9-14'!C82</f>
        <v>79980</v>
      </c>
      <c r="C5102" s="2" t="s">
        <v>573</v>
      </c>
      <c r="D5102" s="2" t="str">
        <f t="shared" si="78"/>
        <v>Error?</v>
      </c>
    </row>
    <row r="5103" spans="1:4" x14ac:dyDescent="0.2">
      <c r="A5103" s="5">
        <v>5042</v>
      </c>
      <c r="B5103" s="138">
        <f>'Revenues 9-14'!C84</f>
        <v>54931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54931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9900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9162</v>
      </c>
      <c r="D5119" s="2" t="str">
        <f t="shared" ref="D5119:D5182" si="79">IF(ISBLANK(B5119),"OK",IF(A5119-B5119=0,"OK","Error?"))</f>
        <v>Error?</v>
      </c>
    </row>
    <row r="5120" spans="1:4" x14ac:dyDescent="0.2">
      <c r="A5120" s="5">
        <v>5059</v>
      </c>
      <c r="B5120" s="138">
        <f>'Revenues 9-14'!C108</f>
        <v>27080</v>
      </c>
      <c r="C5120" s="2" t="s">
        <v>573</v>
      </c>
      <c r="D5120" s="2" t="str">
        <f t="shared" si="79"/>
        <v>Error?</v>
      </c>
    </row>
    <row r="5121" spans="1:4" x14ac:dyDescent="0.2">
      <c r="A5121" s="5">
        <v>5060</v>
      </c>
      <c r="B5121" s="138">
        <f>'Revenues 9-14'!C109</f>
        <v>5906527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630267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630267</v>
      </c>
      <c r="C5132" s="2" t="s">
        <v>573</v>
      </c>
      <c r="D5132" s="2" t="str">
        <f t="shared" si="79"/>
        <v>Error?</v>
      </c>
    </row>
    <row r="5133" spans="1:4" x14ac:dyDescent="0.2">
      <c r="A5133" s="5">
        <v>5072</v>
      </c>
      <c r="B5133" s="138">
        <f>'Revenues 9-14'!C125</f>
        <v>99216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20854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120070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6000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36926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821</v>
      </c>
      <c r="D5167" s="2" t="str">
        <f t="shared" si="79"/>
        <v>Error?</v>
      </c>
    </row>
    <row r="5168" spans="1:4" x14ac:dyDescent="0.2">
      <c r="A5168" s="5">
        <v>5107</v>
      </c>
      <c r="B5168" s="138">
        <f>'Revenues 9-14'!C148</f>
        <v>8363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167109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797376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58387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58387</v>
      </c>
      <c r="C5246" s="2" t="s">
        <v>573</v>
      </c>
      <c r="D5246" s="2" t="str">
        <f t="shared" si="80"/>
        <v>Error?</v>
      </c>
    </row>
    <row r="5247" spans="1:4" x14ac:dyDescent="0.2">
      <c r="A5247" s="5">
        <v>5186</v>
      </c>
      <c r="B5247" s="138">
        <f>'Revenues 9-14'!C200</f>
        <v>141053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11516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141053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4290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213180</v>
      </c>
      <c r="D5278" s="2" t="str">
        <f t="shared" si="81"/>
        <v>Error?</v>
      </c>
    </row>
    <row r="5279" spans="1:4" x14ac:dyDescent="0.2">
      <c r="A5279" s="5">
        <v>5218</v>
      </c>
      <c r="B5279" s="138">
        <f>'Revenues 9-14'!C214</f>
        <v>166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217636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501722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501722</v>
      </c>
      <c r="C5326" s="2" t="s">
        <v>573</v>
      </c>
      <c r="D5326" s="2" t="str">
        <f t="shared" si="82"/>
        <v>Error?</v>
      </c>
    </row>
    <row r="5327" spans="1:5" x14ac:dyDescent="0.2">
      <c r="A5327" s="5">
        <v>5266</v>
      </c>
      <c r="B5327" s="138">
        <f>'Revenues 9-14'!C268</f>
        <v>7205625</v>
      </c>
      <c r="C5327" s="2" t="s">
        <v>573</v>
      </c>
      <c r="D5327" s="2" t="str">
        <f t="shared" si="82"/>
        <v>Error?</v>
      </c>
    </row>
    <row r="5328" spans="1:5" x14ac:dyDescent="0.2">
      <c r="A5328" s="5">
        <v>5267</v>
      </c>
      <c r="B5328" s="138">
        <f>'Revenues 9-14'!D5</f>
        <v>1027683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1027683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28621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28621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2565</v>
      </c>
      <c r="D5349" s="2" t="str">
        <f t="shared" si="82"/>
        <v>Error?</v>
      </c>
    </row>
    <row r="5350" spans="1:4" x14ac:dyDescent="0.2">
      <c r="A5350" s="5">
        <v>5289</v>
      </c>
      <c r="B5350" s="138">
        <f>'Revenues 9-14'!D96</f>
        <v>100000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78886</v>
      </c>
      <c r="D5354" s="2" t="str">
        <f t="shared" si="82"/>
        <v>Error?</v>
      </c>
    </row>
    <row r="5355" spans="1:4" x14ac:dyDescent="0.2">
      <c r="A5355" s="5">
        <v>5294</v>
      </c>
      <c r="B5355" s="138">
        <f>'Revenues 9-14'!D108</f>
        <v>181451</v>
      </c>
      <c r="C5355" s="2" t="s">
        <v>573</v>
      </c>
      <c r="D5355" s="2" t="str">
        <f t="shared" si="82"/>
        <v>Error?</v>
      </c>
    </row>
    <row r="5356" spans="1:4" x14ac:dyDescent="0.2">
      <c r="A5356" s="5">
        <v>5295</v>
      </c>
      <c r="B5356" s="138">
        <f>'Revenues 9-14'!D109</f>
        <v>1237755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75000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75000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1312755</v>
      </c>
      <c r="C5508" s="2" t="s">
        <v>573</v>
      </c>
      <c r="D5508" s="2" t="str">
        <f t="shared" si="85"/>
        <v>Error?</v>
      </c>
    </row>
    <row r="5509" spans="1:4" x14ac:dyDescent="0.2">
      <c r="A5509" s="5">
        <v>5448</v>
      </c>
      <c r="B5509" s="138">
        <f>'Revenues 9-14'!E5</f>
        <v>1753140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1753140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19135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19135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1772275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1772275</v>
      </c>
      <c r="C5552" s="2" t="s">
        <v>573</v>
      </c>
      <c r="D5552" s="2" t="str">
        <f t="shared" si="85"/>
        <v>Error?</v>
      </c>
    </row>
    <row r="5553" spans="1:4" x14ac:dyDescent="0.2">
      <c r="A5553" s="5">
        <v>5492</v>
      </c>
      <c r="B5553" s="138">
        <f>'Revenues 9-14'!F5</f>
        <v>369493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369493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2364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2364</v>
      </c>
      <c r="C5579" s="2" t="s">
        <v>573</v>
      </c>
      <c r="D5579" s="2" t="str">
        <f t="shared" si="86"/>
        <v>Error?</v>
      </c>
    </row>
    <row r="5580" spans="1:4" x14ac:dyDescent="0.2">
      <c r="A5580" s="5">
        <v>5519</v>
      </c>
      <c r="B5580" s="138">
        <f>'Revenues 9-14'!F65</f>
        <v>14480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14480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764</v>
      </c>
      <c r="D5586" s="2" t="str">
        <f t="shared" si="86"/>
        <v>Error?</v>
      </c>
    </row>
    <row r="5587" spans="1:4" x14ac:dyDescent="0.2">
      <c r="A5587" s="5">
        <v>5526</v>
      </c>
      <c r="B5587" s="138">
        <f>'Revenues 9-14'!F108</f>
        <v>764</v>
      </c>
      <c r="C5587" s="2" t="s">
        <v>573</v>
      </c>
      <c r="D5587" s="2" t="str">
        <f t="shared" si="86"/>
        <v>Error?</v>
      </c>
    </row>
    <row r="5588" spans="1:4" x14ac:dyDescent="0.2">
      <c r="A5588" s="5">
        <v>5527</v>
      </c>
      <c r="B5588" s="138">
        <f>'Revenues 9-14'!F109</f>
        <v>387101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216508</v>
      </c>
      <c r="D5615" s="2" t="str">
        <f t="shared" si="86"/>
        <v>Error?</v>
      </c>
    </row>
    <row r="5616" spans="1:4" x14ac:dyDescent="0.2">
      <c r="A5616" s="10">
        <v>5555</v>
      </c>
      <c r="D5616" s="2" t="str">
        <f t="shared" si="86"/>
        <v>OK</v>
      </c>
    </row>
    <row r="5617" spans="1:5" x14ac:dyDescent="0.2">
      <c r="A5617" s="5">
        <v>5556</v>
      </c>
      <c r="B5617" s="138">
        <f>'Revenues 9-14'!F153</f>
        <v>212416</v>
      </c>
      <c r="D5617" s="2" t="str">
        <f t="shared" si="86"/>
        <v>Error?</v>
      </c>
    </row>
    <row r="5618" spans="1:5" x14ac:dyDescent="0.2">
      <c r="A5618" s="5">
        <v>5557</v>
      </c>
      <c r="B5618" s="138">
        <f>'Revenues 9-14'!F155</f>
        <v>428924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428924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428924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816025</v>
      </c>
      <c r="C5720" s="2" t="s">
        <v>573</v>
      </c>
      <c r="D5720" s="2" t="str">
        <f t="shared" si="88"/>
        <v>Error?</v>
      </c>
    </row>
    <row r="5721" spans="1:4" x14ac:dyDescent="0.2">
      <c r="A5721" s="5">
        <v>5660</v>
      </c>
      <c r="B5721" s="138">
        <f>'Revenues 9-14'!G5</f>
        <v>164868</v>
      </c>
      <c r="D5721" s="2" t="str">
        <f t="shared" si="88"/>
        <v>Error?</v>
      </c>
    </row>
    <row r="5722" spans="1:4" x14ac:dyDescent="0.2">
      <c r="A5722" s="5">
        <v>5661</v>
      </c>
      <c r="B5722" s="138">
        <f>'Revenues 9-14'!G7</f>
        <v>0</v>
      </c>
      <c r="D5722" s="2" t="str">
        <f t="shared" si="88"/>
        <v>Error?</v>
      </c>
    </row>
    <row r="5723" spans="1:4" x14ac:dyDescent="0.2">
      <c r="A5723" s="5">
        <v>5662</v>
      </c>
      <c r="B5723" s="138">
        <f>'Revenues 9-14'!G8</f>
        <v>163319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328187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573</v>
      </c>
      <c r="D5730" s="2" t="str">
        <f t="shared" si="88"/>
        <v>Error?</v>
      </c>
    </row>
    <row r="5731" spans="1:4" x14ac:dyDescent="0.2">
      <c r="A5731" s="5">
        <v>5670</v>
      </c>
      <c r="B5731" s="138">
        <f>'Revenues 9-14'!G65</f>
        <v>1707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1707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339894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11529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11529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11529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908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338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338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1246</v>
      </c>
      <c r="C6023" s="2" t="s">
        <v>573</v>
      </c>
      <c r="D6023" s="2" t="str">
        <f t="shared" si="93"/>
        <v>Error?</v>
      </c>
    </row>
    <row r="6024" spans="1:5" x14ac:dyDescent="0.2">
      <c r="A6024" s="5">
        <v>5963</v>
      </c>
      <c r="B6024" s="138">
        <f>'Revenues 9-14'!G109</f>
        <v>339894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11529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63260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12154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651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231945</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261246</v>
      </c>
      <c r="D6124" s="2" t="str">
        <f t="shared" si="94"/>
        <v>Error?</v>
      </c>
      <c r="E6124" s="2" t="s">
        <v>190</v>
      </c>
    </row>
    <row r="6125" spans="1:5" x14ac:dyDescent="0.2">
      <c r="A6125">
        <v>6064</v>
      </c>
      <c r="B6125" s="138">
        <f>'Assets-Liab 5-6'!C25</f>
        <v>231945</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3238</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261246</v>
      </c>
      <c r="D6215" s="2" t="str">
        <f t="shared" si="96"/>
        <v>Error?</v>
      </c>
      <c r="E6215" s="2" t="s">
        <v>190</v>
      </c>
    </row>
    <row r="6216" spans="1:5" x14ac:dyDescent="0.2">
      <c r="A6216">
        <v>6155</v>
      </c>
      <c r="B6216" s="138">
        <f>'Assets-Liab 5-6'!J41</f>
        <v>261246</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261246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107619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107619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107619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116234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116234</v>
      </c>
      <c r="D6229" s="2" t="str">
        <f t="shared" si="96"/>
        <v>Error?</v>
      </c>
      <c r="E6229" s="2" t="s">
        <v>190</v>
      </c>
    </row>
    <row r="6230" spans="1:5" x14ac:dyDescent="0.2">
      <c r="A6230">
        <v>6169</v>
      </c>
      <c r="B6230" s="138">
        <f>'Acct Summary 7-8'!J20</f>
        <v>-8615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-8615</v>
      </c>
      <c r="D6263" s="2" t="str">
        <f t="shared" si="96"/>
        <v>Error?</v>
      </c>
      <c r="E6263" s="2" t="s">
        <v>190</v>
      </c>
    </row>
    <row r="6264" spans="1:5" x14ac:dyDescent="0.2">
      <c r="A6264">
        <v>6203</v>
      </c>
      <c r="B6264" s="138">
        <f>'Acct Summary 7-8'!J79</f>
        <v>269861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261246</v>
      </c>
      <c r="D6266" s="2" t="str">
        <f t="shared" si="96"/>
        <v>Error?</v>
      </c>
      <c r="E6266" s="2" t="s">
        <v>190</v>
      </c>
    </row>
    <row r="6267" spans="1:5" x14ac:dyDescent="0.2">
      <c r="A6267">
        <v>6206</v>
      </c>
      <c r="B6267" s="138">
        <f>'Acct Summary 7-8'!C82</f>
        <v>-278301</v>
      </c>
      <c r="D6267" s="2" t="str">
        <f t="shared" si="96"/>
        <v>Error?</v>
      </c>
      <c r="E6267" s="2" t="s">
        <v>190</v>
      </c>
    </row>
    <row r="6268" spans="1:5" x14ac:dyDescent="0.2">
      <c r="A6268">
        <v>6207</v>
      </c>
      <c r="B6268" s="138">
        <f>'Acct Summary 7-8'!D82</f>
        <v>165980</v>
      </c>
      <c r="D6268" s="2" t="str">
        <f t="shared" si="96"/>
        <v>Error?</v>
      </c>
      <c r="E6268" s="2" t="s">
        <v>190</v>
      </c>
    </row>
    <row r="6269" spans="1:5" x14ac:dyDescent="0.2">
      <c r="A6269">
        <v>6208</v>
      </c>
      <c r="B6269" s="138">
        <f>'Acct Summary 7-8'!E82</f>
        <v>17841</v>
      </c>
      <c r="D6269" s="2" t="str">
        <f t="shared" si="96"/>
        <v>Error?</v>
      </c>
      <c r="E6269" s="2" t="s">
        <v>190</v>
      </c>
    </row>
    <row r="6270" spans="1:5" x14ac:dyDescent="0.2">
      <c r="A6270">
        <v>6209</v>
      </c>
      <c r="B6270" s="138">
        <f>'Acct Summary 7-8'!F82</f>
        <v>79938</v>
      </c>
      <c r="D6270" s="2" t="str">
        <f t="shared" si="96"/>
        <v>Error?</v>
      </c>
      <c r="E6270" s="2" t="s">
        <v>190</v>
      </c>
    </row>
    <row r="6271" spans="1:5" x14ac:dyDescent="0.2">
      <c r="A6271">
        <v>6210</v>
      </c>
      <c r="B6271" s="138">
        <f>'Acct Summary 7-8'!G82</f>
        <v>22504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11529</v>
      </c>
      <c r="D6273" s="2" t="str">
        <f t="shared" si="97"/>
        <v>Error?</v>
      </c>
      <c r="E6273" s="2" t="s">
        <v>190</v>
      </c>
    </row>
    <row r="6274" spans="1:5" x14ac:dyDescent="0.2">
      <c r="A6274">
        <v>6213</v>
      </c>
      <c r="B6274" s="138">
        <f>'Acct Summary 7-8'!J82</f>
        <v>-8615</v>
      </c>
      <c r="D6274" s="2" t="str">
        <f t="shared" si="97"/>
        <v>Error?</v>
      </c>
      <c r="E6274" s="2" t="s">
        <v>190</v>
      </c>
    </row>
    <row r="6275" spans="1:5" x14ac:dyDescent="0.2">
      <c r="A6275">
        <v>6214</v>
      </c>
      <c r="B6275" s="138">
        <f>'Acct Summary 7-8'!K82</f>
        <v>1246</v>
      </c>
      <c r="D6275" s="2" t="str">
        <f t="shared" si="97"/>
        <v>Error?</v>
      </c>
      <c r="E6275" s="2" t="s">
        <v>190</v>
      </c>
    </row>
    <row r="6276" spans="1:5" x14ac:dyDescent="0.2">
      <c r="A6276">
        <v>6215</v>
      </c>
      <c r="B6276" s="138">
        <f>'Acct Summary 7-8'!C83</f>
        <v>-8.5047052273037035E-2</v>
      </c>
      <c r="D6276" s="2" t="str">
        <f t="shared" si="97"/>
        <v>Error?</v>
      </c>
      <c r="E6276" s="2" t="s">
        <v>190</v>
      </c>
    </row>
    <row r="6277" spans="1:5" x14ac:dyDescent="0.2">
      <c r="A6277">
        <v>6216</v>
      </c>
      <c r="B6277" s="138">
        <f>'Acct Summary 7-8'!D83</f>
        <v>8.7426179184162789E-2</v>
      </c>
      <c r="D6277" s="2" t="str">
        <f t="shared" si="97"/>
        <v>Error?</v>
      </c>
      <c r="E6277" s="2" t="s">
        <v>190</v>
      </c>
    </row>
    <row r="6278" spans="1:5" x14ac:dyDescent="0.2">
      <c r="A6278">
        <v>6217</v>
      </c>
      <c r="B6278" s="138">
        <f>'Acct Summary 7-8'!E83</f>
        <v>1.4420733654117397E-2</v>
      </c>
      <c r="D6278" s="2" t="str">
        <f t="shared" si="97"/>
        <v>Error?</v>
      </c>
      <c r="E6278" s="2" t="s">
        <v>190</v>
      </c>
    </row>
    <row r="6279" spans="1:5" x14ac:dyDescent="0.2">
      <c r="A6279">
        <v>6218</v>
      </c>
      <c r="B6279" s="138">
        <f>'Acct Summary 7-8'!F83</f>
        <v>6.0640680187889158E-2</v>
      </c>
      <c r="D6279" s="2" t="str">
        <f t="shared" si="97"/>
        <v>Error?</v>
      </c>
      <c r="E6279" s="2" t="s">
        <v>190</v>
      </c>
    </row>
    <row r="6280" spans="1:5" x14ac:dyDescent="0.2">
      <c r="A6280">
        <v>6219</v>
      </c>
      <c r="B6280" s="138">
        <f>'Acct Summary 7-8'!G83</f>
        <v>0.10509650814703424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2.7114490459716319E-2</v>
      </c>
      <c r="D6282" s="2" t="str">
        <f t="shared" si="97"/>
        <v>Error?</v>
      </c>
      <c r="E6282" s="2" t="s">
        <v>190</v>
      </c>
    </row>
    <row r="6283" spans="1:5" x14ac:dyDescent="0.2">
      <c r="A6283">
        <v>6222</v>
      </c>
      <c r="B6283" s="138">
        <f>'Acct Summary 7-8'!J83</f>
        <v>-3.2976581459620437E-2</v>
      </c>
      <c r="D6283" s="2" t="str">
        <f t="shared" si="97"/>
        <v>Error?</v>
      </c>
      <c r="E6283" s="2" t="s">
        <v>190</v>
      </c>
    </row>
    <row r="6284" spans="1:5" x14ac:dyDescent="0.2">
      <c r="A6284">
        <v>6223</v>
      </c>
      <c r="B6284" s="138">
        <f>'Acct Summary 7-8'!K83</f>
        <v>3.6543876114500232E-2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105050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105050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2569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2569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6590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107619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30926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3475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134502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7093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242299</v>
      </c>
      <c r="D6880" s="2" t="str">
        <f t="shared" si="106"/>
        <v>Error?</v>
      </c>
    </row>
    <row r="6881" spans="1:4" x14ac:dyDescent="0.2">
      <c r="A6881">
        <v>6820</v>
      </c>
      <c r="B6881" s="138">
        <f>'Expenditures 15-22'!K22</f>
        <v>242299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10568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2491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2491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4583</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7074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17642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7878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7878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7878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116234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1817</v>
      </c>
      <c r="D7047" s="2" t="str">
        <f t="shared" si="109"/>
        <v>Error?</v>
      </c>
    </row>
    <row r="7048" spans="1:5" x14ac:dyDescent="0.2">
      <c r="A7048">
        <v>6987</v>
      </c>
      <c r="B7048" s="138">
        <f>'Expenditures 15-22'!K147</f>
        <v>1817</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7878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107619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6924</v>
      </c>
      <c r="D7075" s="2" t="str">
        <f t="shared" si="109"/>
        <v>Error?</v>
      </c>
    </row>
    <row r="7076" spans="1:4" x14ac:dyDescent="0.2">
      <c r="A7076">
        <v>7015</v>
      </c>
      <c r="B7076" s="138">
        <f>'Expenditures 15-22'!K218</f>
        <v>6924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1655</v>
      </c>
      <c r="D7093" s="2" t="str">
        <f t="shared" si="109"/>
        <v>Error?</v>
      </c>
    </row>
    <row r="7094" spans="1:4" x14ac:dyDescent="0.2">
      <c r="A7094">
        <v>7033</v>
      </c>
      <c r="B7094" s="138">
        <f>'Expenditures 15-22'!K254</f>
        <v>1655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95743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95743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10335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3240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2124</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15699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4792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4792</v>
      </c>
      <c r="D7198" s="2" t="str">
        <f t="shared" si="111"/>
        <v>Error?</v>
      </c>
    </row>
    <row r="7199" spans="1:4" x14ac:dyDescent="0.2">
      <c r="A7199">
        <v>7138</v>
      </c>
      <c r="B7199" s="138">
        <f>'Expenditures 15-22'!C330</f>
        <v>10335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100535</v>
      </c>
      <c r="D7201" s="2" t="str">
        <f t="shared" si="111"/>
        <v>Error?</v>
      </c>
    </row>
    <row r="7202" spans="1:4" x14ac:dyDescent="0.2">
      <c r="A7202">
        <v>7141</v>
      </c>
      <c r="B7202" s="138">
        <f>'Expenditures 15-22'!F330</f>
        <v>3240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2124</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116234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10335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100535</v>
      </c>
      <c r="D7218" s="2" t="str">
        <f t="shared" si="111"/>
        <v>Error?</v>
      </c>
    </row>
    <row r="7219" spans="1:4" x14ac:dyDescent="0.2">
      <c r="A7219">
        <v>7158</v>
      </c>
      <c r="B7219" s="138">
        <f>'Expenditures 15-22'!F342</f>
        <v>3240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2124</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116234</v>
      </c>
      <c r="D7224" s="2" t="str">
        <f t="shared" si="111"/>
        <v>Error?</v>
      </c>
    </row>
    <row r="7225" spans="1:4" x14ac:dyDescent="0.2">
      <c r="A7225">
        <v>7164</v>
      </c>
      <c r="B7225" s="138">
        <f>'Expenditures 15-22'!K343</f>
        <v>-8615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115315</v>
      </c>
      <c r="D7251" s="2" t="str">
        <f t="shared" si="112"/>
        <v>Error?</v>
      </c>
    </row>
    <row r="7252" spans="1:4" x14ac:dyDescent="0.2">
      <c r="A7252">
        <f t="shared" si="113"/>
        <v>7191</v>
      </c>
      <c r="B7252" s="138">
        <f>'Expenditures 15-22'!D9</f>
        <v>19187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27644</v>
      </c>
      <c r="D7624" s="2" t="str">
        <f t="shared" si="124"/>
        <v>Error?</v>
      </c>
      <c r="E7624" s="2" t="s">
        <v>19</v>
      </c>
    </row>
    <row r="7625" spans="1:5" x14ac:dyDescent="0.2">
      <c r="A7625">
        <f t="shared" si="123"/>
        <v>7564</v>
      </c>
      <c r="B7625" s="138">
        <f>'Cap Outlay Deprec 26'!I17</f>
        <v>2764.4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606526.4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224</v>
      </c>
      <c r="D7711" s="2" t="str">
        <f t="shared" si="126"/>
        <v>Error?</v>
      </c>
      <c r="E7711" s="2" t="s">
        <v>827</v>
      </c>
    </row>
    <row r="7712" spans="1:5" x14ac:dyDescent="0.2">
      <c r="A7712">
        <v>7651</v>
      </c>
      <c r="B7712" s="138">
        <f>'Rest Tax Levies-Tort Im 25'!K7</f>
        <v>6593</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8363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15180</v>
      </c>
      <c r="D7719" s="2" t="str">
        <f t="shared" si="126"/>
        <v>Error?</v>
      </c>
      <c r="E7719" s="2" t="s">
        <v>827</v>
      </c>
    </row>
    <row r="7720" spans="1:6" x14ac:dyDescent="0.2">
      <c r="A7720">
        <v>7659</v>
      </c>
      <c r="B7720" s="138">
        <f>'Rest Tax Levies-Tort Im 25'!H14</f>
        <v>584875</v>
      </c>
      <c r="D7720" s="2" t="str">
        <f t="shared" si="126"/>
        <v>Error?</v>
      </c>
      <c r="E7720" s="2" t="s">
        <v>827</v>
      </c>
    </row>
    <row r="7721" spans="1:6" x14ac:dyDescent="0.2">
      <c r="A7721">
        <v>7660</v>
      </c>
      <c r="B7721" s="138">
        <f>'Rest Tax Levies-Tort Im 25'!K14</f>
        <v>15180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29" sqref="X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1989</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Hinckley Big Rock CUSD 429</v>
      </c>
      <c r="B7" s="2409"/>
      <c r="C7" s="2409"/>
      <c r="D7" s="2410"/>
      <c r="E7" s="2411">
        <f>COVER!A13</f>
        <v>16019429026</v>
      </c>
      <c r="F7" s="2412"/>
      <c r="G7" s="2418" t="str">
        <f>COVER!T23</f>
        <v>066-004023</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Wipfli LLP</v>
      </c>
      <c r="H9" s="2424"/>
      <c r="I9" s="2424"/>
      <c r="J9" s="2424"/>
      <c r="K9" s="2424"/>
      <c r="L9" s="2425"/>
    </row>
    <row r="10" spans="1:29" ht="13.5" customHeight="1" x14ac:dyDescent="0.2">
      <c r="A10" s="2398" t="str">
        <f>COVER!A38</f>
        <v>Travis McGuire</v>
      </c>
      <c r="B10" s="2399"/>
      <c r="C10" s="2399"/>
      <c r="D10" s="2399"/>
      <c r="E10" s="2399"/>
      <c r="F10" s="2400"/>
      <c r="G10" s="2392" t="str">
        <f>COVER!T17</f>
        <v>403 East 3rd Street</v>
      </c>
      <c r="H10" s="2393"/>
      <c r="I10" s="2393"/>
      <c r="J10" s="2393"/>
      <c r="K10" s="2393"/>
      <c r="L10" s="2394"/>
    </row>
    <row r="11" spans="1:29" ht="13.5" customHeight="1" x14ac:dyDescent="0.2">
      <c r="A11" s="1184" t="s">
        <v>1519</v>
      </c>
      <c r="B11" s="1185"/>
      <c r="C11" s="1186"/>
      <c r="D11" s="1191"/>
      <c r="E11" s="1186"/>
      <c r="F11" s="1190"/>
      <c r="G11" s="2392" t="str">
        <f>COVER!T19</f>
        <v>Sterling</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mschueler@wipfli.com</v>
      </c>
      <c r="J13" s="2405"/>
      <c r="K13" s="2405"/>
      <c r="L13" s="2406"/>
    </row>
    <row r="14" spans="1:29" ht="13.5" customHeight="1" x14ac:dyDescent="0.2">
      <c r="A14" s="2392" t="str">
        <f>COVER!A19</f>
        <v>Highway 30</v>
      </c>
      <c r="B14" s="2393"/>
      <c r="C14" s="2393"/>
      <c r="D14" s="2393"/>
      <c r="E14" s="2393"/>
      <c r="F14" s="2394"/>
      <c r="G14" s="1195" t="s">
        <v>1185</v>
      </c>
      <c r="H14" s="1193"/>
      <c r="I14" s="1193"/>
      <c r="J14" s="1193"/>
      <c r="K14" s="1193"/>
      <c r="L14" s="1194"/>
    </row>
    <row r="15" spans="1:29" ht="13.5" customHeight="1" x14ac:dyDescent="0.2">
      <c r="A15" s="2392" t="str">
        <f>COVER!A21</f>
        <v xml:space="preserve">Hinckley </v>
      </c>
      <c r="B15" s="2393"/>
      <c r="C15" s="2393"/>
      <c r="D15" s="2393"/>
      <c r="E15" s="2393"/>
      <c r="F15" s="2394"/>
      <c r="G15" s="2389" t="str">
        <f>COVER!T15</f>
        <v>Matthew Schueler</v>
      </c>
      <c r="H15" s="2390"/>
      <c r="I15" s="2390"/>
      <c r="J15" s="2390"/>
      <c r="K15" s="2390"/>
      <c r="L15" s="2391"/>
    </row>
    <row r="16" spans="1:29" ht="12.2" customHeight="1" x14ac:dyDescent="0.2">
      <c r="A16" s="2414">
        <f>COVER!A25</f>
        <v>60520</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815-626-1277</v>
      </c>
      <c r="H18" s="2409"/>
      <c r="I18" s="2409"/>
      <c r="J18" s="2409"/>
      <c r="K18" s="2408" t="str">
        <f>COVER!X21</f>
        <v>815-626-9118</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29" sqref="X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Hinckley Big Rock CUSD 429</v>
      </c>
      <c r="B1" s="2407"/>
      <c r="C1" s="2407"/>
      <c r="D1" s="2407"/>
    </row>
    <row r="2" spans="1:11" s="1212" customFormat="1" ht="12.75" x14ac:dyDescent="0.2">
      <c r="A2" s="2431">
        <f>'Single Audit Cover'!E7</f>
        <v>16019429026</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29" sqref="X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Hinckley Big Rock CUSD 429</v>
      </c>
      <c r="B1" s="2434"/>
      <c r="C1" s="2434"/>
      <c r="D1" s="2434"/>
      <c r="E1" s="2434"/>
    </row>
    <row r="2" spans="1:5" x14ac:dyDescent="0.2">
      <c r="A2" s="2435">
        <f>'Single Audit Cover'!E7</f>
        <v>16019429026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501722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12154</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-43003</v>
      </c>
    </row>
    <row r="19" spans="1:4" ht="13.5" thickBot="1" x14ac:dyDescent="0.25">
      <c r="A19" s="1262" t="s">
        <v>1235</v>
      </c>
      <c r="D19" s="1263">
        <f>SUM(D10:D17)</f>
        <v>470873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470873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470873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Hinckley Big Rock CUSD 429</v>
      </c>
      <c r="C1" s="2438"/>
      <c r="D1" s="2438"/>
      <c r="E1" s="2438"/>
      <c r="F1" s="2438"/>
      <c r="G1" s="2438"/>
      <c r="H1" s="2438"/>
      <c r="I1" s="2438"/>
      <c r="J1" s="2438"/>
      <c r="K1" s="2438"/>
      <c r="L1" s="2438"/>
      <c r="M1" s="2438"/>
    </row>
    <row r="2" spans="2:14" ht="15" x14ac:dyDescent="0.2">
      <c r="B2" s="2439">
        <f>'Single Audit Cover'!E7</f>
        <v>16019429026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29" sqref="X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Hinckley Big Rock CUSD 429</v>
      </c>
      <c r="B1" s="2451"/>
      <c r="C1" s="2451"/>
      <c r="D1" s="2451"/>
      <c r="E1" s="2451"/>
      <c r="F1" s="2451"/>
    </row>
    <row r="2" spans="1:7" ht="13.5" customHeight="1" x14ac:dyDescent="0.2">
      <c r="A2" s="2439">
        <f>'Single Audit Cover'!E7</f>
        <v>16019429026</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1729</v>
      </c>
      <c r="B7" s="2450"/>
      <c r="C7" s="2450"/>
      <c r="D7" s="2450"/>
      <c r="E7" s="2450"/>
      <c r="F7" s="245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1731</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2072</v>
      </c>
      <c r="C53" s="179">
        <v>22</v>
      </c>
      <c r="D53" s="247" t="s">
        <v>1462</v>
      </c>
      <c r="E53" s="248"/>
      <c r="F53" s="249"/>
      <c r="G53" s="249" t="s">
        <v>1461</v>
      </c>
      <c r="H53" s="250">
        <v>36263</v>
      </c>
      <c r="I53" s="237" t="s">
        <v>1483</v>
      </c>
    </row>
    <row r="54" spans="1:10" s="181" customFormat="1" x14ac:dyDescent="0.2">
      <c r="A54" s="219"/>
      <c r="B54" s="220" t="s">
        <v>2072</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2094</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2064</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t="s">
        <v>2110</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X29" sqref="X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Hinckley Big Rock CUSD 429</v>
      </c>
      <c r="C1" s="2466"/>
      <c r="D1" s="2466"/>
      <c r="E1" s="2466"/>
      <c r="F1" s="2466"/>
      <c r="G1" s="2466"/>
      <c r="H1" s="2466"/>
      <c r="I1" s="2466"/>
      <c r="J1" s="1406"/>
    </row>
    <row r="2" spans="2:10" s="317" customFormat="1" ht="12.75" customHeight="1" x14ac:dyDescent="0.2">
      <c r="B2" s="2467">
        <f>'Single Audit Cover'!E7</f>
        <v>16019429026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c r="C38" s="2461"/>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0</v>
      </c>
      <c r="H43" s="2457"/>
      <c r="I43" s="2457"/>
    </row>
    <row r="44" spans="2:9" ht="12.75" customHeight="1" x14ac:dyDescent="0.2"/>
    <row r="45" spans="2:9" ht="12.75" customHeight="1" x14ac:dyDescent="0.2">
      <c r="B45" s="1419" t="s">
        <v>1841</v>
      </c>
      <c r="D45" s="2458">
        <v>0</v>
      </c>
      <c r="E45" s="245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0"/>
      <c r="F49" s="2460"/>
      <c r="G49" s="246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Hinckley Big Rock CUSD 429</v>
      </c>
      <c r="C1" s="2465"/>
      <c r="D1" s="2465"/>
      <c r="E1" s="2465"/>
      <c r="F1" s="2465"/>
      <c r="G1" s="2465"/>
      <c r="H1" s="2465"/>
      <c r="I1" s="2465"/>
      <c r="J1" s="2465"/>
      <c r="K1" s="2465"/>
      <c r="L1" s="1371"/>
      <c r="M1" s="1371"/>
    </row>
    <row r="2" spans="1:13" ht="12" customHeight="1" x14ac:dyDescent="0.2">
      <c r="B2" s="2467">
        <f>'Single Audit Cover'!E7</f>
        <v>16019429026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Hinckley Big Rock CUSD 429</v>
      </c>
      <c r="C1" s="2488"/>
      <c r="D1" s="2488"/>
      <c r="E1" s="2488"/>
      <c r="F1" s="2488"/>
      <c r="G1" s="2488"/>
      <c r="H1" s="2488"/>
      <c r="I1" s="2488"/>
      <c r="J1" s="2488"/>
      <c r="K1" s="2488"/>
      <c r="L1" s="1449"/>
    </row>
    <row r="2" spans="1:12" ht="12.75" customHeight="1" x14ac:dyDescent="0.2">
      <c r="B2" s="2489">
        <f>'Single Audit Cover'!E7</f>
        <v>16019429026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Hinckley Big Rock CUSD 429</v>
      </c>
      <c r="C1" s="2465"/>
      <c r="D1" s="2465"/>
      <c r="E1" s="1469"/>
    </row>
    <row r="2" spans="2:5" s="1279" customFormat="1" ht="12.75" customHeight="1" x14ac:dyDescent="0.2">
      <c r="B2" s="2467">
        <f>'Single Audit Cover'!E7</f>
        <v>16019429026</v>
      </c>
      <c r="C2" s="2467"/>
      <c r="D2" s="2467"/>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M31" sqref="M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163431649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3.2222380000000002E-2</v>
      </c>
      <c r="E10" s="356" t="s">
        <v>1005</v>
      </c>
      <c r="F10" s="355">
        <v>7.4780000000000003E-3</v>
      </c>
      <c r="G10" s="356" t="s">
        <v>1005</v>
      </c>
      <c r="H10" s="355">
        <v>2.2862E-3</v>
      </c>
      <c r="I10" s="356" t="s">
        <v>1006</v>
      </c>
      <c r="J10" s="1732">
        <f>ROUND(D10+F10+H10,5)</f>
        <v>4.199E-2</v>
      </c>
      <c r="K10" s="222"/>
      <c r="L10" s="355">
        <v>0</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9345934</v>
      </c>
      <c r="E16" s="356"/>
      <c r="F16" s="1733">
        <f>SUM('Acct Summary 7-8'!C17,'Acct Summary 7-8'!D17,'Acct Summary 7-8'!F17)</f>
        <v>9324890</v>
      </c>
      <c r="G16" s="356"/>
      <c r="H16" s="1733">
        <f>SUM(D16-F16)</f>
        <v>21044</v>
      </c>
      <c r="I16" s="222"/>
      <c r="J16" s="1733">
        <f>SUM('Acct Summary 7-8'!C81,'Acct Summary 7-8'!D81,'Acct Summary 7-8'!F81,'Acct Summary 7-8'!I81)</f>
        <v>6914255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22553567.562000003</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8625000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A3" sqref="A3:R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Hinckley Big Rock CUSD 429</v>
      </c>
      <c r="E7" s="391"/>
      <c r="G7" s="252"/>
      <c r="H7" s="387"/>
      <c r="I7" s="387"/>
      <c r="J7" s="387"/>
      <c r="K7" s="387"/>
      <c r="L7" s="329"/>
      <c r="M7" s="329"/>
      <c r="N7" s="329"/>
      <c r="O7" s="329"/>
      <c r="P7" s="329"/>
    </row>
    <row r="8" spans="1:18" ht="12.75" x14ac:dyDescent="0.2">
      <c r="A8" s="329"/>
      <c r="B8" s="329"/>
      <c r="C8" s="389" t="s">
        <v>1125</v>
      </c>
      <c r="D8" s="392">
        <f>COVER!A13</f>
        <v>16019429026</v>
      </c>
      <c r="E8" s="393"/>
      <c r="G8" s="329"/>
      <c r="H8" s="329"/>
      <c r="I8" s="329"/>
      <c r="J8" s="329"/>
      <c r="K8" s="329"/>
      <c r="L8" s="329"/>
      <c r="M8" s="329"/>
      <c r="N8" s="329"/>
      <c r="O8" s="329"/>
      <c r="P8" s="329"/>
    </row>
    <row r="9" spans="1:18" ht="12.75" x14ac:dyDescent="0.2">
      <c r="A9" s="329"/>
      <c r="B9" s="329"/>
      <c r="C9" s="389" t="s">
        <v>713</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6914255</v>
      </c>
      <c r="I12" s="404"/>
      <c r="J12" s="404"/>
      <c r="K12" s="405">
        <f>TRUNC((H12/H13*100000),5)/100000</f>
        <v>0.73981423359999998</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9345934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9324890</v>
      </c>
      <c r="I17" s="404"/>
      <c r="J17" s="416"/>
      <c r="K17" s="405">
        <f>TRUNC((H17/H18*100000),5)/100000</f>
        <v>0.99774832559999993</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9345934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6918493</v>
      </c>
      <c r="I24" s="422"/>
      <c r="J24" s="422"/>
      <c r="K24" s="423">
        <f>TRUNC(((H24/H25*100000)/100000),2)</f>
        <v>267.08999999999997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25902.47222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5833120.7002800005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8625000</v>
      </c>
      <c r="I32" s="420"/>
      <c r="J32" s="420"/>
      <c r="K32" s="423">
        <f>TRUNC(100-((((H32/H33*100))*100)/100),2)</f>
        <v>61.75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22553567.562000003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75" zoomScaleNormal="75" workbookViewId="0">
      <selection activeCell="D5" sqref="D5:K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f>7700+30+250+700</f>
        <v>8680</v>
      </c>
      <c r="D4" s="466">
        <v>69034</v>
      </c>
      <c r="E4" s="466">
        <v>71474</v>
      </c>
      <c r="F4" s="466">
        <f>21753+1</f>
        <v>21754</v>
      </c>
      <c r="G4" s="466">
        <v>16319</v>
      </c>
      <c r="H4" s="466"/>
      <c r="I4" s="466"/>
      <c r="J4" s="467"/>
      <c r="K4" s="466">
        <v>5635</v>
      </c>
      <c r="L4" s="466">
        <v>151796</v>
      </c>
      <c r="M4" s="468"/>
      <c r="N4" s="469"/>
    </row>
    <row r="5" spans="1:14" x14ac:dyDescent="0.2">
      <c r="A5" s="463" t="s">
        <v>992</v>
      </c>
      <c r="B5" s="470">
        <v>120</v>
      </c>
      <c r="C5" s="465">
        <f>962+1460+7596+3095+13910+2881653+591145</f>
        <v>3499821</v>
      </c>
      <c r="D5" s="466">
        <f>4570+318715+1274252</f>
        <v>1597537</v>
      </c>
      <c r="E5" s="466">
        <f>3078+25795+2803+1134027</f>
        <v>1165703</v>
      </c>
      <c r="F5" s="466">
        <f>163+1296307</f>
        <v>1296470</v>
      </c>
      <c r="G5" s="466">
        <f>4491+193317</f>
        <v>197808</v>
      </c>
      <c r="H5" s="466"/>
      <c r="I5" s="466">
        <f>2629+422568</f>
        <v>425197</v>
      </c>
      <c r="J5" s="467">
        <f>1563+259790-106-1</f>
        <v>261246</v>
      </c>
      <c r="K5" s="471">
        <v>28461</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v>231945</v>
      </c>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3508501</v>
      </c>
      <c r="D13" s="1737">
        <f t="shared" ref="D13:L13" si="0">SUM(D4:D12)</f>
        <v>1898516</v>
      </c>
      <c r="E13" s="1737">
        <f t="shared" si="0"/>
        <v>1237177</v>
      </c>
      <c r="F13" s="1737">
        <f t="shared" si="0"/>
        <v>1318224</v>
      </c>
      <c r="G13" s="1737">
        <f t="shared" si="0"/>
        <v>214127</v>
      </c>
      <c r="H13" s="1737">
        <f t="shared" si="0"/>
        <v>0</v>
      </c>
      <c r="I13" s="1737">
        <f t="shared" si="0"/>
        <v>425197</v>
      </c>
      <c r="J13" s="1737">
        <f t="shared" si="0"/>
        <v>261246</v>
      </c>
      <c r="K13" s="1737">
        <f t="shared" si="0"/>
        <v>34096</v>
      </c>
      <c r="L13" s="1737">
        <f t="shared" si="0"/>
        <v>151796</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219866</v>
      </c>
      <c r="N16" s="484"/>
    </row>
    <row r="17" spans="1:14" s="485" customFormat="1" ht="12.75" customHeight="1" x14ac:dyDescent="0.2">
      <c r="A17" s="482" t="s">
        <v>1403</v>
      </c>
      <c r="B17" s="483">
        <v>230</v>
      </c>
      <c r="C17" s="477"/>
      <c r="D17" s="477"/>
      <c r="E17" s="477"/>
      <c r="F17" s="477"/>
      <c r="G17" s="477"/>
      <c r="H17" s="477"/>
      <c r="I17" s="477"/>
      <c r="J17" s="477"/>
      <c r="K17" s="477"/>
      <c r="L17" s="477"/>
      <c r="M17" s="467">
        <v>25824480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4416488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1237177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7387823</v>
      </c>
    </row>
    <row r="23" spans="1:14" ht="13.5" customHeight="1" thickBot="1" x14ac:dyDescent="0.25">
      <c r="A23" s="1736" t="s">
        <v>643</v>
      </c>
      <c r="B23" s="1741"/>
      <c r="C23" s="468"/>
      <c r="D23" s="468"/>
      <c r="E23" s="468"/>
      <c r="F23" s="468"/>
      <c r="G23" s="468"/>
      <c r="H23" s="468"/>
      <c r="I23" s="468"/>
      <c r="J23" s="468"/>
      <c r="K23" s="468"/>
      <c r="L23" s="468"/>
      <c r="M23" s="1688">
        <f>SUM(M15:M22)</f>
        <v>30460834</v>
      </c>
      <c r="N23" s="1688">
        <f>SUM(N21:N22)</f>
        <v>8625000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v>231945</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3238</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1000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151796</v>
      </c>
      <c r="M33" s="468"/>
      <c r="N33" s="469"/>
    </row>
    <row r="34" spans="1:14" ht="13.5" customHeight="1" thickBot="1" x14ac:dyDescent="0.25">
      <c r="A34" s="1738" t="s">
        <v>654</v>
      </c>
      <c r="B34" s="1739"/>
      <c r="C34" s="1740">
        <f>SUM(C25:C33)</f>
        <v>236183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151796</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8625000</v>
      </c>
    </row>
    <row r="37" spans="1:14" ht="13.5" thickBot="1" x14ac:dyDescent="0.25">
      <c r="A37" s="1736" t="s">
        <v>653</v>
      </c>
      <c r="B37" s="1741"/>
      <c r="C37" s="477"/>
      <c r="D37" s="477"/>
      <c r="E37" s="477"/>
      <c r="F37" s="477"/>
      <c r="G37" s="477"/>
      <c r="H37" s="477"/>
      <c r="I37" s="477"/>
      <c r="J37" s="477"/>
      <c r="K37" s="477"/>
      <c r="L37" s="480"/>
      <c r="M37" s="468"/>
      <c r="N37" s="1688">
        <f>SUM(N36:N36)</f>
        <v>8625000</v>
      </c>
    </row>
    <row r="38" spans="1:14" s="329" customFormat="1" ht="13.5" customHeight="1" thickTop="1" x14ac:dyDescent="0.2">
      <c r="A38" s="496" t="s">
        <v>420</v>
      </c>
      <c r="B38" s="483">
        <v>714</v>
      </c>
      <c r="C38" s="466"/>
      <c r="D38" s="466"/>
      <c r="E38" s="466"/>
      <c r="F38" s="466"/>
      <c r="G38" s="466">
        <v>87520</v>
      </c>
      <c r="H38" s="466"/>
      <c r="I38" s="466"/>
      <c r="J38" s="467"/>
      <c r="K38" s="466"/>
      <c r="L38" s="481"/>
      <c r="M38" s="497"/>
      <c r="N38" s="497"/>
    </row>
    <row r="39" spans="1:14" s="329" customFormat="1" ht="13.5" customHeight="1" x14ac:dyDescent="0.2">
      <c r="A39" s="496" t="s">
        <v>342</v>
      </c>
      <c r="B39" s="483">
        <v>730</v>
      </c>
      <c r="C39" s="466">
        <v>3272318</v>
      </c>
      <c r="D39" s="466">
        <v>1898516</v>
      </c>
      <c r="E39" s="466">
        <v>1237177</v>
      </c>
      <c r="F39" s="466">
        <v>1318224</v>
      </c>
      <c r="G39" s="466">
        <v>126607</v>
      </c>
      <c r="H39" s="466"/>
      <c r="I39" s="466">
        <v>425197</v>
      </c>
      <c r="J39" s="467">
        <v>261246</v>
      </c>
      <c r="K39" s="466">
        <v>34096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30460834</v>
      </c>
      <c r="N40" s="497"/>
    </row>
    <row r="41" spans="1:14" ht="13.5" customHeight="1" thickBot="1" x14ac:dyDescent="0.25">
      <c r="A41" s="1736" t="s">
        <v>655</v>
      </c>
      <c r="B41" s="1706"/>
      <c r="C41" s="1688">
        <f>(SUM(C34,C37,C38,C39))</f>
        <v>3508501</v>
      </c>
      <c r="D41" s="1688">
        <f t="shared" ref="D41:L41" si="2">SUM(D34,D37,D38:D39)</f>
        <v>1898516</v>
      </c>
      <c r="E41" s="1688">
        <f t="shared" si="2"/>
        <v>1237177</v>
      </c>
      <c r="F41" s="1688">
        <f t="shared" si="2"/>
        <v>1318224</v>
      </c>
      <c r="G41" s="1688">
        <f t="shared" si="2"/>
        <v>214127</v>
      </c>
      <c r="H41" s="1688">
        <f t="shared" si="2"/>
        <v>0</v>
      </c>
      <c r="I41" s="1688">
        <f t="shared" si="2"/>
        <v>425197</v>
      </c>
      <c r="J41" s="1688">
        <f t="shared" si="2"/>
        <v>261246</v>
      </c>
      <c r="K41" s="1688">
        <f t="shared" si="2"/>
        <v>34096</v>
      </c>
      <c r="L41" s="1688">
        <f t="shared" si="2"/>
        <v>151796</v>
      </c>
      <c r="M41" s="1688">
        <f>SUM(M40)</f>
        <v>30460834</v>
      </c>
      <c r="N41" s="1688">
        <f>SUM(N37)</f>
        <v>8625000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&amp;L&amp;8Print Date:  &amp;D
&amp;F&amp;CSee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selection activeCell="C13" sqref="C13:K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5906527</v>
      </c>
      <c r="D4" s="1742">
        <f>'Revenues 9-14'!D109</f>
        <v>1237755</v>
      </c>
      <c r="E4" s="1742">
        <f>'Revenues 9-14'!E109</f>
        <v>1772275</v>
      </c>
      <c r="F4" s="1742">
        <f>'Revenues 9-14'!F109</f>
        <v>387101</v>
      </c>
      <c r="G4" s="1742">
        <f>'Revenues 9-14'!G109</f>
        <v>339894</v>
      </c>
      <c r="H4" s="1742">
        <f>'Revenues 9-14'!H109</f>
        <v>0</v>
      </c>
      <c r="I4" s="1742">
        <f>'Revenues 9-14'!I109</f>
        <v>11529</v>
      </c>
      <c r="J4" s="1742">
        <f>'Revenues 9-14'!J109</f>
        <v>107619</v>
      </c>
      <c r="K4" s="1742">
        <f>'Revenues 9-14'!K109</f>
        <v>1246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797376</v>
      </c>
      <c r="D6" s="1743">
        <f>'Revenues 9-14'!D170</f>
        <v>75000</v>
      </c>
      <c r="E6" s="1743">
        <f>'Revenues 9-14'!E170</f>
        <v>0</v>
      </c>
      <c r="F6" s="1743">
        <f>'Revenues 9-14'!F170</f>
        <v>428924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501722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7205625</v>
      </c>
      <c r="D8" s="1688">
        <f t="shared" ref="D8:K8" si="0">SUM(D4:D7)</f>
        <v>1312755</v>
      </c>
      <c r="E8" s="1688">
        <f t="shared" si="0"/>
        <v>1772275</v>
      </c>
      <c r="F8" s="1688">
        <f t="shared" si="0"/>
        <v>816025</v>
      </c>
      <c r="G8" s="1688">
        <f t="shared" si="0"/>
        <v>339894</v>
      </c>
      <c r="H8" s="1688">
        <f t="shared" si="0"/>
        <v>0</v>
      </c>
      <c r="I8" s="1688">
        <f t="shared" si="0"/>
        <v>11529</v>
      </c>
      <c r="J8" s="1688">
        <f t="shared" si="0"/>
        <v>107619</v>
      </c>
      <c r="K8" s="1688">
        <f t="shared" si="0"/>
        <v>1246</v>
      </c>
      <c r="L8" s="347"/>
    </row>
    <row r="9" spans="1:13" ht="15.75" thickTop="1" x14ac:dyDescent="0.2">
      <c r="A9" s="514" t="s">
        <v>1653</v>
      </c>
      <c r="B9" s="515">
        <v>3998</v>
      </c>
      <c r="C9" s="481">
        <v>3026113</v>
      </c>
      <c r="D9" s="516"/>
      <c r="E9" s="481"/>
      <c r="F9" s="481"/>
      <c r="G9" s="517"/>
      <c r="H9" s="481"/>
      <c r="I9" s="509" t="s">
        <v>1169</v>
      </c>
      <c r="J9" s="478"/>
      <c r="K9" s="481"/>
      <c r="L9" s="347"/>
    </row>
    <row r="10" spans="1:13" s="519" customFormat="1" ht="13.5" thickBot="1" x14ac:dyDescent="0.25">
      <c r="A10" s="1736" t="s">
        <v>1173</v>
      </c>
      <c r="B10" s="1709"/>
      <c r="C10" s="1688">
        <f>SUM(C8:C9)</f>
        <v>10231738</v>
      </c>
      <c r="D10" s="1688">
        <f t="shared" ref="D10:K10" si="1">SUM(D8:D9)</f>
        <v>1312755</v>
      </c>
      <c r="E10" s="1688">
        <f t="shared" si="1"/>
        <v>1772275</v>
      </c>
      <c r="F10" s="1688">
        <f t="shared" si="1"/>
        <v>816025</v>
      </c>
      <c r="G10" s="1688">
        <f t="shared" si="1"/>
        <v>339894</v>
      </c>
      <c r="H10" s="1688">
        <f t="shared" si="1"/>
        <v>0</v>
      </c>
      <c r="I10" s="1688">
        <f t="shared" si="1"/>
        <v>11529</v>
      </c>
      <c r="J10" s="1688">
        <f t="shared" si="1"/>
        <v>107619</v>
      </c>
      <c r="K10" s="1688">
        <f t="shared" si="1"/>
        <v>1246</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4765057</v>
      </c>
      <c r="D12" s="520" t="s">
        <v>1169</v>
      </c>
      <c r="E12" s="468" t="s">
        <v>1169</v>
      </c>
      <c r="F12" s="468" t="s">
        <v>1169</v>
      </c>
      <c r="G12" s="1742">
        <f>'Expenditures 15-22'!K229</f>
        <v>96370</v>
      </c>
      <c r="H12" s="521"/>
      <c r="I12" s="468" t="s">
        <v>1169</v>
      </c>
      <c r="J12" s="468" t="s">
        <v>1169</v>
      </c>
      <c r="K12" s="521" t="s">
        <v>1169</v>
      </c>
      <c r="L12" s="347"/>
    </row>
    <row r="13" spans="1:13" ht="15.75" customHeight="1" x14ac:dyDescent="0.2">
      <c r="A13" s="1576" t="s">
        <v>457</v>
      </c>
      <c r="B13" s="1578">
        <v>2000</v>
      </c>
      <c r="C13" s="1743">
        <f>'Expenditures 15-22'!K74</f>
        <v>2497780</v>
      </c>
      <c r="D13" s="1743">
        <f>'Expenditures 15-22'!K129</f>
        <v>1153975</v>
      </c>
      <c r="E13" s="469" t="s">
        <v>1169</v>
      </c>
      <c r="F13" s="1743">
        <f>'Expenditures 15-22'!K184</f>
        <v>736087</v>
      </c>
      <c r="G13" s="1743">
        <f>'Expenditures 15-22'!K279</f>
        <v>221020</v>
      </c>
      <c r="H13" s="1743">
        <f>'Expenditures 15-22'!K303</f>
        <v>0</v>
      </c>
      <c r="I13" s="468" t="s">
        <v>1169</v>
      </c>
      <c r="J13" s="1743">
        <f>'Expenditures 15-22'!K330</f>
        <v>116234</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168191</v>
      </c>
      <c r="D15" s="1743">
        <f>'Expenditures 15-22'!K139</f>
        <v>1983</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1817</v>
      </c>
      <c r="E16" s="1743">
        <f>'Expenditures 15-22'!K172</f>
        <v>1756985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7431028</v>
      </c>
      <c r="D17" s="1688">
        <f t="shared" si="2"/>
        <v>1157775</v>
      </c>
      <c r="E17" s="1688">
        <f t="shared" si="2"/>
        <v>1756985</v>
      </c>
      <c r="F17" s="1688">
        <f t="shared" si="2"/>
        <v>736087</v>
      </c>
      <c r="G17" s="1688">
        <f t="shared" si="2"/>
        <v>317390</v>
      </c>
      <c r="H17" s="1688">
        <f t="shared" si="2"/>
        <v>0</v>
      </c>
      <c r="I17" s="468"/>
      <c r="J17" s="1688">
        <f>SUM(J12:J16)</f>
        <v>116234</v>
      </c>
      <c r="K17" s="1688">
        <f>SUM(K12:K16)</f>
        <v>0</v>
      </c>
      <c r="L17" s="347"/>
    </row>
    <row r="18" spans="1:12" ht="15" customHeight="1" thickTop="1" x14ac:dyDescent="0.2">
      <c r="A18" s="1744" t="s">
        <v>1654</v>
      </c>
      <c r="B18" s="1745">
        <v>4180</v>
      </c>
      <c r="C18" s="1742">
        <f t="shared" ref="C18:H18" si="3">C9</f>
        <v>3026113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10457141</v>
      </c>
      <c r="D19" s="1688">
        <f t="shared" si="4"/>
        <v>1157775</v>
      </c>
      <c r="E19" s="1688">
        <f t="shared" si="4"/>
        <v>1756985</v>
      </c>
      <c r="F19" s="1688">
        <f t="shared" si="4"/>
        <v>736087</v>
      </c>
      <c r="G19" s="1688">
        <f t="shared" si="4"/>
        <v>317390</v>
      </c>
      <c r="H19" s="1688">
        <f t="shared" si="4"/>
        <v>0</v>
      </c>
      <c r="I19" s="468"/>
      <c r="J19" s="1688">
        <f>SUM(J17:J18)</f>
        <v>116234</v>
      </c>
      <c r="K19" s="1688">
        <f>SUM(K17:K18)</f>
        <v>0</v>
      </c>
      <c r="L19" s="347"/>
    </row>
    <row r="20" spans="1:12" ht="16.5" thickTop="1" thickBot="1" x14ac:dyDescent="0.25">
      <c r="A20" s="2131" t="s">
        <v>1655</v>
      </c>
      <c r="B20" s="2132"/>
      <c r="C20" s="1746">
        <f>C8-C17</f>
        <v>-225403</v>
      </c>
      <c r="D20" s="1746">
        <f t="shared" ref="D20:K20" si="5">D8-D17</f>
        <v>154980</v>
      </c>
      <c r="E20" s="1746">
        <f t="shared" si="5"/>
        <v>15290</v>
      </c>
      <c r="F20" s="1746">
        <f t="shared" si="5"/>
        <v>79938</v>
      </c>
      <c r="G20" s="1746">
        <f t="shared" si="5"/>
        <v>22504</v>
      </c>
      <c r="H20" s="1746">
        <f t="shared" si="5"/>
        <v>0</v>
      </c>
      <c r="I20" s="1746">
        <f t="shared" si="5"/>
        <v>11529</v>
      </c>
      <c r="J20" s="1746">
        <f t="shared" si="5"/>
        <v>-8615</v>
      </c>
      <c r="K20" s="1746">
        <f t="shared" si="5"/>
        <v>1246</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v>3215000</v>
      </c>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v>2551</v>
      </c>
      <c r="F35" s="467"/>
      <c r="G35" s="480"/>
      <c r="H35" s="467"/>
      <c r="I35" s="467"/>
      <c r="J35" s="467"/>
      <c r="K35" s="467"/>
      <c r="L35" s="524"/>
    </row>
    <row r="36" spans="1:12" s="485" customFormat="1" ht="15" x14ac:dyDescent="0.2">
      <c r="A36" s="1489" t="s">
        <v>1658</v>
      </c>
      <c r="B36" s="525">
        <v>7300</v>
      </c>
      <c r="C36" s="467"/>
      <c r="D36" s="467">
        <v>11000</v>
      </c>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0</v>
      </c>
      <c r="D44" s="1703">
        <f t="shared" ref="D44:K44" si="6">SUM(D24:D43)</f>
        <v>11000</v>
      </c>
      <c r="E44" s="1703">
        <f t="shared" si="6"/>
        <v>3217551</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52898</v>
      </c>
      <c r="D75" s="531"/>
      <c r="E75" s="530">
        <v>3215000</v>
      </c>
      <c r="F75" s="532"/>
      <c r="G75" s="532"/>
      <c r="H75" s="532"/>
      <c r="I75" s="530"/>
      <c r="J75" s="530"/>
      <c r="K75" s="532"/>
      <c r="L75" s="524"/>
    </row>
    <row r="76" spans="1:12" s="485" customFormat="1" ht="14.25" thickTop="1" thickBot="1" x14ac:dyDescent="0.25">
      <c r="A76" s="2121" t="s">
        <v>440</v>
      </c>
      <c r="B76" s="2122"/>
      <c r="C76" s="1703">
        <f t="shared" ref="C76:K76" si="7">SUM(C47:C75)</f>
        <v>52898</v>
      </c>
      <c r="D76" s="1703">
        <f t="shared" si="7"/>
        <v>0</v>
      </c>
      <c r="E76" s="1703">
        <f t="shared" si="7"/>
        <v>3215000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-52898</v>
      </c>
      <c r="D77" s="1703">
        <f t="shared" si="8"/>
        <v>11000</v>
      </c>
      <c r="E77" s="1703">
        <f t="shared" si="8"/>
        <v>2551</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-278301</v>
      </c>
      <c r="D78" s="1702">
        <f t="shared" si="9"/>
        <v>165980</v>
      </c>
      <c r="E78" s="1702">
        <f t="shared" si="9"/>
        <v>17841</v>
      </c>
      <c r="F78" s="1702">
        <f t="shared" si="9"/>
        <v>79938</v>
      </c>
      <c r="G78" s="1702">
        <f t="shared" si="9"/>
        <v>22504</v>
      </c>
      <c r="H78" s="1702">
        <f t="shared" si="9"/>
        <v>0</v>
      </c>
      <c r="I78" s="1702">
        <f t="shared" si="9"/>
        <v>11529</v>
      </c>
      <c r="J78" s="1702">
        <f t="shared" si="9"/>
        <v>-8615</v>
      </c>
      <c r="K78" s="1702">
        <f t="shared" si="9"/>
        <v>1246</v>
      </c>
      <c r="L78" s="533"/>
    </row>
    <row r="79" spans="1:12" ht="13.5" thickTop="1" x14ac:dyDescent="0.2">
      <c r="A79" s="1494" t="s">
        <v>1949</v>
      </c>
      <c r="B79" s="534"/>
      <c r="C79" s="478">
        <v>3550619</v>
      </c>
      <c r="D79" s="535">
        <v>1732536</v>
      </c>
      <c r="E79" s="535">
        <v>1219336</v>
      </c>
      <c r="F79" s="535">
        <v>1238286</v>
      </c>
      <c r="G79" s="535">
        <v>191623</v>
      </c>
      <c r="H79" s="535"/>
      <c r="I79" s="535">
        <v>413668</v>
      </c>
      <c r="J79" s="535">
        <v>269861</v>
      </c>
      <c r="K79" s="535">
        <v>32850</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1950</v>
      </c>
      <c r="B81" s="2126"/>
      <c r="C81" s="1688">
        <f>(SUM(C78:C80))</f>
        <v>3272318</v>
      </c>
      <c r="D81" s="1688">
        <f>SUM(D78:D80)</f>
        <v>1898516</v>
      </c>
      <c r="E81" s="1688">
        <f t="shared" ref="E81:K81" si="10">SUM(E78:E80)</f>
        <v>1237177</v>
      </c>
      <c r="F81" s="1688">
        <f t="shared" si="10"/>
        <v>1318224</v>
      </c>
      <c r="G81" s="1688">
        <f t="shared" si="10"/>
        <v>214127</v>
      </c>
      <c r="H81" s="1688">
        <f t="shared" si="10"/>
        <v>0</v>
      </c>
      <c r="I81" s="1688">
        <f t="shared" si="10"/>
        <v>425197</v>
      </c>
      <c r="J81" s="1688">
        <f t="shared" si="10"/>
        <v>261246</v>
      </c>
      <c r="K81" s="1688">
        <f t="shared" si="10"/>
        <v>34096</v>
      </c>
      <c r="L81" s="347"/>
    </row>
    <row r="82" spans="1:12" ht="0.75" customHeight="1" thickTop="1" thickBot="1" x14ac:dyDescent="0.25">
      <c r="A82" s="536" t="s">
        <v>343</v>
      </c>
      <c r="B82" s="537"/>
      <c r="C82" s="538">
        <f>(C81-C79)</f>
        <v>-278301</v>
      </c>
      <c r="D82" s="538">
        <f t="shared" ref="D82:K82" si="11">(D81-D79)</f>
        <v>165980</v>
      </c>
      <c r="E82" s="538">
        <f t="shared" si="11"/>
        <v>17841</v>
      </c>
      <c r="F82" s="538">
        <f t="shared" si="11"/>
        <v>79938</v>
      </c>
      <c r="G82" s="538">
        <f t="shared" si="11"/>
        <v>22504</v>
      </c>
      <c r="H82" s="538">
        <f t="shared" si="11"/>
        <v>0</v>
      </c>
      <c r="I82" s="538">
        <f t="shared" si="11"/>
        <v>11529</v>
      </c>
      <c r="J82" s="538">
        <f t="shared" si="11"/>
        <v>-8615</v>
      </c>
      <c r="K82" s="538">
        <f t="shared" si="11"/>
        <v>1246</v>
      </c>
    </row>
    <row r="83" spans="1:12" ht="14.25" hidden="1" thickTop="1" thickBot="1" x14ac:dyDescent="0.25">
      <c r="A83" s="539" t="s">
        <v>344</v>
      </c>
      <c r="B83" s="464"/>
      <c r="C83" s="540">
        <f>C82/C81</f>
        <v>-8.5047052273037035E-2</v>
      </c>
      <c r="D83" s="540">
        <f t="shared" ref="D83:K83" si="12">D82/D81</f>
        <v>8.7426179184162789E-2</v>
      </c>
      <c r="E83" s="540">
        <f t="shared" si="12"/>
        <v>1.4420733654117397E-2</v>
      </c>
      <c r="F83" s="540">
        <f t="shared" si="12"/>
        <v>6.0640680187889158E-2</v>
      </c>
      <c r="G83" s="540">
        <f t="shared" si="12"/>
        <v>0.10509650814703424</v>
      </c>
      <c r="H83" s="540" t="e">
        <f t="shared" si="12"/>
        <v>#DIV/0!</v>
      </c>
      <c r="I83" s="540">
        <f t="shared" si="12"/>
        <v>2.7114490459716319E-2</v>
      </c>
      <c r="J83" s="540">
        <f t="shared" si="12"/>
        <v>-3.2976581459620437E-2</v>
      </c>
      <c r="K83" s="540">
        <f t="shared" si="12"/>
        <v>3.6543876114500232E-2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2019 </oddHeader>
    <oddFooter>&amp;L&amp;8Print Date: &amp;D
&amp;F&amp;CSee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selection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4836128</v>
      </c>
      <c r="D5" s="481">
        <v>1027683</v>
      </c>
      <c r="E5" s="466">
        <v>1753140</v>
      </c>
      <c r="F5" s="548">
        <v>369493</v>
      </c>
      <c r="G5" s="466">
        <v>164868</v>
      </c>
      <c r="H5" s="466"/>
      <c r="I5" s="466"/>
      <c r="J5" s="467">
        <v>105050</v>
      </c>
      <c r="K5" s="466">
        <v>908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576232</v>
      </c>
      <c r="D7" s="466"/>
      <c r="E7" s="468"/>
      <c r="F7" s="467"/>
      <c r="G7" s="467"/>
      <c r="H7" s="467"/>
      <c r="I7" s="468"/>
      <c r="J7" s="468"/>
      <c r="K7" s="468"/>
    </row>
    <row r="8" spans="1:12" x14ac:dyDescent="0.2">
      <c r="A8" s="463" t="s">
        <v>413</v>
      </c>
      <c r="B8" s="470">
        <v>1150</v>
      </c>
      <c r="C8" s="475"/>
      <c r="D8" s="475"/>
      <c r="E8" s="477"/>
      <c r="F8" s="477"/>
      <c r="G8" s="481">
        <v>163319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5412360</v>
      </c>
      <c r="D12" s="1707">
        <f t="shared" si="0"/>
        <v>1027683</v>
      </c>
      <c r="E12" s="1707">
        <f t="shared" si="0"/>
        <v>1753140</v>
      </c>
      <c r="F12" s="1707">
        <f t="shared" si="0"/>
        <v>369493</v>
      </c>
      <c r="G12" s="1707">
        <f t="shared" si="0"/>
        <v>328187</v>
      </c>
      <c r="H12" s="1707">
        <f t="shared" si="0"/>
        <v>0</v>
      </c>
      <c r="I12" s="1707">
        <f t="shared" si="0"/>
        <v>0</v>
      </c>
      <c r="J12" s="1707">
        <f t="shared" si="0"/>
        <v>105050</v>
      </c>
      <c r="K12" s="1688">
        <f t="shared" si="0"/>
        <v>908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147141</v>
      </c>
      <c r="D16" s="466"/>
      <c r="E16" s="466"/>
      <c r="F16" s="466"/>
      <c r="G16" s="466">
        <v>10000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147141</v>
      </c>
      <c r="D18" s="1710">
        <f t="shared" ref="D18:K18" si="1">SUM(D14:D17)</f>
        <v>0</v>
      </c>
      <c r="E18" s="1710">
        <f t="shared" si="1"/>
        <v>0</v>
      </c>
      <c r="F18" s="1710">
        <f t="shared" si="1"/>
        <v>0</v>
      </c>
      <c r="G18" s="1710">
        <f t="shared" si="1"/>
        <v>10000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17580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17580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2364</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2364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81143</v>
      </c>
      <c r="D65" s="466">
        <v>28621</v>
      </c>
      <c r="E65" s="466">
        <v>19135</v>
      </c>
      <c r="F65" s="467">
        <v>14480</v>
      </c>
      <c r="G65" s="466">
        <v>1707</v>
      </c>
      <c r="H65" s="466"/>
      <c r="I65" s="466">
        <v>11529</v>
      </c>
      <c r="J65" s="467">
        <v>2569</v>
      </c>
      <c r="K65" s="466">
        <v>338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81143</v>
      </c>
      <c r="D67" s="1688">
        <f t="shared" ref="D67:K67" si="2">SUM(D65:D66)</f>
        <v>28621</v>
      </c>
      <c r="E67" s="1688">
        <f t="shared" si="2"/>
        <v>19135</v>
      </c>
      <c r="F67" s="1688">
        <f t="shared" si="2"/>
        <v>14480</v>
      </c>
      <c r="G67" s="1688">
        <f t="shared" si="2"/>
        <v>1707</v>
      </c>
      <c r="H67" s="1688">
        <f t="shared" si="2"/>
        <v>0</v>
      </c>
      <c r="I67" s="1688">
        <f t="shared" si="2"/>
        <v>11529</v>
      </c>
      <c r="J67" s="1688">
        <f t="shared" si="2"/>
        <v>2569</v>
      </c>
      <c r="K67" s="1688">
        <f t="shared" si="2"/>
        <v>338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63260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20379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52</v>
      </c>
      <c r="D73" s="468"/>
      <c r="E73" s="468"/>
      <c r="F73" s="468"/>
      <c r="G73" s="468"/>
      <c r="H73" s="468"/>
      <c r="I73" s="468"/>
      <c r="J73" s="468"/>
      <c r="K73" s="468"/>
    </row>
    <row r="74" spans="1:11" ht="12.75" customHeight="1" x14ac:dyDescent="0.2">
      <c r="A74" s="463" t="s">
        <v>25</v>
      </c>
      <c r="B74" s="470">
        <v>1690</v>
      </c>
      <c r="C74" s="551">
        <v>2621</v>
      </c>
      <c r="D74" s="468"/>
      <c r="E74" s="468"/>
      <c r="F74" s="468"/>
      <c r="G74" s="468"/>
      <c r="H74" s="468"/>
      <c r="I74" s="468"/>
      <c r="J74" s="468"/>
      <c r="K74" s="468"/>
    </row>
    <row r="75" spans="1:11" ht="12.75" customHeight="1" thickBot="1" x14ac:dyDescent="0.25">
      <c r="A75" s="1708" t="s">
        <v>548</v>
      </c>
      <c r="B75" s="1709"/>
      <c r="C75" s="1688">
        <f>SUM(C69:C74)</f>
        <v>86312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9598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60994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9388</v>
      </c>
      <c r="D81" s="466"/>
      <c r="E81" s="468"/>
      <c r="F81" s="468"/>
      <c r="G81" s="468"/>
      <c r="H81" s="468"/>
      <c r="I81" s="468"/>
      <c r="J81" s="468"/>
      <c r="K81" s="468"/>
    </row>
    <row r="82" spans="1:11" ht="12.75" customHeight="1" thickBot="1" x14ac:dyDescent="0.25">
      <c r="A82" s="1708" t="s">
        <v>241</v>
      </c>
      <c r="B82" s="1709"/>
      <c r="C82" s="1707">
        <f>SUM(C77:C81)</f>
        <v>79980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54931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54931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2565</v>
      </c>
      <c r="E95" s="521"/>
      <c r="F95" s="521"/>
      <c r="G95" s="521"/>
      <c r="H95" s="521"/>
      <c r="I95" s="521"/>
      <c r="J95" s="521"/>
      <c r="K95" s="521"/>
    </row>
    <row r="96" spans="1:11" ht="12.75" customHeight="1" x14ac:dyDescent="0.2">
      <c r="A96" s="463" t="s">
        <v>391</v>
      </c>
      <c r="B96" s="470">
        <v>1920</v>
      </c>
      <c r="C96" s="551">
        <v>9900</v>
      </c>
      <c r="D96" s="551">
        <v>100000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208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6590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1220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9162</v>
      </c>
      <c r="D107" s="466">
        <v>78886</v>
      </c>
      <c r="E107" s="466"/>
      <c r="F107" s="466">
        <v>764</v>
      </c>
      <c r="G107" s="466"/>
      <c r="H107" s="466"/>
      <c r="I107" s="466"/>
      <c r="J107" s="467"/>
      <c r="K107" s="466"/>
    </row>
    <row r="108" spans="1:12" ht="12.75" customHeight="1" thickBot="1" x14ac:dyDescent="0.25">
      <c r="A108" s="1708" t="s">
        <v>487</v>
      </c>
      <c r="B108" s="1712"/>
      <c r="C108" s="1707">
        <f>SUM(C95:C107)</f>
        <v>27080</v>
      </c>
      <c r="D108" s="1707">
        <f t="shared" ref="D108:K108" si="3">SUM(D95:D107)</f>
        <v>181451</v>
      </c>
      <c r="E108" s="1707">
        <f t="shared" si="3"/>
        <v>0</v>
      </c>
      <c r="F108" s="1707">
        <f t="shared" si="3"/>
        <v>764</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5906527</v>
      </c>
      <c r="D109" s="1715">
        <f t="shared" si="4"/>
        <v>1237755</v>
      </c>
      <c r="E109" s="1715">
        <f t="shared" si="4"/>
        <v>1772275</v>
      </c>
      <c r="F109" s="1715">
        <f t="shared" si="4"/>
        <v>387101</v>
      </c>
      <c r="G109" s="1715">
        <f t="shared" si="4"/>
        <v>339894</v>
      </c>
      <c r="H109" s="1715">
        <f t="shared" si="4"/>
        <v>0</v>
      </c>
      <c r="I109" s="1715">
        <f t="shared" si="4"/>
        <v>11529</v>
      </c>
      <c r="J109" s="1715">
        <f t="shared" si="4"/>
        <v>107619</v>
      </c>
      <c r="K109" s="1702">
        <f t="shared" si="4"/>
        <v>1246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630267</v>
      </c>
      <c r="D117" s="481">
        <v>75000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630267</v>
      </c>
      <c r="D122" s="1707">
        <f t="shared" si="5"/>
        <v>75000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99216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20854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120070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6000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30926</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36926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821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8363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216508</v>
      </c>
      <c r="G152" s="467"/>
      <c r="H152" s="468"/>
      <c r="I152" s="468"/>
      <c r="J152" s="468"/>
      <c r="K152" s="468"/>
    </row>
    <row r="153" spans="1:11" ht="12.75" customHeight="1" x14ac:dyDescent="0.2">
      <c r="A153" s="463" t="s">
        <v>1057</v>
      </c>
      <c r="B153" s="562">
        <v>3510</v>
      </c>
      <c r="C153" s="551"/>
      <c r="D153" s="466"/>
      <c r="E153" s="561"/>
      <c r="F153" s="466">
        <v>212416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428924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929</v>
      </c>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167109</v>
      </c>
      <c r="D169" s="1722">
        <f t="shared" si="6"/>
        <v>0</v>
      </c>
      <c r="E169" s="1722">
        <f t="shared" si="6"/>
        <v>0</v>
      </c>
      <c r="F169" s="1722">
        <f t="shared" si="6"/>
        <v>428924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797376</v>
      </c>
      <c r="D170" s="1715">
        <f t="shared" si="7"/>
        <v>75000</v>
      </c>
      <c r="E170" s="1715">
        <f t="shared" si="7"/>
        <v>0</v>
      </c>
      <c r="F170" s="1715">
        <f t="shared" si="7"/>
        <v>428924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58387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58387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141053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141053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11516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11516</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4290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213180</v>
      </c>
      <c r="D213" s="466"/>
      <c r="E213" s="468"/>
      <c r="F213" s="466"/>
      <c r="G213" s="466"/>
      <c r="H213" s="468"/>
      <c r="I213" s="468"/>
      <c r="J213" s="468"/>
      <c r="K213" s="468"/>
    </row>
    <row r="214" spans="1:11" ht="12.75" customHeight="1" x14ac:dyDescent="0.2">
      <c r="A214" s="463" t="s">
        <v>1054</v>
      </c>
      <c r="B214" s="470">
        <v>4625</v>
      </c>
      <c r="C214" s="551">
        <v>166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217636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17584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12543</v>
      </c>
      <c r="D263" s="576"/>
      <c r="E263" s="468"/>
      <c r="F263" s="576"/>
      <c r="G263" s="576"/>
      <c r="H263" s="468"/>
      <c r="I263" s="468"/>
      <c r="J263" s="468"/>
      <c r="K263" s="468"/>
    </row>
    <row r="264" spans="1:11" ht="12.75" customHeight="1" thickTop="1" thickBot="1" x14ac:dyDescent="0.25">
      <c r="A264" s="463" t="s">
        <v>377</v>
      </c>
      <c r="B264" s="470">
        <v>4992</v>
      </c>
      <c r="C264" s="575">
        <v>43003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501722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501722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7205625</v>
      </c>
      <c r="D268" s="1715">
        <f t="shared" si="12"/>
        <v>1312755</v>
      </c>
      <c r="E268" s="1715">
        <f t="shared" si="12"/>
        <v>1772275</v>
      </c>
      <c r="F268" s="1715">
        <f t="shared" si="12"/>
        <v>816025</v>
      </c>
      <c r="G268" s="1715">
        <f t="shared" si="12"/>
        <v>339894</v>
      </c>
      <c r="H268" s="1715">
        <f t="shared" si="12"/>
        <v>0</v>
      </c>
      <c r="I268" s="1715">
        <f t="shared" si="12"/>
        <v>11529</v>
      </c>
      <c r="J268" s="1715">
        <f t="shared" si="12"/>
        <v>107619</v>
      </c>
      <c r="K268" s="1702">
        <f t="shared" si="12"/>
        <v>1246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&amp;C&amp;"Arial,Bold"&amp;9STATEMENT OF REVENUES RECEIVED
FOR THE YEAR ENDING JUNE 30, 2019</oddHeader>
    <oddFooter>&amp;L&amp;8Printed Date: &amp;D
&amp;F&amp;CSee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topLeftCell="A155" colorId="8" zoomScale="110" zoomScaleNormal="110" workbookViewId="0">
      <selection activeCell="E171" sqref="E1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2327104</v>
      </c>
      <c r="D5" s="466">
        <v>528966</v>
      </c>
      <c r="E5" s="466">
        <v>46181</v>
      </c>
      <c r="F5" s="466">
        <v>84865</v>
      </c>
      <c r="G5" s="466">
        <v>7977</v>
      </c>
      <c r="H5" s="466">
        <v>767</v>
      </c>
      <c r="I5" s="467">
        <v>3475</v>
      </c>
      <c r="J5" s="467"/>
      <c r="K5" s="1671">
        <f>SUM(C5:J5)</f>
        <v>2999335</v>
      </c>
      <c r="L5" s="466">
        <v>2950345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646309</v>
      </c>
      <c r="D8" s="466">
        <v>150289</v>
      </c>
      <c r="E8" s="466">
        <v>1769</v>
      </c>
      <c r="F8" s="466">
        <v>6909</v>
      </c>
      <c r="G8" s="466"/>
      <c r="H8" s="466"/>
      <c r="I8" s="467"/>
      <c r="J8" s="467"/>
      <c r="K8" s="1671">
        <f t="shared" si="0"/>
        <v>805276</v>
      </c>
      <c r="L8" s="466">
        <v>904914</v>
      </c>
    </row>
    <row r="9" spans="1:14" x14ac:dyDescent="0.2">
      <c r="A9" s="1504" t="s">
        <v>721</v>
      </c>
      <c r="B9" s="614" t="s">
        <v>968</v>
      </c>
      <c r="C9" s="467">
        <v>115315</v>
      </c>
      <c r="D9" s="467">
        <v>19187</v>
      </c>
      <c r="E9" s="467"/>
      <c r="F9" s="467"/>
      <c r="G9" s="467"/>
      <c r="H9" s="467"/>
      <c r="I9" s="467"/>
      <c r="J9" s="467"/>
      <c r="K9" s="1671">
        <f t="shared" si="0"/>
        <v>134502</v>
      </c>
      <c r="L9" s="466">
        <v>120728</v>
      </c>
    </row>
    <row r="10" spans="1:14" x14ac:dyDescent="0.2">
      <c r="A10" s="1504" t="s">
        <v>722</v>
      </c>
      <c r="B10" s="614">
        <v>1250</v>
      </c>
      <c r="C10" s="466">
        <v>107844</v>
      </c>
      <c r="D10" s="466">
        <v>33551</v>
      </c>
      <c r="E10" s="466">
        <v>9000</v>
      </c>
      <c r="F10" s="466">
        <v>5714</v>
      </c>
      <c r="G10" s="466"/>
      <c r="H10" s="466"/>
      <c r="I10" s="467"/>
      <c r="J10" s="467"/>
      <c r="K10" s="1671">
        <f t="shared" si="0"/>
        <v>156109</v>
      </c>
      <c r="L10" s="466">
        <v>157177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115894</v>
      </c>
      <c r="D13" s="466">
        <v>35583</v>
      </c>
      <c r="E13" s="466">
        <v>10865</v>
      </c>
      <c r="F13" s="466">
        <v>5766</v>
      </c>
      <c r="G13" s="466"/>
      <c r="H13" s="466"/>
      <c r="I13" s="467">
        <v>7093</v>
      </c>
      <c r="J13" s="467"/>
      <c r="K13" s="1671">
        <f t="shared" si="0"/>
        <v>175201</v>
      </c>
      <c r="L13" s="466"/>
    </row>
    <row r="14" spans="1:14" x14ac:dyDescent="0.2">
      <c r="A14" s="1504" t="s">
        <v>963</v>
      </c>
      <c r="B14" s="614">
        <v>1500</v>
      </c>
      <c r="C14" s="466">
        <v>160855</v>
      </c>
      <c r="D14" s="466">
        <v>12403</v>
      </c>
      <c r="E14" s="466">
        <v>24096</v>
      </c>
      <c r="F14" s="466">
        <v>10943</v>
      </c>
      <c r="G14" s="466">
        <v>23823</v>
      </c>
      <c r="H14" s="466">
        <v>7743</v>
      </c>
      <c r="I14" s="467"/>
      <c r="J14" s="467"/>
      <c r="K14" s="1671">
        <f t="shared" si="0"/>
        <v>239863</v>
      </c>
      <c r="L14" s="466">
        <v>157474</v>
      </c>
    </row>
    <row r="15" spans="1:14" x14ac:dyDescent="0.2">
      <c r="A15" s="1504" t="s">
        <v>964</v>
      </c>
      <c r="B15" s="614">
        <v>1600</v>
      </c>
      <c r="C15" s="466">
        <v>10700</v>
      </c>
      <c r="D15" s="466">
        <v>1772</v>
      </c>
      <c r="E15" s="466"/>
      <c r="F15" s="466"/>
      <c r="G15" s="466"/>
      <c r="H15" s="466"/>
      <c r="I15" s="467"/>
      <c r="J15" s="467"/>
      <c r="K15" s="1671">
        <f t="shared" si="0"/>
        <v>12472</v>
      </c>
      <c r="L15" s="466">
        <v>227090</v>
      </c>
    </row>
    <row r="16" spans="1:14" x14ac:dyDescent="0.2">
      <c r="A16" s="1504" t="s">
        <v>987</v>
      </c>
      <c r="B16" s="614" t="s">
        <v>424</v>
      </c>
      <c r="C16" s="466"/>
      <c r="D16" s="466"/>
      <c r="E16" s="466"/>
      <c r="F16" s="466"/>
      <c r="G16" s="466"/>
      <c r="H16" s="466"/>
      <c r="I16" s="467"/>
      <c r="J16" s="467"/>
      <c r="K16" s="1671">
        <f t="shared" si="0"/>
        <v>0</v>
      </c>
      <c r="L16" s="466">
        <v>15120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v>235700</v>
      </c>
    </row>
    <row r="22" spans="1:12" x14ac:dyDescent="0.2">
      <c r="A22" s="1505" t="s">
        <v>740</v>
      </c>
      <c r="B22" s="602" t="s">
        <v>727</v>
      </c>
      <c r="C22" s="477"/>
      <c r="D22" s="477"/>
      <c r="E22" s="477"/>
      <c r="F22" s="477"/>
      <c r="G22" s="477"/>
      <c r="H22" s="474">
        <v>242299</v>
      </c>
      <c r="I22" s="616"/>
      <c r="J22" s="477"/>
      <c r="K22" s="1671">
        <f t="shared" si="0"/>
        <v>242299</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3484021</v>
      </c>
      <c r="D33" s="1670">
        <f t="shared" ref="D33:L33" si="1">SUM(D5:D32)</f>
        <v>781751</v>
      </c>
      <c r="E33" s="1670">
        <f t="shared" si="1"/>
        <v>91911</v>
      </c>
      <c r="F33" s="1670">
        <f t="shared" si="1"/>
        <v>114197</v>
      </c>
      <c r="G33" s="1670">
        <f t="shared" si="1"/>
        <v>31800</v>
      </c>
      <c r="H33" s="1670">
        <f t="shared" si="1"/>
        <v>250809</v>
      </c>
      <c r="I33" s="1670">
        <f t="shared" si="1"/>
        <v>10568</v>
      </c>
      <c r="J33" s="1670">
        <f t="shared" si="1"/>
        <v>0</v>
      </c>
      <c r="K33" s="1670">
        <f t="shared" si="1"/>
        <v>4765057</v>
      </c>
      <c r="L33" s="1670">
        <f t="shared" si="1"/>
        <v>4768548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100426</v>
      </c>
      <c r="D36" s="481">
        <v>21090</v>
      </c>
      <c r="E36" s="481">
        <v>141</v>
      </c>
      <c r="F36" s="481">
        <v>163</v>
      </c>
      <c r="G36" s="481"/>
      <c r="H36" s="481"/>
      <c r="I36" s="467"/>
      <c r="J36" s="467"/>
      <c r="K36" s="1671">
        <f t="shared" ref="K36:K41" si="2">SUM(C36:J36)</f>
        <v>121820</v>
      </c>
      <c r="L36" s="466">
        <v>123987</v>
      </c>
    </row>
    <row r="37" spans="1:14" x14ac:dyDescent="0.2">
      <c r="A37" s="1504" t="s">
        <v>1090</v>
      </c>
      <c r="B37" s="614">
        <v>2120</v>
      </c>
      <c r="C37" s="466">
        <v>53699</v>
      </c>
      <c r="D37" s="466">
        <v>16442</v>
      </c>
      <c r="E37" s="466"/>
      <c r="F37" s="466"/>
      <c r="G37" s="466"/>
      <c r="H37" s="466"/>
      <c r="I37" s="467"/>
      <c r="J37" s="467"/>
      <c r="K37" s="1671">
        <f t="shared" si="2"/>
        <v>70141</v>
      </c>
      <c r="L37" s="466">
        <v>63397</v>
      </c>
    </row>
    <row r="38" spans="1:14" x14ac:dyDescent="0.2">
      <c r="A38" s="1504" t="s">
        <v>198</v>
      </c>
      <c r="B38" s="614">
        <v>2130</v>
      </c>
      <c r="C38" s="466">
        <v>42590</v>
      </c>
      <c r="D38" s="466">
        <v>2566</v>
      </c>
      <c r="E38" s="466">
        <v>92587</v>
      </c>
      <c r="F38" s="466">
        <v>1596</v>
      </c>
      <c r="G38" s="466"/>
      <c r="H38" s="466"/>
      <c r="I38" s="467"/>
      <c r="J38" s="467"/>
      <c r="K38" s="1671">
        <f t="shared" si="2"/>
        <v>139339</v>
      </c>
      <c r="L38" s="466">
        <v>123493</v>
      </c>
    </row>
    <row r="39" spans="1:14" x14ac:dyDescent="0.2">
      <c r="A39" s="1504" t="s">
        <v>199</v>
      </c>
      <c r="B39" s="614">
        <v>2140</v>
      </c>
      <c r="C39" s="466">
        <v>47584</v>
      </c>
      <c r="D39" s="466">
        <v>14356</v>
      </c>
      <c r="E39" s="466">
        <v>76</v>
      </c>
      <c r="F39" s="466">
        <v>670</v>
      </c>
      <c r="G39" s="466"/>
      <c r="H39" s="466"/>
      <c r="I39" s="467"/>
      <c r="J39" s="467"/>
      <c r="K39" s="1671">
        <f t="shared" si="2"/>
        <v>62686</v>
      </c>
      <c r="L39" s="466">
        <v>59187</v>
      </c>
    </row>
    <row r="40" spans="1:14" x14ac:dyDescent="0.2">
      <c r="A40" s="1504" t="s">
        <v>200</v>
      </c>
      <c r="B40" s="614">
        <v>2150</v>
      </c>
      <c r="C40" s="466">
        <v>121534</v>
      </c>
      <c r="D40" s="466">
        <v>32920</v>
      </c>
      <c r="E40" s="466">
        <v>45326</v>
      </c>
      <c r="F40" s="466">
        <v>811</v>
      </c>
      <c r="G40" s="466"/>
      <c r="H40" s="466"/>
      <c r="I40" s="467"/>
      <c r="J40" s="467"/>
      <c r="K40" s="1671">
        <f t="shared" si="2"/>
        <v>200591</v>
      </c>
      <c r="L40" s="466">
        <v>201424</v>
      </c>
    </row>
    <row r="41" spans="1:14" x14ac:dyDescent="0.2">
      <c r="A41" s="1504" t="s">
        <v>1669</v>
      </c>
      <c r="B41" s="614">
        <v>2190</v>
      </c>
      <c r="C41" s="466">
        <v>10287</v>
      </c>
      <c r="D41" s="466">
        <v>1888</v>
      </c>
      <c r="E41" s="466"/>
      <c r="F41" s="466">
        <v>5331</v>
      </c>
      <c r="G41" s="466"/>
      <c r="H41" s="466"/>
      <c r="I41" s="467"/>
      <c r="J41" s="467"/>
      <c r="K41" s="1671">
        <f t="shared" si="2"/>
        <v>17506</v>
      </c>
      <c r="L41" s="466">
        <v>16868</v>
      </c>
    </row>
    <row r="42" spans="1:14" ht="12.75" customHeight="1" thickBot="1" x14ac:dyDescent="0.25">
      <c r="A42" s="1668" t="s">
        <v>560</v>
      </c>
      <c r="B42" s="1669" t="s">
        <v>716</v>
      </c>
      <c r="C42" s="1670">
        <f>SUM(C36:C41)</f>
        <v>376120</v>
      </c>
      <c r="D42" s="1670">
        <f t="shared" ref="D42:L42" si="3">SUM(D36:D41)</f>
        <v>89262</v>
      </c>
      <c r="E42" s="1670">
        <f t="shared" si="3"/>
        <v>138130</v>
      </c>
      <c r="F42" s="1670">
        <f t="shared" si="3"/>
        <v>8571</v>
      </c>
      <c r="G42" s="1670">
        <f t="shared" si="3"/>
        <v>0</v>
      </c>
      <c r="H42" s="1670">
        <f t="shared" si="3"/>
        <v>0</v>
      </c>
      <c r="I42" s="1670">
        <f t="shared" si="3"/>
        <v>0</v>
      </c>
      <c r="J42" s="1670">
        <f t="shared" si="3"/>
        <v>0</v>
      </c>
      <c r="K42" s="1670">
        <f t="shared" si="3"/>
        <v>612083</v>
      </c>
      <c r="L42" s="1670">
        <f t="shared" si="3"/>
        <v>588356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14010</v>
      </c>
      <c r="D44" s="481">
        <v>2114</v>
      </c>
      <c r="E44" s="481">
        <v>31773</v>
      </c>
      <c r="F44" s="481"/>
      <c r="G44" s="481"/>
      <c r="H44" s="481">
        <v>1305</v>
      </c>
      <c r="I44" s="467"/>
      <c r="J44" s="467"/>
      <c r="K44" s="1672">
        <f>SUM(C44:J44)</f>
        <v>49202</v>
      </c>
      <c r="L44" s="481">
        <v>114030</v>
      </c>
    </row>
    <row r="45" spans="1:14" x14ac:dyDescent="0.2">
      <c r="A45" s="1504" t="s">
        <v>815</v>
      </c>
      <c r="B45" s="614">
        <v>2220</v>
      </c>
      <c r="C45" s="466">
        <v>22356</v>
      </c>
      <c r="D45" s="466">
        <v>8713</v>
      </c>
      <c r="E45" s="466"/>
      <c r="F45" s="466">
        <v>2509</v>
      </c>
      <c r="G45" s="466"/>
      <c r="H45" s="466"/>
      <c r="I45" s="467"/>
      <c r="J45" s="467"/>
      <c r="K45" s="1672">
        <f>SUM(C45:J45)</f>
        <v>33578</v>
      </c>
      <c r="L45" s="466">
        <v>35770</v>
      </c>
    </row>
    <row r="46" spans="1:14" x14ac:dyDescent="0.2">
      <c r="A46" s="1504" t="s">
        <v>816</v>
      </c>
      <c r="B46" s="614">
        <v>2230</v>
      </c>
      <c r="C46" s="466"/>
      <c r="D46" s="466"/>
      <c r="E46" s="466">
        <v>1659</v>
      </c>
      <c r="F46" s="466">
        <v>5978</v>
      </c>
      <c r="G46" s="466"/>
      <c r="H46" s="466"/>
      <c r="I46" s="467"/>
      <c r="J46" s="467"/>
      <c r="K46" s="1672">
        <f>SUM(C46:J46)</f>
        <v>7637</v>
      </c>
      <c r="L46" s="466">
        <v>9560</v>
      </c>
    </row>
    <row r="47" spans="1:14" ht="12.75" customHeight="1" thickBot="1" x14ac:dyDescent="0.25">
      <c r="A47" s="1668" t="s">
        <v>561</v>
      </c>
      <c r="B47" s="1669" t="s">
        <v>32</v>
      </c>
      <c r="C47" s="1670">
        <f>SUM(C44:C46)</f>
        <v>36366</v>
      </c>
      <c r="D47" s="1670">
        <f t="shared" ref="D47:K47" si="4">SUM(D44:D46)</f>
        <v>10827</v>
      </c>
      <c r="E47" s="1670">
        <f t="shared" si="4"/>
        <v>33432</v>
      </c>
      <c r="F47" s="1670">
        <f t="shared" si="4"/>
        <v>8487</v>
      </c>
      <c r="G47" s="1670">
        <f t="shared" si="4"/>
        <v>0</v>
      </c>
      <c r="H47" s="1670">
        <f t="shared" si="4"/>
        <v>1305</v>
      </c>
      <c r="I47" s="1670">
        <f t="shared" si="4"/>
        <v>0</v>
      </c>
      <c r="J47" s="1670">
        <f t="shared" si="4"/>
        <v>0</v>
      </c>
      <c r="K47" s="1670">
        <f t="shared" si="4"/>
        <v>90417</v>
      </c>
      <c r="L47" s="1670">
        <f>SUM(L44:L46)</f>
        <v>159360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34658</v>
      </c>
      <c r="D49" s="481">
        <v>4789</v>
      </c>
      <c r="E49" s="481">
        <v>37930</v>
      </c>
      <c r="F49" s="481">
        <v>68</v>
      </c>
      <c r="G49" s="481"/>
      <c r="H49" s="481">
        <v>17003</v>
      </c>
      <c r="I49" s="467"/>
      <c r="J49" s="467"/>
      <c r="K49" s="1672">
        <f>SUM(C49:J49)</f>
        <v>94448</v>
      </c>
      <c r="L49" s="481">
        <v>103147</v>
      </c>
    </row>
    <row r="50" spans="1:14" x14ac:dyDescent="0.2">
      <c r="A50" s="1504" t="s">
        <v>818</v>
      </c>
      <c r="B50" s="614">
        <v>2320</v>
      </c>
      <c r="C50" s="466">
        <v>162079</v>
      </c>
      <c r="D50" s="466">
        <v>52834</v>
      </c>
      <c r="E50" s="466">
        <v>21689</v>
      </c>
      <c r="F50" s="466">
        <v>12652</v>
      </c>
      <c r="G50" s="466"/>
      <c r="H50" s="466">
        <v>2744</v>
      </c>
      <c r="I50" s="467"/>
      <c r="J50" s="467"/>
      <c r="K50" s="1672">
        <f>SUM(C50:J50)</f>
        <v>251998</v>
      </c>
      <c r="L50" s="466">
        <v>255670</v>
      </c>
    </row>
    <row r="51" spans="1:14" x14ac:dyDescent="0.2">
      <c r="A51" s="1504" t="s">
        <v>42</v>
      </c>
      <c r="B51" s="614">
        <v>2330</v>
      </c>
      <c r="C51" s="466">
        <v>125441</v>
      </c>
      <c r="D51" s="466">
        <v>32395</v>
      </c>
      <c r="E51" s="466">
        <v>264</v>
      </c>
      <c r="F51" s="466"/>
      <c r="G51" s="466"/>
      <c r="H51" s="466"/>
      <c r="I51" s="467"/>
      <c r="J51" s="467"/>
      <c r="K51" s="1672">
        <f>SUM(C51:J51)</f>
        <v>158100</v>
      </c>
      <c r="L51" s="466">
        <v>161098</v>
      </c>
    </row>
    <row r="52" spans="1:14" ht="22.5" x14ac:dyDescent="0.2">
      <c r="A52" s="1505" t="s">
        <v>298</v>
      </c>
      <c r="B52" s="627" t="s">
        <v>366</v>
      </c>
      <c r="C52" s="474"/>
      <c r="D52" s="474"/>
      <c r="E52" s="474"/>
      <c r="F52" s="474"/>
      <c r="G52" s="474"/>
      <c r="H52" s="474"/>
      <c r="I52" s="474"/>
      <c r="J52" s="474"/>
      <c r="K52" s="1672">
        <f>SUM(C52:J52)</f>
        <v>0</v>
      </c>
      <c r="L52" s="474">
        <v>5000</v>
      </c>
    </row>
    <row r="53" spans="1:14" ht="12.75" customHeight="1" thickBot="1" x14ac:dyDescent="0.25">
      <c r="A53" s="1668" t="s">
        <v>717</v>
      </c>
      <c r="B53" s="1669" t="s">
        <v>33</v>
      </c>
      <c r="C53" s="1670">
        <f>SUM(C49:C52)</f>
        <v>322178</v>
      </c>
      <c r="D53" s="1670">
        <f t="shared" ref="D53:L53" si="5">SUM(D49:D52)</f>
        <v>90018</v>
      </c>
      <c r="E53" s="1670">
        <f t="shared" si="5"/>
        <v>59883</v>
      </c>
      <c r="F53" s="1670">
        <f t="shared" si="5"/>
        <v>12720</v>
      </c>
      <c r="G53" s="1670">
        <f t="shared" si="5"/>
        <v>0</v>
      </c>
      <c r="H53" s="1670">
        <f t="shared" si="5"/>
        <v>19747</v>
      </c>
      <c r="I53" s="1670">
        <f t="shared" si="5"/>
        <v>0</v>
      </c>
      <c r="J53" s="1670">
        <f t="shared" si="5"/>
        <v>0</v>
      </c>
      <c r="K53" s="1670">
        <f t="shared" si="5"/>
        <v>504546</v>
      </c>
      <c r="L53" s="1670">
        <f t="shared" si="5"/>
        <v>524915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509075</v>
      </c>
      <c r="D55" s="481">
        <v>165315</v>
      </c>
      <c r="E55" s="481">
        <v>7794</v>
      </c>
      <c r="F55" s="481">
        <v>720</v>
      </c>
      <c r="G55" s="481"/>
      <c r="H55" s="481">
        <v>1592</v>
      </c>
      <c r="I55" s="467"/>
      <c r="J55" s="467"/>
      <c r="K55" s="1672">
        <f>SUM(C55:J55)</f>
        <v>684496</v>
      </c>
      <c r="L55" s="481">
        <v>686507</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509075</v>
      </c>
      <c r="D57" s="1674">
        <f t="shared" ref="D57:K57" si="6">SUM(D55:D56)</f>
        <v>165315</v>
      </c>
      <c r="E57" s="1674">
        <f t="shared" si="6"/>
        <v>7794</v>
      </c>
      <c r="F57" s="1674">
        <f t="shared" si="6"/>
        <v>720</v>
      </c>
      <c r="G57" s="1674">
        <f t="shared" si="6"/>
        <v>0</v>
      </c>
      <c r="H57" s="1674">
        <f t="shared" si="6"/>
        <v>1592</v>
      </c>
      <c r="I57" s="1674">
        <f t="shared" si="6"/>
        <v>0</v>
      </c>
      <c r="J57" s="1674">
        <f t="shared" si="6"/>
        <v>0</v>
      </c>
      <c r="K57" s="1674">
        <f t="shared" si="6"/>
        <v>684496</v>
      </c>
      <c r="L57" s="1670">
        <f>SUM(L55:L56)</f>
        <v>686507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83422</v>
      </c>
      <c r="D60" s="466">
        <v>9399</v>
      </c>
      <c r="E60" s="466">
        <v>24508</v>
      </c>
      <c r="F60" s="466">
        <v>1536</v>
      </c>
      <c r="G60" s="466"/>
      <c r="H60" s="466"/>
      <c r="I60" s="467"/>
      <c r="J60" s="467"/>
      <c r="K60" s="1672">
        <f t="shared" si="7"/>
        <v>118865</v>
      </c>
      <c r="L60" s="466">
        <v>114317</v>
      </c>
      <c r="M60" s="609"/>
      <c r="N60" s="609"/>
    </row>
    <row r="61" spans="1:14" s="343" customFormat="1" x14ac:dyDescent="0.2">
      <c r="A61" s="1504" t="s">
        <v>197</v>
      </c>
      <c r="B61" s="614">
        <v>2540</v>
      </c>
      <c r="C61" s="466"/>
      <c r="D61" s="466"/>
      <c r="E61" s="466">
        <v>17179</v>
      </c>
      <c r="F61" s="466"/>
      <c r="G61" s="466"/>
      <c r="H61" s="466"/>
      <c r="I61" s="467"/>
      <c r="J61" s="467"/>
      <c r="K61" s="1672">
        <f t="shared" si="7"/>
        <v>17179</v>
      </c>
      <c r="L61" s="466">
        <v>17000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4231</v>
      </c>
      <c r="D63" s="466"/>
      <c r="E63" s="466">
        <v>147589</v>
      </c>
      <c r="F63" s="466">
        <v>1549</v>
      </c>
      <c r="G63" s="466">
        <v>18627</v>
      </c>
      <c r="H63" s="466"/>
      <c r="I63" s="467">
        <v>2491</v>
      </c>
      <c r="J63" s="467"/>
      <c r="K63" s="1672">
        <f t="shared" si="7"/>
        <v>174487</v>
      </c>
      <c r="L63" s="466">
        <v>201830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87653</v>
      </c>
      <c r="D65" s="1670">
        <f t="shared" ref="D65:L65" si="8">SUM(D59:D64)</f>
        <v>9399</v>
      </c>
      <c r="E65" s="1670">
        <f t="shared" si="8"/>
        <v>189276</v>
      </c>
      <c r="F65" s="1670">
        <f t="shared" si="8"/>
        <v>3085</v>
      </c>
      <c r="G65" s="1670">
        <f t="shared" si="8"/>
        <v>18627</v>
      </c>
      <c r="H65" s="1670">
        <f t="shared" si="8"/>
        <v>0</v>
      </c>
      <c r="I65" s="1670">
        <f t="shared" si="8"/>
        <v>2491</v>
      </c>
      <c r="J65" s="1670">
        <f t="shared" si="8"/>
        <v>0</v>
      </c>
      <c r="K65" s="1670">
        <f t="shared" si="8"/>
        <v>310531</v>
      </c>
      <c r="L65" s="1670">
        <f t="shared" si="8"/>
        <v>333147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88156</v>
      </c>
      <c r="D73" s="573">
        <v>9416</v>
      </c>
      <c r="E73" s="573">
        <v>97158</v>
      </c>
      <c r="F73" s="573">
        <v>96394</v>
      </c>
      <c r="G73" s="573"/>
      <c r="H73" s="573"/>
      <c r="I73" s="531">
        <v>4583</v>
      </c>
      <c r="J73" s="531"/>
      <c r="K73" s="1670">
        <f>SUM(C73:J73)</f>
        <v>295707</v>
      </c>
      <c r="L73" s="576">
        <v>286224</v>
      </c>
      <c r="M73" s="609"/>
      <c r="N73" s="609"/>
    </row>
    <row r="74" spans="1:14" ht="12.75" customHeight="1" thickTop="1" thickBot="1" x14ac:dyDescent="0.25">
      <c r="A74" s="1668" t="s">
        <v>811</v>
      </c>
      <c r="B74" s="1676">
        <v>2000</v>
      </c>
      <c r="C74" s="1677">
        <f>SUM(C42,C47,C53,C57,C65,C72,C73)</f>
        <v>1419548</v>
      </c>
      <c r="D74" s="1677">
        <f t="shared" ref="D74:K74" si="10">SUM(D42,D47,D53,D57,D65,D72,D73)</f>
        <v>374237</v>
      </c>
      <c r="E74" s="1677">
        <f t="shared" si="10"/>
        <v>525673</v>
      </c>
      <c r="F74" s="1677">
        <f t="shared" si="10"/>
        <v>129977</v>
      </c>
      <c r="G74" s="1677">
        <f t="shared" si="10"/>
        <v>18627</v>
      </c>
      <c r="H74" s="1677">
        <f t="shared" si="10"/>
        <v>22644</v>
      </c>
      <c r="I74" s="1677">
        <f t="shared" si="10"/>
        <v>7074</v>
      </c>
      <c r="J74" s="1677">
        <f t="shared" si="10"/>
        <v>0</v>
      </c>
      <c r="K74" s="1677">
        <f t="shared" si="10"/>
        <v>2497780</v>
      </c>
      <c r="L74" s="1677">
        <f>SUM(L42,L47,L53,L57,L65,L72,L73)</f>
        <v>2578509</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29720</v>
      </c>
      <c r="F79" s="616"/>
      <c r="G79" s="616"/>
      <c r="H79" s="466">
        <v>52483</v>
      </c>
      <c r="I79" s="477"/>
      <c r="J79" s="477"/>
      <c r="K79" s="1671">
        <f t="shared" si="11"/>
        <v>82203</v>
      </c>
      <c r="L79" s="466">
        <v>35710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v>85988</v>
      </c>
      <c r="I81" s="477"/>
      <c r="J81" s="477"/>
      <c r="K81" s="1671">
        <f t="shared" si="11"/>
        <v>85988</v>
      </c>
      <c r="L81" s="466">
        <v>91700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29720</v>
      </c>
      <c r="F84" s="616"/>
      <c r="G84" s="616"/>
      <c r="H84" s="1670">
        <f>SUM(H78:H83)</f>
        <v>138471</v>
      </c>
      <c r="I84" s="477"/>
      <c r="J84" s="477"/>
      <c r="K84" s="1670">
        <f>SUM(K78:K83)</f>
        <v>168191</v>
      </c>
      <c r="L84" s="1670">
        <f>SUM(L78:L83)</f>
        <v>127410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29720</v>
      </c>
      <c r="F102" s="616"/>
      <c r="G102" s="616"/>
      <c r="H102" s="1677">
        <f>SUM(H84,H92,H100,H101)</f>
        <v>138471</v>
      </c>
      <c r="I102" s="477"/>
      <c r="J102" s="477"/>
      <c r="K102" s="1677">
        <f>SUM(K84,K92,K100,K101)</f>
        <v>168191</v>
      </c>
      <c r="L102" s="1677">
        <f>SUM(L84,L92,L100,L101)</f>
        <v>127410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4903569</v>
      </c>
      <c r="D114" s="1670">
        <f t="shared" ref="D114:K114" si="13">SUM(D33,D74,D75,D102,D112,D113)</f>
        <v>1155988</v>
      </c>
      <c r="E114" s="1670">
        <f t="shared" si="13"/>
        <v>647304</v>
      </c>
      <c r="F114" s="1670">
        <f t="shared" si="13"/>
        <v>244174</v>
      </c>
      <c r="G114" s="1670">
        <f t="shared" si="13"/>
        <v>50427</v>
      </c>
      <c r="H114" s="1670">
        <f>SUM(H33,H74,H75,H102,H112,H113)</f>
        <v>411924</v>
      </c>
      <c r="I114" s="1670">
        <f t="shared" si="13"/>
        <v>17642</v>
      </c>
      <c r="J114" s="1670">
        <f t="shared" si="13"/>
        <v>0</v>
      </c>
      <c r="K114" s="1670">
        <f t="shared" si="13"/>
        <v>7431028</v>
      </c>
      <c r="L114" s="1670">
        <f>SUM(L33,L74,L75,L102,L112,L113)</f>
        <v>7474467</v>
      </c>
    </row>
    <row r="115" spans="1:14" ht="13.5" thickTop="1" x14ac:dyDescent="0.2">
      <c r="A115" s="2186" t="s">
        <v>996</v>
      </c>
      <c r="B115" s="2187"/>
      <c r="C115" s="618"/>
      <c r="D115" s="618"/>
      <c r="E115" s="618"/>
      <c r="F115" s="618"/>
      <c r="G115" s="618"/>
      <c r="H115" s="618"/>
      <c r="I115" s="618"/>
      <c r="J115" s="618"/>
      <c r="K115" s="1684">
        <f>'Revenues 9-14'!C268-'Expenditures 15-22'!K114</f>
        <v>-225403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v>84157</v>
      </c>
      <c r="I123" s="467"/>
      <c r="J123" s="467"/>
      <c r="K123" s="1670">
        <f>SUM(C123:J123)</f>
        <v>84157</v>
      </c>
      <c r="L123" s="466">
        <v>84325</v>
      </c>
    </row>
    <row r="124" spans="1:14" ht="14.25" thickTop="1" thickBot="1" x14ac:dyDescent="0.25">
      <c r="A124" s="1504" t="s">
        <v>197</v>
      </c>
      <c r="B124" s="614">
        <v>2540</v>
      </c>
      <c r="C124" s="466">
        <v>332544</v>
      </c>
      <c r="D124" s="466">
        <v>53974</v>
      </c>
      <c r="E124" s="466">
        <v>245425</v>
      </c>
      <c r="F124" s="466">
        <v>270707</v>
      </c>
      <c r="G124" s="466">
        <v>158950</v>
      </c>
      <c r="H124" s="466">
        <v>340</v>
      </c>
      <c r="I124" s="467">
        <v>7878</v>
      </c>
      <c r="J124" s="467"/>
      <c r="K124" s="1670">
        <f>SUM(C124:J124)</f>
        <v>1069818</v>
      </c>
      <c r="L124" s="466">
        <v>1021640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332544</v>
      </c>
      <c r="D127" s="1670">
        <f t="shared" ref="D127:L127" si="14">SUM(D122:D126)</f>
        <v>53974</v>
      </c>
      <c r="E127" s="1670">
        <f t="shared" si="14"/>
        <v>245425</v>
      </c>
      <c r="F127" s="1670">
        <f t="shared" si="14"/>
        <v>270707</v>
      </c>
      <c r="G127" s="1670">
        <f t="shared" si="14"/>
        <v>158950</v>
      </c>
      <c r="H127" s="1670">
        <f t="shared" si="14"/>
        <v>84497</v>
      </c>
      <c r="I127" s="1670">
        <f t="shared" si="14"/>
        <v>7878</v>
      </c>
      <c r="J127" s="1670">
        <f t="shared" si="14"/>
        <v>0</v>
      </c>
      <c r="K127" s="1670">
        <f t="shared" si="14"/>
        <v>1153975</v>
      </c>
      <c r="L127" s="1670">
        <f t="shared" si="14"/>
        <v>1105965</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332544</v>
      </c>
      <c r="D129" s="1677">
        <f t="shared" ref="D129:L129" si="15">SUM(D120,D127,D128)</f>
        <v>53974</v>
      </c>
      <c r="E129" s="1677">
        <f t="shared" si="15"/>
        <v>245425</v>
      </c>
      <c r="F129" s="1677">
        <f t="shared" si="15"/>
        <v>270707</v>
      </c>
      <c r="G129" s="1677">
        <f t="shared" si="15"/>
        <v>158950</v>
      </c>
      <c r="H129" s="1677">
        <f t="shared" si="15"/>
        <v>84497</v>
      </c>
      <c r="I129" s="1677">
        <f t="shared" si="15"/>
        <v>7878</v>
      </c>
      <c r="J129" s="1677">
        <f t="shared" si="15"/>
        <v>0</v>
      </c>
      <c r="K129" s="1677">
        <f t="shared" si="15"/>
        <v>1153975</v>
      </c>
      <c r="L129" s="1677">
        <f t="shared" si="15"/>
        <v>1105965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v>1983</v>
      </c>
      <c r="I136" s="477"/>
      <c r="J136" s="616"/>
      <c r="K136" s="1672">
        <f>SUM(E136,H136)</f>
        <v>1983</v>
      </c>
      <c r="L136" s="466">
        <v>2000</v>
      </c>
    </row>
    <row r="137" spans="1:14" ht="12.75" customHeight="1" thickBot="1" x14ac:dyDescent="0.25">
      <c r="A137" s="1668" t="s">
        <v>480</v>
      </c>
      <c r="B137" s="1678">
        <v>4100</v>
      </c>
      <c r="C137" s="616"/>
      <c r="D137" s="616"/>
      <c r="E137" s="1670">
        <f>SUM(E133:E136)</f>
        <v>0</v>
      </c>
      <c r="F137" s="616"/>
      <c r="G137" s="616"/>
      <c r="H137" s="1670">
        <f>SUM(H133:H136)</f>
        <v>1983</v>
      </c>
      <c r="I137" s="477"/>
      <c r="J137" s="616"/>
      <c r="K137" s="1670">
        <f>SUM(K133:K136)</f>
        <v>1983</v>
      </c>
      <c r="L137" s="1670">
        <f>SUM(L133:L136)</f>
        <v>2000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1983</v>
      </c>
      <c r="I139" s="477"/>
      <c r="J139" s="616"/>
      <c r="K139" s="1672">
        <f>SUM(K137,K138)</f>
        <v>1983</v>
      </c>
      <c r="L139" s="1679">
        <f>SUM(L137,L138)</f>
        <v>2000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v>1817</v>
      </c>
      <c r="I146" s="468"/>
      <c r="J146" s="616"/>
      <c r="K146" s="1672">
        <f>SUM(H146)</f>
        <v>1817</v>
      </c>
      <c r="L146" s="466">
        <v>1802</v>
      </c>
    </row>
    <row r="147" spans="1:14" ht="12.75" customHeight="1" thickBot="1" x14ac:dyDescent="0.25">
      <c r="A147" s="1515" t="s">
        <v>626</v>
      </c>
      <c r="B147" s="659" t="s">
        <v>718</v>
      </c>
      <c r="C147" s="616"/>
      <c r="D147" s="616"/>
      <c r="E147" s="616"/>
      <c r="F147" s="616"/>
      <c r="G147" s="616"/>
      <c r="H147" s="1688">
        <f>SUM(H142:H146)</f>
        <v>1817</v>
      </c>
      <c r="I147" s="468"/>
      <c r="J147" s="616"/>
      <c r="K147" s="1670">
        <f>SUM(K142:K146)</f>
        <v>1817</v>
      </c>
      <c r="L147" s="1688">
        <f>SUM(L142:L146)</f>
        <v>1802</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1817</v>
      </c>
      <c r="I149" s="468"/>
      <c r="J149" s="616"/>
      <c r="K149" s="1670">
        <f>SUM(K147:K148)</f>
        <v>1817</v>
      </c>
      <c r="L149" s="1670">
        <f>SUM(L142:L146,L148)</f>
        <v>1802</v>
      </c>
    </row>
    <row r="150" spans="1:14" ht="15.75" customHeight="1" thickTop="1" thickBot="1" x14ac:dyDescent="0.25">
      <c r="A150" s="1606" t="s">
        <v>1038</v>
      </c>
      <c r="B150" s="1613" t="s">
        <v>861</v>
      </c>
      <c r="C150" s="616"/>
      <c r="D150" s="616"/>
      <c r="E150" s="616"/>
      <c r="F150" s="616"/>
      <c r="G150" s="616"/>
      <c r="H150" s="662"/>
      <c r="I150" s="521"/>
      <c r="J150" s="616"/>
      <c r="K150" s="623"/>
      <c r="L150" s="573">
        <v>35000</v>
      </c>
    </row>
    <row r="151" spans="1:14" ht="12.75" customHeight="1" thickTop="1" thickBot="1" x14ac:dyDescent="0.25">
      <c r="A151" s="2176" t="s">
        <v>620</v>
      </c>
      <c r="B151" s="2158"/>
      <c r="C151" s="1670">
        <f>SUM(C129,C130,C139,C149,C150)</f>
        <v>332544</v>
      </c>
      <c r="D151" s="1670">
        <f t="shared" ref="D151:K151" si="16">SUM(D129,D130,D139,D149,D150)</f>
        <v>53974</v>
      </c>
      <c r="E151" s="1670">
        <f t="shared" si="16"/>
        <v>245425</v>
      </c>
      <c r="F151" s="1670">
        <f t="shared" si="16"/>
        <v>270707</v>
      </c>
      <c r="G151" s="1670">
        <f t="shared" si="16"/>
        <v>158950</v>
      </c>
      <c r="H151" s="1670">
        <f t="shared" si="16"/>
        <v>88297</v>
      </c>
      <c r="I151" s="1670">
        <f t="shared" si="16"/>
        <v>7878</v>
      </c>
      <c r="J151" s="1670">
        <f t="shared" si="16"/>
        <v>0</v>
      </c>
      <c r="K151" s="1670">
        <f t="shared" si="16"/>
        <v>1157775</v>
      </c>
      <c r="L151" s="1670">
        <f>SUM(L129,L130,L139,L149,L150)</f>
        <v>1144767</v>
      </c>
    </row>
    <row r="152" spans="1:14" ht="12.75" customHeight="1" thickTop="1" x14ac:dyDescent="0.2">
      <c r="A152" s="2179" t="s">
        <v>1178</v>
      </c>
      <c r="B152" s="2180"/>
      <c r="C152" s="618"/>
      <c r="D152" s="618"/>
      <c r="E152" s="618"/>
      <c r="F152" s="618"/>
      <c r="G152" s="618"/>
      <c r="H152" s="618"/>
      <c r="I152" s="618"/>
      <c r="J152" s="616"/>
      <c r="K152" s="1684">
        <f>'Revenues 9-14'!D268-'Expenditures 15-22'!K151</f>
        <v>154980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348502</v>
      </c>
      <c r="I169" s="616"/>
      <c r="J169" s="616"/>
      <c r="K169" s="1671">
        <f>SUM(C169:H169)</f>
        <v>348502</v>
      </c>
      <c r="L169" s="656">
        <v>401400</v>
      </c>
    </row>
    <row r="170" spans="1:14" ht="33.75" customHeight="1" x14ac:dyDescent="0.2">
      <c r="A170" s="669" t="s">
        <v>1670</v>
      </c>
      <c r="B170" s="671" t="s">
        <v>31</v>
      </c>
      <c r="C170" s="616"/>
      <c r="D170" s="616"/>
      <c r="E170" s="616"/>
      <c r="F170" s="616"/>
      <c r="G170" s="616"/>
      <c r="H170" s="569">
        <v>1405000</v>
      </c>
      <c r="I170" s="616"/>
      <c r="J170" s="616"/>
      <c r="K170" s="1671">
        <f>SUM(C170:J170)</f>
        <v>1405000</v>
      </c>
      <c r="L170" s="569">
        <v>1405000</v>
      </c>
    </row>
    <row r="171" spans="1:14" ht="15.75" customHeight="1" x14ac:dyDescent="0.2">
      <c r="A171" s="621" t="s">
        <v>766</v>
      </c>
      <c r="B171" s="672" t="s">
        <v>84</v>
      </c>
      <c r="C171" s="616"/>
      <c r="D171" s="616"/>
      <c r="E171" s="466"/>
      <c r="F171" s="616"/>
      <c r="G171" s="616"/>
      <c r="H171" s="569">
        <v>3483</v>
      </c>
      <c r="I171" s="477"/>
      <c r="J171" s="616"/>
      <c r="K171" s="1671">
        <f>SUM(C171:J171)</f>
        <v>3483</v>
      </c>
      <c r="L171" s="569">
        <v>4200</v>
      </c>
    </row>
    <row r="172" spans="1:14" ht="12.75" customHeight="1" thickBot="1" x14ac:dyDescent="0.25">
      <c r="A172" s="1668" t="s">
        <v>638</v>
      </c>
      <c r="B172" s="1669" t="s">
        <v>492</v>
      </c>
      <c r="C172" s="616"/>
      <c r="D172" s="616"/>
      <c r="E172" s="1677">
        <f>SUM(E168,E169,E170,E171)</f>
        <v>0</v>
      </c>
      <c r="F172" s="616"/>
      <c r="G172" s="616"/>
      <c r="H172" s="1677">
        <f>SUM(H168,H169,H170,H171)</f>
        <v>1756985</v>
      </c>
      <c r="I172" s="638"/>
      <c r="J172" s="616"/>
      <c r="K172" s="1677">
        <f>SUM(K168,K169,K170,K171)</f>
        <v>1756985</v>
      </c>
      <c r="L172" s="1677">
        <f>SUM(L168,L169,L170,L171)</f>
        <v>1810600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1756985</v>
      </c>
      <c r="I174" s="638"/>
      <c r="J174" s="616"/>
      <c r="K174" s="1677">
        <f>SUM(K160,K172,K173)</f>
        <v>1756985</v>
      </c>
      <c r="L174" s="1677">
        <f>SUM(L160,L172,L173)</f>
        <v>1810600</v>
      </c>
    </row>
    <row r="175" spans="1:14" ht="13.5" thickTop="1" x14ac:dyDescent="0.2">
      <c r="A175" s="2186" t="s">
        <v>996</v>
      </c>
      <c r="B175" s="2187"/>
      <c r="C175" s="616"/>
      <c r="D175" s="616"/>
      <c r="E175" s="616"/>
      <c r="F175" s="616"/>
      <c r="G175" s="616"/>
      <c r="H175" s="618"/>
      <c r="I175" s="616"/>
      <c r="J175" s="616"/>
      <c r="K175" s="1684">
        <f>'Revenues 9-14'!E268-'Expenditures 15-22'!K174</f>
        <v>15290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439282</v>
      </c>
      <c r="D182" s="466">
        <v>3427</v>
      </c>
      <c r="E182" s="466">
        <v>140155</v>
      </c>
      <c r="F182" s="466">
        <v>60556</v>
      </c>
      <c r="G182" s="466">
        <v>81625</v>
      </c>
      <c r="H182" s="466">
        <v>11042</v>
      </c>
      <c r="I182" s="467"/>
      <c r="J182" s="467"/>
      <c r="K182" s="1671">
        <f>SUM(C182:J182)</f>
        <v>736087</v>
      </c>
      <c r="L182" s="466">
        <v>781620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439282</v>
      </c>
      <c r="D184" s="1677">
        <f t="shared" ref="D184:J184" si="17">SUM(D180,D182,D183)</f>
        <v>3427</v>
      </c>
      <c r="E184" s="1677">
        <f t="shared" si="17"/>
        <v>140155</v>
      </c>
      <c r="F184" s="1677">
        <f t="shared" si="17"/>
        <v>60556</v>
      </c>
      <c r="G184" s="1677">
        <f t="shared" si="17"/>
        <v>81625</v>
      </c>
      <c r="H184" s="1677">
        <f t="shared" si="17"/>
        <v>11042</v>
      </c>
      <c r="I184" s="1677">
        <f t="shared" si="17"/>
        <v>0</v>
      </c>
      <c r="J184" s="1677">
        <f t="shared" si="17"/>
        <v>0</v>
      </c>
      <c r="K184" s="1677">
        <f>SUM(K180,K182,K183)</f>
        <v>736087</v>
      </c>
      <c r="L184" s="1677">
        <f>SUM(L180, L182:L183)</f>
        <v>781620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15000</v>
      </c>
    </row>
    <row r="210" spans="1:14" ht="12.75" customHeight="1" thickTop="1" thickBot="1" x14ac:dyDescent="0.25">
      <c r="A210" s="1692" t="s">
        <v>277</v>
      </c>
      <c r="B210" s="1693"/>
      <c r="C210" s="1670">
        <f>SUM(C184,C185)</f>
        <v>439282</v>
      </c>
      <c r="D210" s="1670">
        <f>SUM(D184,D185)</f>
        <v>3427</v>
      </c>
      <c r="E210" s="1670">
        <f>SUM(E184,E185,E196)</f>
        <v>140155</v>
      </c>
      <c r="F210" s="1670">
        <f>SUM(F184,F185)</f>
        <v>60556</v>
      </c>
      <c r="G210" s="1670">
        <f>SUM(G184,G185)</f>
        <v>81625</v>
      </c>
      <c r="H210" s="1670">
        <f>SUM(H184,H185,H196,H208,H209)</f>
        <v>11042</v>
      </c>
      <c r="I210" s="1670">
        <f>SUM(I184,I185)</f>
        <v>0</v>
      </c>
      <c r="J210" s="1670">
        <f>SUM(J184,J185)</f>
        <v>0</v>
      </c>
      <c r="K210" s="1671">
        <f>SUM(K184,K185,K196,K208,K209)</f>
        <v>736087</v>
      </c>
      <c r="L210" s="1670">
        <f>SUM(L184,L185,L196,L208,L209)</f>
        <v>796620</v>
      </c>
    </row>
    <row r="211" spans="1:14" ht="13.5" thickTop="1" x14ac:dyDescent="0.2">
      <c r="A211" s="2186" t="s">
        <v>996</v>
      </c>
      <c r="B211" s="2187"/>
      <c r="C211" s="618"/>
      <c r="D211" s="618"/>
      <c r="E211" s="618"/>
      <c r="F211" s="618"/>
      <c r="G211" s="618"/>
      <c r="H211" s="618"/>
      <c r="I211" s="616"/>
      <c r="J211" s="616"/>
      <c r="K211" s="1684">
        <f>'Revenues 9-14'!F268-'Expenditures 15-22'!K210</f>
        <v>79938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31401</v>
      </c>
      <c r="E215" s="616"/>
      <c r="F215" s="616"/>
      <c r="G215" s="616"/>
      <c r="H215" s="616"/>
      <c r="I215" s="616"/>
      <c r="J215" s="616"/>
      <c r="K215" s="1671">
        <f>D215</f>
        <v>31401</v>
      </c>
      <c r="L215" s="466">
        <v>22620</v>
      </c>
    </row>
    <row r="216" spans="1:14" x14ac:dyDescent="0.2">
      <c r="A216" s="1504" t="s">
        <v>163</v>
      </c>
      <c r="B216" s="614" t="s">
        <v>967</v>
      </c>
      <c r="C216" s="616"/>
      <c r="D216" s="467"/>
      <c r="E216" s="616"/>
      <c r="F216" s="616"/>
      <c r="G216" s="616"/>
      <c r="H216" s="616"/>
      <c r="I216" s="616"/>
      <c r="J216" s="616"/>
      <c r="K216" s="1671">
        <f t="shared" ref="K216:K228" si="19">D216</f>
        <v>0</v>
      </c>
      <c r="L216" s="466">
        <v>10713</v>
      </c>
    </row>
    <row r="217" spans="1:14" x14ac:dyDescent="0.2">
      <c r="A217" s="1504" t="s">
        <v>164</v>
      </c>
      <c r="B217" s="614">
        <v>1200</v>
      </c>
      <c r="C217" s="616"/>
      <c r="D217" s="466">
        <v>48046</v>
      </c>
      <c r="E217" s="616"/>
      <c r="F217" s="616"/>
      <c r="G217" s="616"/>
      <c r="H217" s="616"/>
      <c r="I217" s="616"/>
      <c r="J217" s="616"/>
      <c r="K217" s="1671">
        <f t="shared" si="19"/>
        <v>48046</v>
      </c>
      <c r="L217" s="466">
        <v>59085</v>
      </c>
    </row>
    <row r="218" spans="1:14" x14ac:dyDescent="0.2">
      <c r="A218" s="1504" t="s">
        <v>278</v>
      </c>
      <c r="B218" s="614" t="s">
        <v>968</v>
      </c>
      <c r="C218" s="616"/>
      <c r="D218" s="467">
        <v>6924</v>
      </c>
      <c r="E218" s="616"/>
      <c r="F218" s="616"/>
      <c r="G218" s="616"/>
      <c r="H218" s="616"/>
      <c r="I218" s="616"/>
      <c r="J218" s="616"/>
      <c r="K218" s="1671">
        <f t="shared" si="19"/>
        <v>6924</v>
      </c>
      <c r="L218" s="466">
        <v>9755</v>
      </c>
    </row>
    <row r="219" spans="1:14" x14ac:dyDescent="0.2">
      <c r="A219" s="1504" t="s">
        <v>279</v>
      </c>
      <c r="B219" s="614">
        <v>1250</v>
      </c>
      <c r="C219" s="616"/>
      <c r="D219" s="466">
        <v>1480</v>
      </c>
      <c r="E219" s="616"/>
      <c r="F219" s="616"/>
      <c r="G219" s="616"/>
      <c r="H219" s="616"/>
      <c r="I219" s="616"/>
      <c r="J219" s="616"/>
      <c r="K219" s="1671">
        <f t="shared" si="19"/>
        <v>1480</v>
      </c>
      <c r="L219" s="466">
        <v>1200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1585</v>
      </c>
      <c r="E222" s="616"/>
      <c r="F222" s="616"/>
      <c r="G222" s="616"/>
      <c r="H222" s="616"/>
      <c r="I222" s="616"/>
      <c r="J222" s="616"/>
      <c r="K222" s="1671">
        <f t="shared" si="19"/>
        <v>1585</v>
      </c>
      <c r="L222" s="466">
        <v>1640</v>
      </c>
    </row>
    <row r="223" spans="1:14" x14ac:dyDescent="0.2">
      <c r="A223" s="1504" t="s">
        <v>963</v>
      </c>
      <c r="B223" s="614">
        <v>1500</v>
      </c>
      <c r="C223" s="616"/>
      <c r="D223" s="466">
        <v>6546</v>
      </c>
      <c r="E223" s="616"/>
      <c r="F223" s="616"/>
      <c r="G223" s="616"/>
      <c r="H223" s="616"/>
      <c r="I223" s="616"/>
      <c r="J223" s="616"/>
      <c r="K223" s="1671">
        <f t="shared" si="19"/>
        <v>6546</v>
      </c>
      <c r="L223" s="466">
        <v>18325</v>
      </c>
    </row>
    <row r="224" spans="1:14" x14ac:dyDescent="0.2">
      <c r="A224" s="1504" t="s">
        <v>964</v>
      </c>
      <c r="B224" s="614">
        <v>1600</v>
      </c>
      <c r="C224" s="616"/>
      <c r="D224" s="466">
        <v>388</v>
      </c>
      <c r="E224" s="616"/>
      <c r="F224" s="616"/>
      <c r="G224" s="616"/>
      <c r="H224" s="616"/>
      <c r="I224" s="616"/>
      <c r="J224" s="616"/>
      <c r="K224" s="1671">
        <f t="shared" si="19"/>
        <v>388</v>
      </c>
      <c r="L224" s="466">
        <v>300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96370</v>
      </c>
      <c r="E229" s="616"/>
      <c r="F229" s="616"/>
      <c r="G229" s="616"/>
      <c r="H229" s="616"/>
      <c r="I229" s="616"/>
      <c r="J229" s="616"/>
      <c r="K229" s="1670">
        <f>SUM(K215:K228)</f>
        <v>96370</v>
      </c>
      <c r="L229" s="1670">
        <f>SUM(L215:L228)</f>
        <v>123638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1325</v>
      </c>
      <c r="E232" s="616"/>
      <c r="F232" s="616"/>
      <c r="G232" s="616"/>
      <c r="H232" s="616"/>
      <c r="I232" s="616"/>
      <c r="J232" s="616"/>
      <c r="K232" s="1671">
        <f t="shared" ref="K232:K237" si="20">D232</f>
        <v>1325</v>
      </c>
      <c r="L232" s="466">
        <v>1490</v>
      </c>
    </row>
    <row r="233" spans="1:12" x14ac:dyDescent="0.2">
      <c r="A233" s="1504" t="s">
        <v>1090</v>
      </c>
      <c r="B233" s="614">
        <v>2120</v>
      </c>
      <c r="C233" s="616"/>
      <c r="D233" s="466">
        <v>643</v>
      </c>
      <c r="E233" s="616"/>
      <c r="F233" s="616"/>
      <c r="G233" s="616"/>
      <c r="H233" s="616"/>
      <c r="I233" s="616"/>
      <c r="J233" s="616"/>
      <c r="K233" s="1671">
        <f t="shared" si="20"/>
        <v>643</v>
      </c>
      <c r="L233" s="466">
        <v>670</v>
      </c>
    </row>
    <row r="234" spans="1:12" x14ac:dyDescent="0.2">
      <c r="A234" s="1504" t="s">
        <v>198</v>
      </c>
      <c r="B234" s="614">
        <v>2130</v>
      </c>
      <c r="C234" s="616"/>
      <c r="D234" s="466">
        <v>6141</v>
      </c>
      <c r="E234" s="616"/>
      <c r="F234" s="616"/>
      <c r="G234" s="616"/>
      <c r="H234" s="616"/>
      <c r="I234" s="616"/>
      <c r="J234" s="616"/>
      <c r="K234" s="1671">
        <f t="shared" si="20"/>
        <v>6141</v>
      </c>
      <c r="L234" s="466">
        <v>7910</v>
      </c>
    </row>
    <row r="235" spans="1:12" x14ac:dyDescent="0.2">
      <c r="A235" s="1504" t="s">
        <v>199</v>
      </c>
      <c r="B235" s="614">
        <v>2140</v>
      </c>
      <c r="C235" s="616"/>
      <c r="D235" s="466">
        <v>668</v>
      </c>
      <c r="E235" s="616"/>
      <c r="F235" s="616"/>
      <c r="G235" s="616"/>
      <c r="H235" s="616"/>
      <c r="I235" s="616"/>
      <c r="J235" s="616"/>
      <c r="K235" s="1671">
        <f t="shared" si="20"/>
        <v>668</v>
      </c>
      <c r="L235" s="466">
        <v>510</v>
      </c>
    </row>
    <row r="236" spans="1:12" x14ac:dyDescent="0.2">
      <c r="A236" s="1504" t="s">
        <v>200</v>
      </c>
      <c r="B236" s="614">
        <v>2150</v>
      </c>
      <c r="C236" s="616"/>
      <c r="D236" s="466">
        <v>1605</v>
      </c>
      <c r="E236" s="616"/>
      <c r="F236" s="616"/>
      <c r="G236" s="616"/>
      <c r="H236" s="616"/>
      <c r="I236" s="616"/>
      <c r="J236" s="616"/>
      <c r="K236" s="1671">
        <f t="shared" si="20"/>
        <v>1605</v>
      </c>
      <c r="L236" s="466">
        <v>1770</v>
      </c>
    </row>
    <row r="237" spans="1:12" x14ac:dyDescent="0.2">
      <c r="A237" s="1504" t="s">
        <v>165</v>
      </c>
      <c r="B237" s="614">
        <v>2190</v>
      </c>
      <c r="C237" s="616"/>
      <c r="D237" s="466">
        <v>293</v>
      </c>
      <c r="E237" s="616"/>
      <c r="F237" s="616"/>
      <c r="G237" s="616"/>
      <c r="H237" s="616"/>
      <c r="I237" s="616"/>
      <c r="J237" s="616"/>
      <c r="K237" s="1671">
        <f t="shared" si="20"/>
        <v>293</v>
      </c>
      <c r="L237" s="466">
        <v>600</v>
      </c>
    </row>
    <row r="238" spans="1:12" ht="12.75" customHeight="1" thickBot="1" x14ac:dyDescent="0.25">
      <c r="A238" s="1668" t="s">
        <v>560</v>
      </c>
      <c r="B238" s="1675" t="s">
        <v>716</v>
      </c>
      <c r="C238" s="616"/>
      <c r="D238" s="1670">
        <f>SUM(D232:D237)</f>
        <v>10675</v>
      </c>
      <c r="E238" s="616"/>
      <c r="F238" s="616"/>
      <c r="G238" s="616"/>
      <c r="H238" s="616"/>
      <c r="I238" s="616"/>
      <c r="J238" s="616"/>
      <c r="K238" s="1670">
        <f>SUM(K232:K237)</f>
        <v>10675</v>
      </c>
      <c r="L238" s="1670">
        <f>SUM(L232:L237)</f>
        <v>12950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139</v>
      </c>
      <c r="E240" s="616"/>
      <c r="F240" s="616"/>
      <c r="G240" s="616"/>
      <c r="H240" s="616"/>
      <c r="I240" s="616"/>
      <c r="J240" s="616"/>
      <c r="K240" s="1672">
        <f>D240</f>
        <v>139</v>
      </c>
      <c r="L240" s="481">
        <v>100</v>
      </c>
    </row>
    <row r="241" spans="1:12" x14ac:dyDescent="0.2">
      <c r="A241" s="1504" t="s">
        <v>815</v>
      </c>
      <c r="B241" s="614">
        <v>2220</v>
      </c>
      <c r="C241" s="616"/>
      <c r="D241" s="466">
        <v>3988</v>
      </c>
      <c r="E241" s="616"/>
      <c r="F241" s="616"/>
      <c r="G241" s="616"/>
      <c r="H241" s="616"/>
      <c r="I241" s="616"/>
      <c r="J241" s="616"/>
      <c r="K241" s="1672">
        <f>D241</f>
        <v>3988</v>
      </c>
      <c r="L241" s="466">
        <v>4690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4127</v>
      </c>
      <c r="E243" s="616"/>
      <c r="F243" s="616"/>
      <c r="G243" s="616"/>
      <c r="H243" s="616"/>
      <c r="I243" s="616"/>
      <c r="J243" s="616"/>
      <c r="K243" s="1670">
        <f>SUM(K240:K242)</f>
        <v>4127</v>
      </c>
      <c r="L243" s="1670">
        <f>SUM(L240:L242)</f>
        <v>4790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4682</v>
      </c>
      <c r="E245" s="616"/>
      <c r="F245" s="616"/>
      <c r="G245" s="616"/>
      <c r="H245" s="616"/>
      <c r="I245" s="616"/>
      <c r="J245" s="616"/>
      <c r="K245" s="1672">
        <f>D245</f>
        <v>4682</v>
      </c>
      <c r="L245" s="481">
        <v>5500</v>
      </c>
    </row>
    <row r="246" spans="1:12" x14ac:dyDescent="0.2">
      <c r="A246" s="1504" t="s">
        <v>818</v>
      </c>
      <c r="B246" s="614">
        <v>2320</v>
      </c>
      <c r="C246" s="616"/>
      <c r="D246" s="466">
        <v>4743</v>
      </c>
      <c r="E246" s="616"/>
      <c r="F246" s="616"/>
      <c r="G246" s="616"/>
      <c r="H246" s="616"/>
      <c r="I246" s="616"/>
      <c r="J246" s="616"/>
      <c r="K246" s="1672">
        <f t="shared" ref="K246:K256" si="21">D246</f>
        <v>4743</v>
      </c>
      <c r="L246" s="466">
        <v>5170</v>
      </c>
    </row>
    <row r="247" spans="1:12" x14ac:dyDescent="0.2">
      <c r="A247" s="1504" t="s">
        <v>819</v>
      </c>
      <c r="B247" s="614">
        <v>2330</v>
      </c>
      <c r="C247" s="616"/>
      <c r="D247" s="466">
        <v>4247</v>
      </c>
      <c r="E247" s="616"/>
      <c r="F247" s="616"/>
      <c r="G247" s="616"/>
      <c r="H247" s="616"/>
      <c r="I247" s="616"/>
      <c r="J247" s="616"/>
      <c r="K247" s="1672">
        <f t="shared" si="21"/>
        <v>4247</v>
      </c>
      <c r="L247" s="466">
        <v>5180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1655</v>
      </c>
      <c r="E254" s="616"/>
      <c r="F254" s="616"/>
      <c r="G254" s="616"/>
      <c r="H254" s="616"/>
      <c r="I254" s="616"/>
      <c r="J254" s="616"/>
      <c r="K254" s="1672">
        <f t="shared" si="21"/>
        <v>1655</v>
      </c>
      <c r="L254" s="466">
        <v>1500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15327</v>
      </c>
      <c r="E257" s="616"/>
      <c r="F257" s="616"/>
      <c r="G257" s="616"/>
      <c r="H257" s="616"/>
      <c r="I257" s="616"/>
      <c r="J257" s="616"/>
      <c r="K257" s="1670">
        <f>SUM(K245:K256)</f>
        <v>15327</v>
      </c>
      <c r="L257" s="1670">
        <f>SUM(L245:L256)</f>
        <v>17350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26318</v>
      </c>
      <c r="E259" s="616"/>
      <c r="F259" s="616"/>
      <c r="G259" s="616"/>
      <c r="H259" s="616"/>
      <c r="I259" s="616"/>
      <c r="J259" s="616"/>
      <c r="K259" s="1672">
        <f>D259</f>
        <v>26318</v>
      </c>
      <c r="L259" s="481">
        <v>28830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26318</v>
      </c>
      <c r="E261" s="616"/>
      <c r="F261" s="616"/>
      <c r="G261" s="616"/>
      <c r="H261" s="616"/>
      <c r="I261" s="616"/>
      <c r="J261" s="616"/>
      <c r="K261" s="1670">
        <f>SUM(K259:K260)</f>
        <v>26318</v>
      </c>
      <c r="L261" s="1670">
        <f>SUM(L259:L260)</f>
        <v>28830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15167</v>
      </c>
      <c r="E264" s="616"/>
      <c r="F264" s="616"/>
      <c r="G264" s="616"/>
      <c r="H264" s="616"/>
      <c r="I264" s="616"/>
      <c r="J264" s="616"/>
      <c r="K264" s="1672">
        <f t="shared" ref="K264:K269" si="22">D264</f>
        <v>15167</v>
      </c>
      <c r="L264" s="466">
        <v>17150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57666</v>
      </c>
      <c r="E266" s="616"/>
      <c r="F266" s="616"/>
      <c r="G266" s="616"/>
      <c r="H266" s="616"/>
      <c r="I266" s="616"/>
      <c r="J266" s="616"/>
      <c r="K266" s="1672">
        <f t="shared" si="22"/>
        <v>57666</v>
      </c>
      <c r="L266" s="466">
        <v>58200</v>
      </c>
    </row>
    <row r="267" spans="1:14" x14ac:dyDescent="0.2">
      <c r="A267" s="1504" t="s">
        <v>953</v>
      </c>
      <c r="B267" s="614">
        <v>2550</v>
      </c>
      <c r="C267" s="616"/>
      <c r="D267" s="466">
        <v>75496</v>
      </c>
      <c r="E267" s="616"/>
      <c r="F267" s="616"/>
      <c r="G267" s="616"/>
      <c r="H267" s="616"/>
      <c r="I267" s="616"/>
      <c r="J267" s="616"/>
      <c r="K267" s="1672">
        <f t="shared" si="22"/>
        <v>75496</v>
      </c>
      <c r="L267" s="466">
        <v>87600</v>
      </c>
    </row>
    <row r="268" spans="1:14" x14ac:dyDescent="0.2">
      <c r="A268" s="1504" t="s">
        <v>100</v>
      </c>
      <c r="B268" s="614">
        <v>2560</v>
      </c>
      <c r="C268" s="616"/>
      <c r="D268" s="466">
        <v>323</v>
      </c>
      <c r="E268" s="616"/>
      <c r="F268" s="616"/>
      <c r="G268" s="616"/>
      <c r="H268" s="616"/>
      <c r="I268" s="616"/>
      <c r="J268" s="616"/>
      <c r="K268" s="1672">
        <f t="shared" si="22"/>
        <v>323</v>
      </c>
      <c r="L268" s="466">
        <v>660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148652</v>
      </c>
      <c r="E270" s="616"/>
      <c r="F270" s="616"/>
      <c r="G270" s="616"/>
      <c r="H270" s="616"/>
      <c r="I270" s="616"/>
      <c r="J270" s="616"/>
      <c r="K270" s="1670">
        <f>SUM(K263:K269)</f>
        <v>148652</v>
      </c>
      <c r="L270" s="1670">
        <f>SUM(L263:L269)</f>
        <v>163610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15921</v>
      </c>
      <c r="E278" s="616"/>
      <c r="F278" s="616"/>
      <c r="G278" s="616"/>
      <c r="H278" s="616"/>
      <c r="I278" s="616"/>
      <c r="J278" s="616"/>
      <c r="K278" s="1685">
        <f>D278</f>
        <v>15921</v>
      </c>
      <c r="L278" s="656">
        <v>16680</v>
      </c>
    </row>
    <row r="279" spans="1:12" ht="12.75" customHeight="1" thickBot="1" x14ac:dyDescent="0.25">
      <c r="A279" s="1698" t="s">
        <v>811</v>
      </c>
      <c r="B279" s="1681">
        <v>2000</v>
      </c>
      <c r="C279" s="616"/>
      <c r="D279" s="1677">
        <f>SUM(D238,D243,D257,D261,D270,D277,D278)</f>
        <v>221020</v>
      </c>
      <c r="E279" s="616"/>
      <c r="F279" s="616"/>
      <c r="G279" s="616"/>
      <c r="H279" s="616"/>
      <c r="I279" s="616"/>
      <c r="J279" s="616"/>
      <c r="K279" s="1677">
        <f>SUM(K238,K243,K257,K261,K270,K277,K278)</f>
        <v>221020</v>
      </c>
      <c r="L279" s="1677">
        <f>SUM(L238,L243,L257,L261,L270,L277,L278)</f>
        <v>244210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7" t="s">
        <v>505</v>
      </c>
      <c r="B295" s="2178"/>
      <c r="C295" s="616"/>
      <c r="D295" s="1670">
        <f>SUM(D229,D279,D280,D285)</f>
        <v>317390</v>
      </c>
      <c r="E295" s="616"/>
      <c r="F295" s="616"/>
      <c r="G295" s="616"/>
      <c r="H295" s="1670">
        <f>H293</f>
        <v>0</v>
      </c>
      <c r="I295" s="616"/>
      <c r="J295" s="616"/>
      <c r="K295" s="1670">
        <f>SUM(K229,K279,K280,K285,K293,K294)</f>
        <v>317390</v>
      </c>
      <c r="L295" s="1670">
        <f>SUM(L229,L279,L280,L285,L293,L294)</f>
        <v>367848</v>
      </c>
    </row>
    <row r="296" spans="1:14" ht="13.5" thickTop="1" x14ac:dyDescent="0.2">
      <c r="A296" s="2186" t="s">
        <v>996</v>
      </c>
      <c r="B296" s="2187"/>
      <c r="C296" s="616"/>
      <c r="D296" s="618"/>
      <c r="E296" s="616"/>
      <c r="F296" s="616"/>
      <c r="G296" s="616"/>
      <c r="H296" s="687"/>
      <c r="I296" s="616"/>
      <c r="J296" s="616"/>
      <c r="K296" s="1684">
        <f>'Revenues 9-14'!G268-'Expenditures 15-22'!K295</f>
        <v>22504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95743</v>
      </c>
      <c r="F322" s="467"/>
      <c r="G322" s="467"/>
      <c r="H322" s="467"/>
      <c r="I322" s="467"/>
      <c r="J322" s="467"/>
      <c r="K322" s="1671">
        <f t="shared" si="24"/>
        <v>95743</v>
      </c>
      <c r="L322" s="467">
        <v>95800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10335</v>
      </c>
      <c r="D325" s="467"/>
      <c r="E325" s="467"/>
      <c r="F325" s="467">
        <v>3240</v>
      </c>
      <c r="G325" s="467"/>
      <c r="H325" s="467"/>
      <c r="I325" s="467">
        <v>2124</v>
      </c>
      <c r="J325" s="467"/>
      <c r="K325" s="1671">
        <f t="shared" si="24"/>
        <v>15699</v>
      </c>
      <c r="L325" s="467">
        <v>11500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4792</v>
      </c>
      <c r="F327" s="467"/>
      <c r="G327" s="467"/>
      <c r="H327" s="467"/>
      <c r="I327" s="467"/>
      <c r="J327" s="467"/>
      <c r="K327" s="1671">
        <f t="shared" si="24"/>
        <v>4792</v>
      </c>
      <c r="L327" s="467">
        <v>18000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10335</v>
      </c>
      <c r="D330" s="1670">
        <f t="shared" ref="D330:J330" si="25">SUM(D319:D329)</f>
        <v>0</v>
      </c>
      <c r="E330" s="1670">
        <f t="shared" si="25"/>
        <v>100535</v>
      </c>
      <c r="F330" s="1670">
        <f t="shared" si="25"/>
        <v>3240</v>
      </c>
      <c r="G330" s="1670">
        <f t="shared" si="25"/>
        <v>0</v>
      </c>
      <c r="H330" s="1670">
        <f t="shared" si="25"/>
        <v>0</v>
      </c>
      <c r="I330" s="1670">
        <f t="shared" si="25"/>
        <v>2124</v>
      </c>
      <c r="J330" s="1670">
        <f t="shared" si="25"/>
        <v>0</v>
      </c>
      <c r="K330" s="1670">
        <f>SUM(K319:K329)</f>
        <v>116234</v>
      </c>
      <c r="L330" s="1670">
        <f>SUM(L319:L329)</f>
        <v>125300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10335</v>
      </c>
      <c r="D342" s="1670">
        <f>SUM(D330)</f>
        <v>0</v>
      </c>
      <c r="E342" s="1670">
        <f>SUM(E330)</f>
        <v>100535</v>
      </c>
      <c r="F342" s="1670">
        <f>SUM(F330)</f>
        <v>3240</v>
      </c>
      <c r="G342" s="1670">
        <f>SUM(G330)</f>
        <v>0</v>
      </c>
      <c r="H342" s="1670">
        <f>SUM(H330,H334,H340)</f>
        <v>0</v>
      </c>
      <c r="I342" s="1670">
        <f>SUM(I330)</f>
        <v>2124</v>
      </c>
      <c r="J342" s="1670">
        <f>SUM(J330)</f>
        <v>0</v>
      </c>
      <c r="K342" s="1670">
        <f>SUM(K330,K334,K340)</f>
        <v>116234</v>
      </c>
      <c r="L342" s="1677">
        <f>SUM(L330,L340,L341)</f>
        <v>125300</v>
      </c>
    </row>
    <row r="343" spans="1:14" ht="12.75" customHeight="1" thickTop="1" x14ac:dyDescent="0.2">
      <c r="A343" s="2172" t="s">
        <v>996</v>
      </c>
      <c r="B343" s="2173"/>
      <c r="C343" s="616"/>
      <c r="D343" s="616"/>
      <c r="E343" s="616"/>
      <c r="F343" s="616"/>
      <c r="G343" s="616"/>
      <c r="H343" s="616"/>
      <c r="I343" s="616"/>
      <c r="J343" s="616"/>
      <c r="K343" s="1684">
        <f>'Revenues 9-14'!J268-'Expenditures 15-22'!K342</f>
        <v>-8615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6" t="s">
        <v>996</v>
      </c>
      <c r="B368" s="2187"/>
      <c r="C368" s="654"/>
      <c r="D368" s="654"/>
      <c r="E368" s="626"/>
      <c r="F368" s="626"/>
      <c r="G368" s="626"/>
      <c r="H368" s="626"/>
      <c r="I368" s="626"/>
      <c r="J368" s="623"/>
      <c r="K368" s="1671">
        <f>'Revenues 9-14'!K268-'Expenditures 15-22'!K367</f>
        <v>1246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&amp;C&amp;"Arial,Bold"&amp;9STATEMENT OF EXPENDITURES DISBURSED, BUDGET TO ACTUAL
FOR THE YEAR ENDING JUNE 30, 2019</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terms/"/>
    <ds:schemaRef ds:uri="6ce3111e-7420-4802-b50a-75d4e9a0b980"/>
    <ds:schemaRef ds:uri="d21dc803-237d-4c68-8692-8d731fd29118"/>
    <ds:schemaRef ds:uri="http://schemas.microsoft.com/sharepoint/v3"/>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2019-09-12T16:47:57Z</cp:lastPrinted>
  <dcterms:created xsi:type="dcterms:W3CDTF">2003-10-29T19:06:34Z</dcterms:created>
  <dcterms:modified xsi:type="dcterms:W3CDTF">2019-12-23T17:41:31Z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