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EE01D0E-CF6A-4AEF-B9D6-8878ACE2CEE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4" r:id="rId31"/>
    <sheet name="SF&amp;QC Sec-2" sheetId="175" r:id="rId32"/>
    <sheet name="SF&amp;QC Sec-3" sheetId="176" r:id="rId33"/>
    <sheet name="SSPAF" sheetId="177" r:id="rId34"/>
    <sheet name="CAP 2019-001" sheetId="183" r:id="rId35"/>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2" i="184" l="1"/>
  <c r="B17" i="17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4" i="184" s="1"/>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83" s="1"/>
  <c r="A2" i="170"/>
  <c r="B2" i="174"/>
  <c r="A2" i="173"/>
  <c r="A1" i="171"/>
  <c r="B1" i="179"/>
  <c r="B2" i="176"/>
  <c r="B1" i="175"/>
  <c r="B1" i="177"/>
  <c r="B1" i="183" s="1"/>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J22" i="37"/>
  <c r="D24" i="37"/>
  <c r="B4270" i="106" s="1"/>
  <c r="D4270" i="106" s="1"/>
  <c r="L5" i="11"/>
  <c r="B2056" i="106" s="1"/>
  <c r="D2056" i="106" s="1"/>
  <c r="D22" i="37" l="1"/>
  <c r="F71" i="34"/>
  <c r="D31" i="108"/>
  <c r="J210" i="29"/>
  <c r="B7072" i="106" s="1"/>
  <c r="D7072" i="106" s="1"/>
  <c r="F50" i="34"/>
  <c r="I210" i="29"/>
  <c r="B7071" i="106" s="1"/>
  <c r="D7071" i="106" s="1"/>
  <c r="J49" i="8"/>
  <c r="B4172" i="106" s="1"/>
  <c r="D4172" i="106" s="1"/>
  <c r="J23" i="12"/>
  <c r="J24" i="12" s="1"/>
  <c r="F46" i="34"/>
  <c r="G33" i="108"/>
  <c r="D68" i="36"/>
  <c r="F42" i="34"/>
  <c r="D54" i="36"/>
  <c r="G14" i="4"/>
  <c r="B2609" i="106" s="1"/>
  <c r="D2609" i="106" s="1"/>
  <c r="H28" i="118"/>
  <c r="L15" i="11"/>
  <c r="B3459" i="106" s="1"/>
  <c r="D3459" i="106" s="1"/>
  <c r="F36" i="34"/>
  <c r="B7074" i="106"/>
  <c r="D7074" i="106" s="1"/>
  <c r="G30" i="108"/>
  <c r="B1124" i="106"/>
  <c r="D1124" i="106" s="1"/>
  <c r="E30" i="108"/>
  <c r="H112" i="29"/>
  <c r="B7018" i="106" s="1"/>
  <c r="D7018" i="106" s="1"/>
  <c r="B6289" i="106"/>
  <c r="D6289" i="106" s="1"/>
  <c r="F49" i="34"/>
  <c r="B6995" i="106"/>
  <c r="D6995" i="106" s="1"/>
  <c r="B7078" i="106"/>
  <c r="D7078" i="106" s="1"/>
  <c r="F64" i="34"/>
  <c r="F36" i="108"/>
  <c r="H76" i="4"/>
  <c r="B3298" i="106" s="1"/>
  <c r="D3298"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B7270" i="106"/>
  <c r="B7730" i="106" l="1"/>
  <c r="D7730" i="106" s="1"/>
  <c r="N22" i="3"/>
  <c r="B283" i="106" s="1"/>
  <c r="D283" i="106" s="1"/>
  <c r="K28" i="118"/>
  <c r="O27" i="118" s="1"/>
  <c r="O29" i="118" s="1"/>
  <c r="D7250" i="106"/>
  <c r="D7254" i="106"/>
  <c r="D7252" i="106"/>
  <c r="H77" i="4"/>
  <c r="B3299" i="106" s="1"/>
  <c r="D3299" i="106" s="1"/>
  <c r="D7251" i="106"/>
  <c r="D7256" i="106"/>
  <c r="D7255" i="106"/>
  <c r="B1328" i="106"/>
  <c r="D1328" i="106" s="1"/>
  <c r="C367" i="29"/>
  <c r="B3622" i="106" s="1"/>
  <c r="D3622" i="106" s="1"/>
  <c r="J16" i="4"/>
  <c r="B6226" i="106" s="1"/>
  <c r="D6226" i="106" s="1"/>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<sst xmlns="http://schemas.openxmlformats.org/spreadsheetml/2006/main" count="5158" uniqueCount="2143">
  <si>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</si>
  <si>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</si>
  <si>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</si>
  <si>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</si>
  <si>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</si>
  <si>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</si>
  <si>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</si>
  <si>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</si>
  <si>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</si>
  <si>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</si>
  <si>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</si>
  <si>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</si>
  <si>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</si>
  <si>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</si>
  <si>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</si>
  <si>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</si>
  <si>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</si>
  <si>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</si>
  <si>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</si>
  <si>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</si>
  <si>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</si>
  <si>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</si>
  <si>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</si>
  <si>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</si>
  <si>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</si>
  <si>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</si>
  <si>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</si>
  <si>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</si>
  <si>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</si>
  <si>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</si>
  <si>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</si>
  <si>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</si>
  <si>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</si>
  <si>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</si>
  <si>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</si>
  <si>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</si>
  <si>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</si>
  <si>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</si>
  <si>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</si>
  <si>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</si>
  <si>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</si>
  <si>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</si>
  <si>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</si>
  <si>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</si>
  <si>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</si>
  <si>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</si>
  <si>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</si>
  <si>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</si>
  <si>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</si>
  <si>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</si>
  <si>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</si>
  <si>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</si>
  <si>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</si>
  <si>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</si>
  <si>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</si>
  <si>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</si>
  <si>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</si>
  <si>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</si>
  <si>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</si>
  <si>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</si>
  <si>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</si>
  <si>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</si>
  <si>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</si>
  <si>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</si>
  <si>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</si>
  <si>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</si>
  <si>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</si>
  <si>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</si>
  <si>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</si>
  <si>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</si>
  <si>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</si>
  <si>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</si>
  <si>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</si>
  <si>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</si>
  <si>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</si>
  <si>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</si>
  <si>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</si>
  <si>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</si>
  <si>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</si>
  <si>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</si>
  <si>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</si>
  <si>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</si>
  <si>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</si>
  <si>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</si>
  <si>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</si>
  <si>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</si>
  <si>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</si>
  <si>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</si>
  <si>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</si>
  <si>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</si>
  <si>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</si>
  <si>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</si>
  <si>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</si>
  <si>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</si>
  <si>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</si>
  <si>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</si>
  <si>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</si>
  <si>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</si>
  <si>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</si>
  <si>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</si>
  <si>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</si>
  <si>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</si>
  <si>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</si>
  <si>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</si>
  <si>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</si>
  <si>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</si>
  <si>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</si>
  <si>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</si>
  <si>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</si>
  <si>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</si>
  <si>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</si>
  <si>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</si>
  <si>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</si>
  <si>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</si>
  <si>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</si>
  <si>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</si>
  <si>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</si>
  <si>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</si>
  <si>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</si>
  <si>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</si>
  <si>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</si>
  <si>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</si>
  <si>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</si>
  <si>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</si>
  <si>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</si>
  <si>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</si>
  <si>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</si>
  <si>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</si>
  <si>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</si>
  <si>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</si>
  <si>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</si>
  <si>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</si>
  <si>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</si>
  <si>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</si>
  <si>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</si>
  <si>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</si>
  <si>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</si>
  <si>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</si>
  <si>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</si>
  <si>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</si>
  <si>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</si>
  <si>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</si>
  <si>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</si>
  <si>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</si>
  <si>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</si>
  <si>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</si>
  <si>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</si>
  <si>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</si>
  <si>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</si>
  <si>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</si>
  <si>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</si>
  <si>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</si>
  <si>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</si>
  <si>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</si>
  <si>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</si>
  <si>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</si>
  <si>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</si>
  <si>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</si>
  <si>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</si>
  <si>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</si>
  <si>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</si>
  <si>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</si>
  <si>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</si>
  <si>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</si>
  <si>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</si>
  <si>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</si>
  <si>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</si>
  <si>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</si>
  <si>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</si>
  <si>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</si>
  <si>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</si>
  <si>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</si>
  <si>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</si>
  <si>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</si>
  <si>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</si>
  <si>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</si>
  <si>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</si>
  <si>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</si>
  <si>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</si>
  <si>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</si>
  <si>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</si>
  <si>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</si>
  <si>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</si>
  <si>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</si>
  <si>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</si>
  <si>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</si>
  <si>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</si>
  <si>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</si>
  <si>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</si>
  <si>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</si>
  <si>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</si>
  <si>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</si>
  <si>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</si>
  <si>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</si>
  <si>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</si>
  <si>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</si>
  <si>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</si>
  <si>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</si>
  <si>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</si>
  <si>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</si>
  <si>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</si>
  <si>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</si>
  <si>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</si>
  <si>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</si>
  <si>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</si>
  <si>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</si>
  <si>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</si>
  <si>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</si>
  <si>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</si>
  <si>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</si>
  <si>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</si>
  <si>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</si>
  <si>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</si>
  <si>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</si>
  <si>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</si>
  <si>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</si>
  <si>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</si>
  <si>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</si>
  <si>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</si>
  <si>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</si>
  <si>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</si>
  <si>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</si>
  <si>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</si>
  <si>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</si>
  <si>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</si>
  <si>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</si>
  <si>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</si>
  <si>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</si>
  <si>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</si>
  <si>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</si>
  <si>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</si>
  <si>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</si>
  <si>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</si>
  <si>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</si>
  <si>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</si>
  <si>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</si>
  <si>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</si>
  <si>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</si>
  <si>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</si>
  <si>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</si>
  <si>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</si>
  <si>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</si>
  <si>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</si>
  <si>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</si>
  <si>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</si>
  <si>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</si>
  <si>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</si>
  <si>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</si>
  <si>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</si>
  <si>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</si>
  <si>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</si>
  <si>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</si>
  <si>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</si>
  <si>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</si>
  <si>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</si>
  <si>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</si>
  <si>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</si>
  <si>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</si>
  <si>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</si>
  <si>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</si>
  <si>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</si>
  <si>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</si>
  <si>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</si>
  <si>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</si>
  <si>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</si>
  <si>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</si>
  <si>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</si>
  <si>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</si>
  <si>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</si>
  <si>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</si>
  <si>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</si>
  <si>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</si>
  <si>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</si>
  <si>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</si>
  <si>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</si>
  <si>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</si>
  <si>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</si>
  <si>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</si>
  <si>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</si>
  <si>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</si>
  <si>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</si>
  <si>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</si>
  <si>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</si>
  <si>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</si>
  <si>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</si>
  <si>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</si>
  <si>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</si>
  <si>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</si>
  <si>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</si>
  <si>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</si>
  <si>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</si>
  <si>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</si>
  <si>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</si>
  <si>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</si>
  <si>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</si>
  <si>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</si>
  <si>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</si>
  <si>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</si>
  <si>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</si>
  <si>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</si>
  <si>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</si>
  <si>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</si>
  <si>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</si>
  <si>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</si>
  <si>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</si>
  <si>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</si>
  <si>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</si>
  <si>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</si>
  <si>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</si>
  <si>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</si>
  <si>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</si>
  <si>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</si>
  <si>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</si>
  <si>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</si>
  <si>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</si>
  <si>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</si>
  <si>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</si>
  <si>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</si>
  <si>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</si>
  <si>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</si>
  <si>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</si>
  <si>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</si>
  <si>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</si>
  <si>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</si>
  <si>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</si>
  <si>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</si>
  <si>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</si>
  <si>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</si>
  <si>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</si>
  <si>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</si>
  <si>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</si>
  <si>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</si>
  <si>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</si>
  <si>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</si>
  <si>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</si>
  <si>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</si>
  <si>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</si>
  <si>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</si>
  <si>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</si>
  <si>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</si>
  <si>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</si>
  <si>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</si>
  <si>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</si>
  <si>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</si>
  <si>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</si>
  <si>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</si>
  <si>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</si>
  <si>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</si>
  <si>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</si>
  <si>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</si>
  <si>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</si>
  <si>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</si>
  <si>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</si>
  <si>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</si>
  <si>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</si>
  <si>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</si>
  <si>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</si>
  <si>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</si>
  <si>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</si>
  <si>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</si>
  <si>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</si>
  <si>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</si>
  <si>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</si>
  <si>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</si>
  <si>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</si>
  <si>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</si>
  <si>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</si>
  <si>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</si>
  <si>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</si>
  <si>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</si>
  <si>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</si>
  <si>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</si>
  <si>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</si>
  <si>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</si>
  <si>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</si>
  <si>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</si>
  <si>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</si>
  <si>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</si>
  <si>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</si>
  <si>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</si>
  <si>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</si>
  <si>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</si>
  <si>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</si>
  <si>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</si>
  <si>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</si>
  <si>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</si>
  <si>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</si>
  <si>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</si>
  <si>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</si>
  <si>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</si>
  <si>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</si>
  <si>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</si>
  <si>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</si>
  <si>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</si>
  <si>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</si>
  <si>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</si>
  <si>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</si>
  <si>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</si>
  <si>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</si>
  <si>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</si>
  <si>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</si>
  <si>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</si>
  <si>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</si>
  <si>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</si>
  <si>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</si>
  <si>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</si>
  <si>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</si>
  <si>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</si>
  <si>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</si>
  <si>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</si>
  <si>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</si>
  <si>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</si>
  <si>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</si>
  <si>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</si>
  <si>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</si>
  <si>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</si>
  <si>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</si>
  <si>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</si>
  <si>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</si>
  <si>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</si>
  <si>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</si>
  <si>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</si>
  <si>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</si>
  <si>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</si>
  <si>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</si>
  <si>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</si>
  <si>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</si>
  <si>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</si>
  <si>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</si>
  <si>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</si>
  <si>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</si>
  <si>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</si>
  <si>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</si>
  <si>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</si>
  <si>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</si>
  <si>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</si>
  <si>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</si>
  <si>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</si>
  <si>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</si>
  <si>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</si>
  <si>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</si>
  <si>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</si>
  <si>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</si>
  <si>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</si>
  <si>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</si>
  <si>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</si>
  <si>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</si>
  <si>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</si>
  <si>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</si>
  <si>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</si>
  <si>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</si>
  <si>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</si>
  <si>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</si>
  <si>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</si>
  <si>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</si>
  <si>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</si>
  <si>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</si>
  <si>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</si>
  <si>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</si>
  <si>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</si>
  <si>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</si>
  <si>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</si>
  <si>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</si>
  <si>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</si>
  <si>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</si>
  <si>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</si>
  <si>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</si>
  <si>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</si>
  <si>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</si>
  <si>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</si>
  <si>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</si>
  <si>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</si>
  <si>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</si>
  <si>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</si>
  <si>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</si>
  <si>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</si>
  <si>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</si>
  <si>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</si>
  <si>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</si>
  <si>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</si>
  <si>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</si>
  <si>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</si>
  <si>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</si>
  <si>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</si>
  <si>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</si>
  <si>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</si>
  <si>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</si>
  <si>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</si>
  <si>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</si>
  <si>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</si>
  <si>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</si>
  <si>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</si>
  <si>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</si>
  <si>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</si>
  <si>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</si>
  <si>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</si>
  <si>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</si>
  <si>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</si>
  <si>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</si>
  <si>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</si>
  <si>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</si>
  <si>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</si>
  <si>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</si>
  <si>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</si>
  <si>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</si>
  <si>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</si>
  <si>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</si>
  <si>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</si>
  <si>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</si>
  <si>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</si>
  <si>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</si>
  <si>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</si>
  <si>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</si>
  <si>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</si>
  <si>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</si>
  <si>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</si>
  <si>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</si>
  <si>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</si>
  <si>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</si>
  <si>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</si>
  <si>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</si>
  <si>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</si>
  <si>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</si>
  <si>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</si>
  <si>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</si>
  <si>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</si>
  <si>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</si>
  <si>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</si>
  <si>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</si>
  <si>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</si>
  <si>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</si>
  <si>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</si>
  <si>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</si>
  <si>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</si>
  <si>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</si>
  <si>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</si>
  <si>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</si>
  <si>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</si>
  <si>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</si>
  <si>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</si>
  <si>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</si>
  <si>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</si>
  <si>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</si>
  <si>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</si>
  <si>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</si>
  <si>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</si>
  <si>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</si>
  <si>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</si>
  <si>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</si>
  <si>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</si>
  <si>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</si>
  <si>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</si>
  <si>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</si>
  <si>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</si>
  <si>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</si>
  <si>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</si>
  <si>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</si>
  <si>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</si>
  <si>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</si>
  <si>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</si>
  <si>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</si>
  <si>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</si>
  <si>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</si>
  <si>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</si>
  <si>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</si>
  <si>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</si>
  <si>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</si>
  <si>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</si>
  <si>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</si>
  <si>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</si>
  <si>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</si>
  <si>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</si>
  <si>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</si>
  <si>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</si>
  <si>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</si>
  <si>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</si>
  <si>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</si>
  <si>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</si>
  <si>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</si>
  <si>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</si>
  <si>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</si>
  <si>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</si>
  <si>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</si>
  <si>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</si>
  <si>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</si>
  <si>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</si>
  <si>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</si>
  <si>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</si>
  <si>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</si>
  <si>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</si>
  <si>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</si>
  <si>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</si>
  <si>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</si>
  <si>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</si>
  <si>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</si>
  <si>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</si>
  <si>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</si>
  <si>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</si>
  <si>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</si>
  <si>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</si>
  <si>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</si>
  <si>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</si>
  <si>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</si>
  <si>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</si>
  <si>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</si>
  <si>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</si>
  <si>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</si>
  <si>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</si>
  <si>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</si>
  <si>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</si>
  <si>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</si>
  <si>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</si>
  <si>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</si>
  <si>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</si>
  <si>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</si>
  <si>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</si>
  <si>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</si>
  <si>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</si>
  <si>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</si>
  <si>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</si>
  <si>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</si>
  <si>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</si>
  <si>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</si>
  <si>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</si>
  <si>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</si>
  <si>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</si>
  <si>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</si>
  <si>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</si>
  <si>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</si>
  <si>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</si>
  <si>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</si>
  <si>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</si>
  <si>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</si>
  <si>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</si>
  <si>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</si>
  <si>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</si>
  <si>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</si>
  <si>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</si>
  <si>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</si>
  <si>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</si>
  <si>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</si>
  <si>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</si>
  <si>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</si>
  <si>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</si>
  <si>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</si>
  <si>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</si>
  <si>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</si>
  <si>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</si>
  <si>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</si>
  <si>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</si>
  <si>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</si>
  <si>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</si>
  <si>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</si>
  <si>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</si>
  <si>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</si>
  <si>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</si>
  <si>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</si>
  <si>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</si>
  <si>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</si>
  <si>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</si>
  <si>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</si>
  <si>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</si>
  <si>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</si>
  <si>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</si>
  <si>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</si>
  <si>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</si>
  <si>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</si>
  <si>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</si>
  <si>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</si>
  <si>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</si>
  <si>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</si>
  <si>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</si>
  <si>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</si>
  <si>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</si>
  <si>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</si>
  <si>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</si>
  <si>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</si>
  <si>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</si>
  <si>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</si>
  <si>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</si>
  <si>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</si>
  <si>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</si>
  <si>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</si>
  <si>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</si>
  <si>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</si>
  <si>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</si>
  <si>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</si>
  <si>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</si>
  <si>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</si>
  <si>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</si>
  <si>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</si>
  <si>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</si>
  <si>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</si>
  <si>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</si>
  <si>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</si>
  <si>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</si>
  <si>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</si>
  <si>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</si>
  <si>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</si>
  <si>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</si>
  <si>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</si>
  <si>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</si>
  <si>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</si>
  <si>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</si>
  <si>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</si>
  <si>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</si>
  <si>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</si>
  <si>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</si>
  <si>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</si>
  <si>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</si>
  <si>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</si>
  <si>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</si>
  <si>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</si>
  <si>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</si>
  <si>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</si>
  <si>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</si>
  <si>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</si>
  <si>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</si>
  <si>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</si>
  <si>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</si>
  <si>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</si>
  <si>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</si>
  <si>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</si>
  <si>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</si>
  <si>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</si>
  <si>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</si>
  <si>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</si>
  <si>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</si>
  <si>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</si>
  <si>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</si>
  <si>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</si>
  <si>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</si>
  <si>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</si>
  <si>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</si>
  <si>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</si>
  <si>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</si>
  <si>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</si>
  <si>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</si>
  <si>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</si>
  <si>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</si>
  <si>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</si>
  <si>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</si>
  <si>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</si>
  <si>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</si>
  <si>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</si>
  <si>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</si>
  <si>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</si>
  <si>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</si>
  <si>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</si>
  <si>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</si>
  <si>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</si>
  <si>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</si>
  <si>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</si>
  <si>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</si>
  <si>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</si>
  <si>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</si>
  <si>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</si>
  <si>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</si>
  <si>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</si>
  <si>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</si>
  <si>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</si>
  <si>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</si>
  <si>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</si>
  <si>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</si>
  <si>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</si>
  <si>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</si>
  <si>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</si>
  <si>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</si>
  <si>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</si>
  <si>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</si>
  <si>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</si>
  <si>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</si>
  <si>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</si>
  <si>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</si>
  <si>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</si>
  <si>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</si>
  <si>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</si>
  <si>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</si>
  <si>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</si>
  <si>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</si>
  <si>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</si>
  <si>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</si>
  <si>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</si>
  <si>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</si>
  <si>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</si>
  <si>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</si>
  <si>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</si>
  <si>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</si>
  <si>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</si>
  <si>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</si>
  <si>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</si>
  <si>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</si>
  <si>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</si>
  <si>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</si>
  <si>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</si>
  <si>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</si>
  <si>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</si>
  <si>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</si>
  <si>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</si>
  <si>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</si>
  <si>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</si>
  <si>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</si>
  <si>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</si>
  <si>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</si>
  <si>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</si>
  <si>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</si>
  <si>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</si>
  <si>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</si>
  <si>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</si>
  <si>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</si>
  <si>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</si>
  <si>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</si>
  <si>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</si>
  <si>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</si>
  <si>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</si>
  <si>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</si>
  <si>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</si>
  <si>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</si>
  <si>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</si>
  <si>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</si>
  <si>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</si>
  <si>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</si>
  <si>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</si>
  <si>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</si>
  <si>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</si>
  <si>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</si>
  <si>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</si>
  <si>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</si>
  <si>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</si>
  <si>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</si>
  <si>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</si>
  <si>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</si>
  <si>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</si>
  <si>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</si>
  <si>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</si>
  <si>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</si>
  <si>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</si>
  <si>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</si>
  <si>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</si>
  <si>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</si>
  <si>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</si>
  <si>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</si>
  <si>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</si>
  <si>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</si>
  <si>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</si>
  <si>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</si>
  <si>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</si>
  <si>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</si>
  <si>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</si>
  <si>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</si>
  <si>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</si>
  <si>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</si>
  <si>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</si>
  <si>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</si>
  <si>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</si>
  <si>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</si>
  <si>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</si>
  <si>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</si>
  <si>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</si>
  <si>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</si>
  <si>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</si>
  <si>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</si>
  <si>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</si>
  <si>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</si>
  <si>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</si>
  <si>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</si>
  <si>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</si>
  <si>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</si>
  <si>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</si>
  <si>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</si>
  <si>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</si>
  <si>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</si>
  <si>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</si>
  <si>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</si>
  <si>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</si>
  <si>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</si>
  <si>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</si>
  <si>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</si>
  <si>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</si>
  <si>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</si>
  <si>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</si>
  <si>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</si>
  <si>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</si>
  <si>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</si>
  <si>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</si>
  <si>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</si>
  <si>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</si>
  <si>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</si>
  <si>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</si>
  <si>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</si>
  <si>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</si>
  <si>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</si>
  <si>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</si>
  <si>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</si>
  <si>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</si>
  <si>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</si>
  <si>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</si>
  <si>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</si>
  <si>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</si>
  <si>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</si>
  <si>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</si>
  <si>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</si>
  <si>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</si>
  <si>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</si>
  <si>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</si>
  <si>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</si>
  <si>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</si>
  <si>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</si>
  <si>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</si>
  <si>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</si>
  <si>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</si>
  <si>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</si>
  <si>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</si>
  <si>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</si>
  <si>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</si>
  <si>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</si>
  <si>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</si>
  <si>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</si>
  <si>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</si>
  <si>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</si>
  <si>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</si>
  <si>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</si>
  <si>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</si>
  <si>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</si>
  <si>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</si>
  <si>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</si>
  <si>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</si>
  <si>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</si>
  <si>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</si>
  <si>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</si>
  <si>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</si>
  <si>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</si>
  <si>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</si>
  <si>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</si>
  <si>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</si>
  <si>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</si>
  <si>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</si>
  <si>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</si>
  <si>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</si>
  <si>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</si>
  <si>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</si>
  <si>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</si>
  <si>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</si>
  <si>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</si>
  <si>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</si>
  <si>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</si>
  <si>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</si>
  <si>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</si>
  <si>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</si>
  <si>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</si>
  <si>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</si>
  <si>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</si>
  <si>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</si>
  <si>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</si>
  <si>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</si>
  <si>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</si>
  <si>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</si>
  <si>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</si>
  <si>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</si>
  <si>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</si>
  <si>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</si>
  <si>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</si>
  <si>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</si>
  <si>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</si>
  <si>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</si>
  <si>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</si>
  <si>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</si>
  <si>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</si>
  <si>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</si>
  <si>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</si>
  <si>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</si>
  <si>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</si>
  <si>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</si>
  <si>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</si>
  <si>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</si>
  <si>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</si>
  <si>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</si>
  <si>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</si>
  <si>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</si>
  <si>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</si>
  <si>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</si>
  <si>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</si>
  <si>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</si>
  <si>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</si>
  <si>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</si>
  <si>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</si>
  <si>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</si>
  <si>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</si>
  <si>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</si>
  <si>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</si>
  <si>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</si>
  <si>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</si>
  <si>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</si>
  <si>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</si>
  <si>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</si>
  <si>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</si>
  <si>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</si>
  <si>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</si>
  <si>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</si>
  <si>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</si>
  <si>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</si>
  <si>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</si>
  <si>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</si>
  <si>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</si>
  <si>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</si>
  <si>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</si>
  <si>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</si>
  <si>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</si>
  <si>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</si>
  <si>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</si>
  <si>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</si>
  <si>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</si>
  <si>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</si>
  <si>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</si>
  <si>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</si>
  <si>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</si>
  <si>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</si>
  <si>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</si>
  <si>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</si>
  <si>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</si>
  <si>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</si>
  <si>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</si>
  <si>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</si>
  <si>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</si>
  <si>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</si>
  <si>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</si>
  <si>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</si>
  <si>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</si>
  <si>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</si>
  <si>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</si>
  <si>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</si>
  <si>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</si>
  <si>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</si>
  <si>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</si>
  <si>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</si>
  <si>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</si>
  <si>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</si>
  <si>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</si>
  <si>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</si>
  <si>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</si>
  <si>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</si>
  <si>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</si>
  <si>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</si>
  <si>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</si>
  <si>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</si>
  <si>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</si>
  <si>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</si>
  <si>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</si>
  <si>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</si>
  <si>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</si>
  <si>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</si>
  <si>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</si>
  <si>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</si>
  <si>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</si>
  <si>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</si>
  <si>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</si>
  <si>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</si>
  <si>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</si>
  <si>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</si>
  <si>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</si>
  <si>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</si>
  <si>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</si>
  <si>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</si>
  <si>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</si>
  <si>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</si>
  <si>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</si>
  <si>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</si>
  <si>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</si>
  <si>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</si>
  <si>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</si>
  <si>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</si>
  <si>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</si>
  <si>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</si>
  <si>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</si>
  <si>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</si>
  <si>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</si>
  <si>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</si>
  <si>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</si>
  <si>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</si>
  <si>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</si>
  <si>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</si>
  <si>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</si>
  <si>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</si>
  <si>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</si>
  <si>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</si>
  <si>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</si>
  <si>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</si>
  <si>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</si>
  <si>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</si>
  <si>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</si>
  <si>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</si>
  <si>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</si>
  <si>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</si>
  <si>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</si>
  <si>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</si>
  <si>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</si>
  <si>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</si>
  <si>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</si>
  <si>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</si>
  <si>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</si>
  <si>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</si>
  <si>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</si>
  <si>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</si>
  <si>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</si>
  <si>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</si>
  <si>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</si>
  <si>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</si>
  <si>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</si>
  <si>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</si>
  <si>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</si>
  <si>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</si>
  <si>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</si>
  <si>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</si>
  <si>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</si>
  <si>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</si>
  <si>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</si>
  <si>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</si>
  <si>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</si>
  <si>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</si>
  <si>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</si>
  <si>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</si>
  <si>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</si>
  <si>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</si>
  <si>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</si>
  <si>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</si>
  <si>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</si>
  <si>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</si>
  <si>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</si>
  <si>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</si>
  <si>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</si>
  <si>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</si>
  <si>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</si>
  <si>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</si>
  <si>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</si>
  <si>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</si>
  <si>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</si>
  <si>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</si>
  <si>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</si>
  <si>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</si>
  <si>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</si>
  <si>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</si>
  <si>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</si>
  <si>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</si>
  <si>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</si>
  <si>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</si>
  <si>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</si>
  <si>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</si>
  <si>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</si>
  <si>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</si>
  <si>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</si>
  <si>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</si>
  <si>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</si>
  <si>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</si>
  <si>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</si>
  <si>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</si>
  <si>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</si>
  <si>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</si>
  <si>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</si>
  <si>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</si>
  <si>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</si>
  <si>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</si>
  <si>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</si>
  <si>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</si>
  <si>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</si>
  <si>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</si>
  <si>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</si>
  <si>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</si>
  <si>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</si>
  <si>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</si>
  <si>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</si>
  <si>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</si>
  <si>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</si>
  <si>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</si>
  <si>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</si>
  <si>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</si>
  <si>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</si>
  <si>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</si>
  <si>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</si>
  <si>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</si>
  <si>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</si>
  <si>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</si>
  <si>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</si>
  <si>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</si>
  <si>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</si>
  <si>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</si>
  <si>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</si>
  <si>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</si>
  <si>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</si>
  <si>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</si>
  <si>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</si>
  <si>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</si>
  <si>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</si>
  <si>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</si>
  <si>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</si>
  <si>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</si>
  <si>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</si>
  <si>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</si>
  <si>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</si>
  <si>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</si>
  <si>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</si>
  <si>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</si>
  <si>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</si>
  <si>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</si>
  <si>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</si>
  <si>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</si>
  <si>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</si>
  <si>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</si>
  <si>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</si>
  <si>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</si>
  <si>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</si>
  <si>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</si>
  <si>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</si>
  <si>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</si>
  <si>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</si>
  <si>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</si>
  <si>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</si>
  <si>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</si>
  <si>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</si>
  <si>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</si>
  <si>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</si>
  <si>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</si>
  <si>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</si>
  <si>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</si>
  <si>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</si>
  <si>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</si>
  <si>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</si>
  <si>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</si>
  <si>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</si>
  <si>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</si>
  <si>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</si>
  <si>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</si>
  <si>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</si>
  <si>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</si>
  <si>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</si>
  <si>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</si>
  <si>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</si>
  <si>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</si>
  <si>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</si>
  <si>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</si>
  <si>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</si>
  <si>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</si>
  <si>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</si>
  <si>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</si>
  <si>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</si>
  <si>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</si>
  <si>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</si>
  <si>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</si>
  <si>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</si>
  <si>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</si>
  <si>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</si>
  <si>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</si>
  <si>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</si>
  <si>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</si>
  <si>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</si>
  <si>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</si>
  <si>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</si>
  <si>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</si>
  <si>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</si>
  <si>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</si>
  <si>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</si>
  <si>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</si>
  <si>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</si>
  <si>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</si>
  <si>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</si>
  <si>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</si>
  <si>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</si>
  <si>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</si>
  <si>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</si>
  <si>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</si>
  <si>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</si>
  <si>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</si>
  <si>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</si>
  <si>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</si>
  <si>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</si>
  <si>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</si>
  <si>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</si>
  <si>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</si>
  <si>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</si>
  <si>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</si>
  <si>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</si>
  <si>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</si>
  <si>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</si>
  <si>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</si>
  <si>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</si>
  <si>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</si>
  <si>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</si>
  <si>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</si>
  <si>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</si>
  <si>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</si>
  <si>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</si>
  <si>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</si>
  <si>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</si>
  <si>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</si>
  <si>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</si>
  <si>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</si>
  <si>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</si>
  <si>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</si>
  <si>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</si>
  <si>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</si>
  <si>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</si>
  <si>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</si>
  <si>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</si>
  <si>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</si>
  <si>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</si>
  <si>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</si>
  <si>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</si>
  <si>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</si>
  <si>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</si>
  <si>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</si>
  <si>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</si>
  <si>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</si>
  <si>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</si>
  <si>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</si>
  <si>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</si>
  <si>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</si>
  <si>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</si>
  <si>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</si>
  <si>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</si>
  <si>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</si>
  <si>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</si>
  <si>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</si>
  <si>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</si>
  <si>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</si>
  <si>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</si>
  <si>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</si>
  <si>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</si>
  <si>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</si>
  <si>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</si>
  <si>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</si>
  <si>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</si>
  <si>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</si>
  <si>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</si>
  <si>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</si>
  <si>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</si>
  <si>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</si>
  <si>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</si>
  <si>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</si>
  <si>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</si>
  <si>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</si>
  <si>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</si>
  <si>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</si>
  <si>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</si>
  <si>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</si>
  <si>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</si>
  <si>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</si>
  <si>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</si>
  <si>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</si>
  <si>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</si>
  <si>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</si>
  <si>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</si>
  <si>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</si>
  <si>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</si>
  <si>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</si>
  <si>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</si>
  <si>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</si>
  <si>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</si>
  <si>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</si>
  <si>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</si>
  <si>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</si>
  <si>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</si>
  <si>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</si>
  <si>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</si>
  <si>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</si>
  <si>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</si>
  <si>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</si>
  <si>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</si>
  <si>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</si>
  <si>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</si>
  <si>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</si>
  <si>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</si>
  <si>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</si>
  <si>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</si>
  <si>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</si>
  <si>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</si>
  <si>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</si>
  <si>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</si>
  <si>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</si>
  <si>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</si>
  <si>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</si>
  <si>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</si>
  <si>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</si>
  <si>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</si>
  <si>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</si>
  <si>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</si>
  <si>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</si>
  <si>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</si>
  <si>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</si>
  <si>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</si>
  <si>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</si>
  <si>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</si>
  <si>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</si>
  <si>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</si>
  <si>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</si>
  <si>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</si>
  <si>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</si>
  <si>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</si>
  <si>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</si>
  <si>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</si>
  <si>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</si>
  <si>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</si>
  <si>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</si>
  <si>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</si>
  <si>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</si>
  <si>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</si>
  <si>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</si>
  <si>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</si>
  <si>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</si>
  <si>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</si>
  <si>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</si>
  <si>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</si>
  <si>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</si>
  <si>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</si>
  <si>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</si>
  <si>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</si>
  <si>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</si>
  <si>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</si>
  <si>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</si>
  <si>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</si>
  <si>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</si>
  <si>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</si>
  <si>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</si>
  <si>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</si>
  <si>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</si>
  <si>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</si>
  <si>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</si>
  <si>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</si>
  <si>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</si>
  <si>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</si>
  <si>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</si>
  <si>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</si>
  <si>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</si>
  <si>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</si>
  <si>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</si>
  <si>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</si>
  <si>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</si>
  <si>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</si>
  <si>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</si>
  <si>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</si>
  <si>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</si>
  <si>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</si>
  <si>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</si>
  <si>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</si>
  <si>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</si>
  <si>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</si>
  <si>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</si>
  <si>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</si>
  <si>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</si>
  <si>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</si>
  <si>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</si>
  <si>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</si>
  <si>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</si>
  <si>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</si>
  <si>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</si>
  <si>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</si>
  <si>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</si>
  <si>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</si>
  <si>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</si>
  <si>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</si>
  <si>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</si>
  <si>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</si>
  <si>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</si>
  <si>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</si>
  <si>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</si>
  <si>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</si>
  <si>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</si>
  <si>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</si>
  <si>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</si>
  <si>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</si>
  <si>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</si>
  <si>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</si>
  <si>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</si>
  <si>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</si>
  <si>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</si>
  <si>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</si>
  <si>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</si>
  <si>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</si>
  <si>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</si>
  <si>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</si>
  <si>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</si>
  <si>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</si>
  <si>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</si>
  <si>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</si>
  <si>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</si>
  <si>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</si>
  <si>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</si>
  <si>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</si>
  <si>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</si>
  <si>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</si>
  <si>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</si>
  <si>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</si>
  <si>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</si>
  <si>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</si>
  <si>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</si>
  <si>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</si>
  <si>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</si>
  <si>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</si>
  <si>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</si>
  <si>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</si>
  <si>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</si>
  <si>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</si>
  <si>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</si>
  <si>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</si>
  <si>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</si>
  <si>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</si>
  <si>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</si>
  <si>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</si>
  <si>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</si>
  <si>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</si>
  <si>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</si>
  <si>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</si>
  <si>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</si>
  <si>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</si>
  <si>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</si>
  <si>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</si>
  <si>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</si>
  <si>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</si>
  <si>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</si>
  <si>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</si>
  <si>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</si>
  <si>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</si>
  <si>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</si>
  <si>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</si>
  <si>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</si>
  <si>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</si>
  <si>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</si>
  <si>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</si>
  <si>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</si>
  <si>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</si>
  <si>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</si>
  <si>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</si>
  <si>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</si>
  <si>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</si>
  <si>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</si>
  <si>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</si>
  <si>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</si>
  <si>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</si>
  <si>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</si>
  <si>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</si>
  <si>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</si>
  <si>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</si>
  <si>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</si>
  <si>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</si>
  <si>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</si>
  <si>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</si>
  <si>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</si>
  <si>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</si>
  <si>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</si>
  <si>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</si>
  <si>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</si>
  <si>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</si>
  <si>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</si>
  <si>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</si>
  <si>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</si>
  <si>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</si>
  <si>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</si>
  <si>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</si>
  <si>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</si>
  <si>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</si>
  <si>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</si>
  <si>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</si>
  <si>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</si>
  <si>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</si>
  <si>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</si>
  <si>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</si>
  <si>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</si>
  <si>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</si>
  <si>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</si>
  <si>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</si>
  <si>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</si>
  <si>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</si>
  <si>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</si>
  <si>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</si>
  <si>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</si>
  <si>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</si>
  <si>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</si>
  <si>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</si>
  <si>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</si>
  <si>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</si>
  <si>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</si>
  <si>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</si>
  <si>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</si>
  <si>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</si>
  <si>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</si>
  <si>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</si>
  <si>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</si>
  <si>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</si>
  <si>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</si>
  <si>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</si>
  <si>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</si>
  <si>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</si>
  <si>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</si>
  <si>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</si>
  <si>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</si>
  <si>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</si>
  <si>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</si>
  <si>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</si>
  <si>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</si>
  <si>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</si>
  <si>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</si>
  <si>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</si>
  <si>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</si>
  <si>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</si>
  <si>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</si>
  <si>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</si>
  <si>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</si>
  <si>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</si>
  <si>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</si>
  <si>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</si>
  <si>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</si>
  <si>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</si>
  <si>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</si>
  <si>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</si>
  <si>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</si>
  <si>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</si>
  <si>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</si>
  <si>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</si>
  <si>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</si>
  <si>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</si>
  <si>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</si>
  <si>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</si>
  <si>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</si>
  <si>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</si>
  <si>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</si>
  <si>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</si>
  <si>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</si>
  <si>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</si>
  <si>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</si>
  <si>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</si>
  <si>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</si>
  <si>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</si>
  <si>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</si>
  <si>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</si>
  <si>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</si>
  <si>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</si>
  <si>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</si>
  <si>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</si>
  <si>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</si>
  <si>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</si>
  <si>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</si>
  <si>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</si>
  <si>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</si>
  <si>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</si>
  <si>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</si>
  <si>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</si>
  <si>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</si>
  <si>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</si>
  <si>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</si>
  <si>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</si>
  <si>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</si>
  <si>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</si>
  <si>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</si>
  <si>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</si>
  <si>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</si>
  <si>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</si>
  <si>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</si>
  <si>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</si>
  <si>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</si>
  <si>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</si>
  <si>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</si>
  <si>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</si>
  <si>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</si>
  <si>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</si>
  <si>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</si>
  <si>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</si>
  <si>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</si>
  <si>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</si>
  <si>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</si>
  <si>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</si>
  <si>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</si>
  <si>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</si>
  <si>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</si>
  <si>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</si>
  <si>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</si>
  <si>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</si>
  <si>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</si>
  <si>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</si>
  <si>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</si>
  <si>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</si>
  <si>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</si>
  <si>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</si>
  <si>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</si>
  <si>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</si>
  <si>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</si>
  <si>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</si>
  <si>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</si>
  <si>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</si>
  <si>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</si>
  <si>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</si>
  <si>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</si>
  <si>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</si>
  <si>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</si>
  <si>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</si>
  <si>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</si>
  <si>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</si>
  <si>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</si>
  <si>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</si>
  <si>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</si>
  <si>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</si>
  <si>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</si>
  <si>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</si>
  <si>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</si>
  <si>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</si>
  <si>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</si>
  <si>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</si>
  <si>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</si>
  <si>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</si>
  <si>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</si>
  <si>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</si>
  <si>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</si>
  <si>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</si>
  <si>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</si>
  <si>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</si>
  <si>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</si>
  <si>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</si>
  <si>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</si>
  <si>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</si>
  <si>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</si>
  <si>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</si>
  <si>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</si>
  <si>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</si>
  <si>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</si>
  <si>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</si>
  <si>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</si>
  <si>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</si>
  <si>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</si>
  <si>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</si>
  <si>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</si>
  <si>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</si>
  <si>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</si>
  <si>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</si>
  <si>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</si>
  <si>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</si>
  <si>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</si>
  <si>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</si>
  <si>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</si>
  <si>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</si>
  <si>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</si>
  <si>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</si>
  <si>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</si>
  <si>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</si>
  <si>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</si>
  <si>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</si>
  <si>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</si>
  <si>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</si>
  <si>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</si>
  <si>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</si>
  <si>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</si>
  <si>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</si>
  <si>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</si>
  <si>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</si>
  <si>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</si>
  <si>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</si>
  <si>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</si>
  <si>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</si>
  <si>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</si>
  <si>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</si>
  <si>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</si>
  <si>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</si>
  <si>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</si>
  <si>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</si>
  <si>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</si>
  <si>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</si>
  <si>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</si>
  <si>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</si>
  <si>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</si>
  <si>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</si>
  <si>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</si>
  <si>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</si>
  <si>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</si>
  <si>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</si>
  <si>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</si>
  <si>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</si>
  <si>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</si>
  <si>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</si>
  <si>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</si>
  <si>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</si>
  <si>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</si>
  <si>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</si>
  <si>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</si>
  <si>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</si>
  <si>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</si>
  <si>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</si>
  <si>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</si>
  <si>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</si>
  <si>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</si>
  <si>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</si>
  <si>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</si>
  <si>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</si>
  <si>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</si>
  <si>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</si>
  <si>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</si>
  <si>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</si>
  <si>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</si>
  <si>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</si>
  <si>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</si>
  <si>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</si>
  <si>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</si>
  <si>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</si>
  <si>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</si>
  <si>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</si>
  <si>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</si>
  <si>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</si>
  <si>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</si>
  <si>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</si>
  <si>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</si>
  <si>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</si>
  <si>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</si>
  <si>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</si>
  <si>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</si>
  <si>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</si>
  <si>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</si>
  <si>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</si>
  <si>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</si>
  <si>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</si>
  <si>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</si>
  <si>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</si>
  <si>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</si>
  <si>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</si>
  <si>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</si>
  <si>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</si>
  <si>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</si>
  <si>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</si>
  <si>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</si>
  <si>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</si>
  <si>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</si>
  <si>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</si>
  <si>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</si>
  <si>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</si>
  <si>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</si>
  <si>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</si>
  <si>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</si>
  <si>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</si>
  <si>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</si>
  <si>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</si>
  <si>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</si>
  <si>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</si>
  <si>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</si>
  <si>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</si>
  <si>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</si>
  <si>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</si>
  <si>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</si>
  <si>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</si>
  <si>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</si>
  <si>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</si>
  <si>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</si>
  <si>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</si>
  <si>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</si>
  <si>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</si>
  <si>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</si>
  <si>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</si>
  <si>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</si>
  <si>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</si>
  <si>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</si>
  <si>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</si>
  <si>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</si>
  <si>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</si>
  <si>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</si>
  <si>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</si>
  <si>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</si>
  <si>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</si>
  <si>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</si>
  <si>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</si>
  <si>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</si>
  <si>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</si>
  <si>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</si>
  <si>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</si>
  <si>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</si>
  <si>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</si>
  <si>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</si>
  <si>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</si>
  <si>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</si>
  <si>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</si>
  <si>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</si>
  <si>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</si>
  <si>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</si>
  <si>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</si>
  <si>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</si>
  <si>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</si>
  <si>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</si>
  <si>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</si>
  <si>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</si>
  <si>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</si>
  <si>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</si>
  <si>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</si>
  <si>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</si>
  <si>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</si>
  <si>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</si>
  <si>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</si>
  <si>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</si>
  <si>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</si>
  <si>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</si>
  <si>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</si>
  <si>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</si>
  <si>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</si>
  <si>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</si>
  <si>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</si>
  <si>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</si>
  <si>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</si>
  <si>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</si>
  <si>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</si>
  <si>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</si>
  <si>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</si>
  <si>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</si>
  <si>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</si>
  <si>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</si>
  <si>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</si>
  <si>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</si>
  <si>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</si>
  <si>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</si>
  <si>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</si>
  <si>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</si>
  <si>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</si>
  <si>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</si>
  <si>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</si>
  <si>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</si>
  <si>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</si>
  <si>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</si>
  <si>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</si>
  <si>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</si>
  <si>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</si>
  <si>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</si>
  <si>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</si>
  <si>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</si>
  <si>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</si>
  <si>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</si>
  <si>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</si>
  <si>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</si>
  <si>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</si>
  <si>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</si>
  <si>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</si>
  <si>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</si>
  <si>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</si>
  <si>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</si>
  <si>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</si>
  <si>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</si>
  <si>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</si>
  <si>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</si>
  <si>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</si>
  <si>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</si>
  <si>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</si>
  <si>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</si>
  <si>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</si>
  <si>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</si>
  <si>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</si>
  <si>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</si>
  <si>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</si>
  <si>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</si>
  <si>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</si>
  <si>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</si>
  <si>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</si>
  <si>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</si>
  <si>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</si>
  <si>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</si>
  <si>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</si>
  <si>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</si>
  <si>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</si>
  <si>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</si>
  <si>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</si>
  <si>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</si>
  <si>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</si>
  <si>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</si>
  <si>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</si>
  <si>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</si>
  <si>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</si>
  <si>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</si>
  <si>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</si>
  <si>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</si>
  <si>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</si>
  <si>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</si>
  <si>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</si>
  <si>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</si>
  <si>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</si>
  <si>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</si>
  <si>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</si>
  <si>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</si>
  <si>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</si>
  <si>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</si>
  <si>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</si>
  <si>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</si>
  <si>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</si>
  <si>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</si>
  <si>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</si>
  <si>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</si>
  <si>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</si>
  <si>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</si>
  <si>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</si>
  <si>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</si>
  <si>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</si>
  <si>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</si>
  <si>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</si>
  <si>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</si>
  <si>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</si>
  <si>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</si>
  <si>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</si>
  <si>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</si>
  <si>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</si>
  <si>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</si>
  <si>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</si>
  <si>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</si>
  <si>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</si>
  <si>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</si>
  <si>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</si>
  <si>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</si>
  <si>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</si>
  <si>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</si>
  <si>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</si>
  <si>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</si>
  <si>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</si>
  <si>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</si>
  <si>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</si>
  <si>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</si>
  <si>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</si>
  <si>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</si>
  <si>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</si>
  <si>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</si>
  <si>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</si>
  <si>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</si>
  <si>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</si>
  <si>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</si>
  <si>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</si>
  <si>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</si>
  <si>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</si>
  <si>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</si>
  <si>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</si>
  <si>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</si>
  <si>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</si>
  <si>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</si>
  <si>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</si>
  <si>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</si>
  <si>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</si>
  <si>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</si>
  <si>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</si>
  <si>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</si>
  <si>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</si>
  <si>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</si>
  <si>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</si>
  <si>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</si>
  <si>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</si>
  <si>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</si>
  <si>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</si>
  <si>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</si>
  <si>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</si>
  <si>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</si>
  <si>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</si>
  <si>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</si>
  <si>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</si>
  <si>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</si>
  <si>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</si>
  <si>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</si>
  <si>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</si>
  <si>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</si>
  <si>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</si>
  <si>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</si>
  <si>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</si>
  <si>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</si>
  <si>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</si>
  <si>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</si>
  <si>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</si>
  <si>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</si>
  <si>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</si>
  <si>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</si>
  <si>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</si>
  <si>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</si>
  <si>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</si>
  <si>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</si>
  <si>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</si>
  <si>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</si>
  <si>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</si>
  <si>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</si>
  <si>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</si>
  <si>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</si>
  <si>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</si>
  <si>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</si>
  <si>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16-019-4260-26</t>
  </si>
  <si>
    <t>DeKalb</t>
  </si>
  <si>
    <t>Hiawatha CUSD No. 426</t>
  </si>
  <si>
    <t>410 South First Street</t>
  </si>
  <si>
    <t>Kirkland</t>
  </si>
  <si>
    <t>jared.poynter@d426.org</t>
  </si>
  <si>
    <t>Russell J. Rumbold II, CPA</t>
  </si>
  <si>
    <t>rrumbold@gorenzcpa.com</t>
  </si>
  <si>
    <t>Jared Poynter</t>
  </si>
  <si>
    <t>815-522-3336</t>
  </si>
  <si>
    <t>815-522-6619</t>
  </si>
  <si>
    <t>2009A GO Bond</t>
  </si>
  <si>
    <t>2009B GO Bond</t>
  </si>
  <si>
    <t>2008 GO Bond</t>
  </si>
  <si>
    <t>Kishwaukee Education Consortium - Vocational</t>
  </si>
  <si>
    <t>Northern Illinois Independent Purchasing co-op - Food</t>
  </si>
  <si>
    <t>Ogle County Educational Co-op - outside tuition</t>
  </si>
  <si>
    <t>DeKalb ROE - IASA Job Bank</t>
  </si>
  <si>
    <t>Regional Office of Education - Publication of Prevailing Wage</t>
  </si>
  <si>
    <t>Illinois School District Liquid Asset Fund</t>
  </si>
  <si>
    <t>Prairie State insurance Cooperative</t>
  </si>
  <si>
    <t>IEC - Natural Gas</t>
  </si>
  <si>
    <t>Geneo-Kingston-Psychologist 18-19, Hearing 18-19</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</si>
  <si>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</si>
  <si>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</si>
  <si>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</si>
  <si>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</si>
  <si>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</si>
  <si>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</si>
  <si>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</si>
  <si>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</si>
  <si>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</si>
  <si>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</si>
  <si>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</si>
  <si>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</si>
  <si>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</si>
  <si>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</si>
  <si>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</si>
  <si>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Jared Poynter, Superintendent</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</si>
  <si>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</si>
  <si>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 xml:space="preserve">The Board of Education currently believes the cost of additional staff </t>
  </si>
  <si>
    <t>The Board of Education currently believes the cost of additional staff outweighs any benefits that may be realized.</t>
  </si>
  <si>
    <t>x</t>
  </si>
  <si>
    <t>The Board should take steps it considers necessary to limit the risks that a lack of segregation of duties presents; such as but not limited to hiring additional staff.</t>
  </si>
  <si>
    <t>The Board of Education has determined that two individuals is sufficient to perform the required duties and the benefits outweigh any additional risks of having the treasurer on-site.</t>
  </si>
  <si>
    <t>Certain individuals have the ability to complete and record accounting transactions which ideally would be segregated. The internal control benefits of an independent treasurer are diminished when the Treasurer is also employed by the District.</t>
  </si>
  <si>
    <t>All District accounting and financial records are primarily maintained by two individuals.</t>
  </si>
  <si>
    <t>AU-C 265 has prescribed definitions for significant deficiencies and material weaknesses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</si>
  <si>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</si>
  <si>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</si>
  <si>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 xml:space="preserve">    sequence of findings.  For example, findings identified and reported in the audit of fiscal year 2019 would be assigned a reference </t>
  </si>
  <si>
    <t xml:space="preserve">    number of 2019-001, 2019-002, etc.  The sheet is formatted so that only the number need be entered (1, 2, etc.).</t>
  </si>
  <si>
    <t>GORENZ AND ASSOCIATES, LTD.</t>
  </si>
  <si>
    <t>Part C - 20 - See Finding 2019-001</t>
  </si>
  <si>
    <t>Ed - Food Services - Other</t>
  </si>
  <si>
    <t>10-2560-600</t>
  </si>
  <si>
    <t>NIIPC</t>
  </si>
  <si>
    <t>Ed - Instruction - Other</t>
  </si>
  <si>
    <t>Easter Seals</t>
  </si>
  <si>
    <t>C.O.R.E. Academy</t>
  </si>
  <si>
    <t>Page 10, Line 106 - After School Care</t>
  </si>
  <si>
    <t>Page 10, Line 107 - Educational Fund - Refunds and Reimbursements</t>
  </si>
  <si>
    <t>Page 12, Line 168 - Library Grant</t>
  </si>
  <si>
    <t>Page 16, Line 56 - Dean's Salary and Benefits</t>
  </si>
  <si>
    <t>Page 16, Line 83 - Returned Portion of FY18 Early Childhood Grant</t>
  </si>
  <si>
    <t>Page 18, Line 171 - Bond Administration Fee</t>
  </si>
  <si>
    <t>Page 20, Line 260 - Dean's Benefits</t>
  </si>
  <si>
    <t xml:space="preserve">                                      Operations and Maintenance Fund - Metal Recycling, Refunds, and Reimbursements</t>
  </si>
  <si>
    <t>See  PDF version</t>
  </si>
  <si>
    <t>Hiawatha CUSD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</si>
</sst>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580159</xdr:colOff>
          <xdr:row>4</xdr:row>
          <xdr:rowOff>51954</xdr:rowOff>
        </xdr:from>
        <xdr:to>
          <xdr:col>1</xdr:col>
          <xdr:colOff>1494559</xdr:colOff>
          <xdr:row>8</xdr:row>
          <xdr:rowOff>90054</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1627910</xdr:colOff>
          <xdr:row>4</xdr:row>
          <xdr:rowOff>43296</xdr:rowOff>
        </xdr:from>
        <xdr:to>
          <xdr:col>1</xdr:col>
          <xdr:colOff>2538846</xdr:colOff>
          <xdr:row>8</xdr:row>
          <xdr:rowOff>81396</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1" t="s">
        <v>405</v>
      </c>
      <c r="J1" s="2002"/>
      <c r="K1" s="2002"/>
      <c r="L1" s="2002"/>
      <c r="M1" s="2002"/>
      <c r="N1" s="2002"/>
      <c r="O1" s="2002"/>
      <c r="P1" s="2002"/>
      <c r="Q1" s="2002"/>
      <c r="R1" s="2002"/>
      <c r="S1" s="2002"/>
    </row>
    <row r="2" spans="1:28" ht="12" customHeight="1" x14ac:dyDescent="0.2">
      <c r="A2" s="47" t="s">
        <v>1993</v>
      </c>
      <c r="D2" s="48"/>
      <c r="I2" s="2003" t="s">
        <v>979</v>
      </c>
      <c r="J2" s="2002"/>
      <c r="K2" s="2002"/>
      <c r="L2" s="2002"/>
      <c r="M2" s="2002"/>
      <c r="N2" s="2002"/>
      <c r="O2" s="2002"/>
      <c r="P2" s="2002"/>
      <c r="Q2" s="2002"/>
      <c r="R2" s="2002"/>
      <c r="S2" s="2002"/>
    </row>
    <row r="3" spans="1:28" ht="12" customHeight="1" x14ac:dyDescent="0.2">
      <c r="A3" s="155" t="s">
        <v>1945</v>
      </c>
      <c r="B3" s="156"/>
      <c r="C3" s="156"/>
      <c r="D3" s="157"/>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4" t="s">
        <v>2070</v>
      </c>
      <c r="C5" s="26" t="s">
        <v>910</v>
      </c>
      <c r="D5" s="84"/>
      <c r="E5" s="84"/>
      <c r="H5" s="38"/>
      <c r="I5" s="2011" t="s">
        <v>680</v>
      </c>
      <c r="J5" s="2010"/>
      <c r="K5" s="2010"/>
      <c r="L5" s="2010"/>
      <c r="M5" s="2010"/>
      <c r="N5" s="2010"/>
      <c r="O5" s="2010"/>
      <c r="P5" s="2010"/>
      <c r="Q5" s="2010"/>
      <c r="R5" s="2010"/>
      <c r="S5" s="2010"/>
    </row>
    <row r="6" spans="1:28" ht="14.1" customHeight="1" x14ac:dyDescent="0.2">
      <c r="B6" s="104"/>
      <c r="C6" s="26" t="s">
        <v>911</v>
      </c>
      <c r="D6" s="84"/>
      <c r="E6" s="84"/>
      <c r="I6" s="2009" t="s">
        <v>883</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2022" t="s">
        <v>533</v>
      </c>
      <c r="U9" s="2023"/>
      <c r="V9" s="2023"/>
      <c r="W9" s="2023"/>
      <c r="X9" s="2023"/>
      <c r="Y9" s="2023"/>
      <c r="Z9" s="2023"/>
      <c r="AA9" s="2024"/>
    </row>
    <row r="10" spans="1:28" ht="13.5" customHeight="1" x14ac:dyDescent="0.2">
      <c r="A10" s="2029" t="s">
        <v>675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955</v>
      </c>
      <c r="B11" s="2033"/>
      <c r="C11" s="2033"/>
      <c r="D11" s="2033"/>
      <c r="E11" s="2033"/>
      <c r="F11" s="2033"/>
      <c r="G11" s="2033"/>
      <c r="H11" s="2034"/>
      <c r="I11" s="27"/>
      <c r="J11" s="74"/>
      <c r="K11" s="27"/>
      <c r="O11" s="148" t="s">
        <v>2070</v>
      </c>
      <c r="P11" s="100" t="s">
        <v>201</v>
      </c>
      <c r="Q11" s="30"/>
      <c r="R11" s="28"/>
      <c r="S11" s="27"/>
      <c r="T11" s="2026"/>
      <c r="U11" s="2027"/>
      <c r="V11" s="2027"/>
      <c r="W11" s="2027"/>
      <c r="X11" s="2027"/>
      <c r="Y11" s="2027"/>
      <c r="Z11" s="2027"/>
      <c r="AA11" s="202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16019426026</v>
      </c>
      <c r="B13" s="2037"/>
      <c r="C13" s="2037"/>
      <c r="D13" s="2037"/>
      <c r="E13" s="2037"/>
      <c r="F13" s="2037"/>
      <c r="G13" s="2037"/>
      <c r="H13" s="2038"/>
      <c r="I13" s="31"/>
      <c r="J13" s="30"/>
      <c r="K13" s="28"/>
      <c r="L13" s="30"/>
      <c r="M13" s="30"/>
      <c r="N13" s="30"/>
      <c r="O13" s="30"/>
      <c r="P13" s="30"/>
      <c r="Q13" s="30"/>
      <c r="R13" s="30"/>
      <c r="S13" s="30"/>
      <c r="T13" s="2041" t="s">
        <v>2072</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5" t="s">
        <v>2074</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5" t="s">
        <v>2142</v>
      </c>
      <c r="B17" s="1996"/>
      <c r="C17" s="1996"/>
      <c r="D17" s="1996"/>
      <c r="E17" s="1996"/>
      <c r="F17" s="1996"/>
      <c r="G17" s="1996"/>
      <c r="H17" s="2021"/>
      <c r="T17" s="2052" t="s">
        <v>2064</v>
      </c>
      <c r="U17" s="2053"/>
      <c r="V17" s="2053"/>
      <c r="W17" s="2053"/>
      <c r="X17" s="2053"/>
      <c r="Y17" s="2053"/>
      <c r="Z17" s="2053"/>
      <c r="AA17" s="2054"/>
    </row>
    <row r="18" spans="1:27" ht="13.5" customHeight="1" x14ac:dyDescent="0.2">
      <c r="A18" s="85" t="s">
        <v>530</v>
      </c>
      <c r="B18" s="76"/>
      <c r="C18" s="72"/>
      <c r="D18" s="76"/>
      <c r="E18" s="76"/>
      <c r="F18" s="76"/>
      <c r="G18" s="76"/>
      <c r="H18" s="56"/>
      <c r="I18" s="2020" t="s">
        <v>676</v>
      </c>
      <c r="J18" s="1971"/>
      <c r="K18" s="1971"/>
      <c r="L18" s="1971"/>
      <c r="M18" s="1971"/>
      <c r="N18" s="1971"/>
      <c r="O18" s="1971"/>
      <c r="P18" s="1971"/>
      <c r="Q18" s="1971"/>
      <c r="R18" s="1971"/>
      <c r="S18" s="1972"/>
      <c r="T18" s="85" t="s">
        <v>711</v>
      </c>
      <c r="U18" s="51"/>
      <c r="V18" s="72"/>
      <c r="W18" s="50"/>
      <c r="X18" s="85" t="s">
        <v>266</v>
      </c>
      <c r="Y18" s="81"/>
      <c r="Z18" s="159" t="s">
        <v>677</v>
      </c>
      <c r="AA18" s="46"/>
    </row>
    <row r="19" spans="1:27" ht="13.5" customHeight="1" x14ac:dyDescent="0.2">
      <c r="A19" s="2035" t="s">
        <v>2076</v>
      </c>
      <c r="B19" s="1981"/>
      <c r="C19" s="1981"/>
      <c r="D19" s="1981"/>
      <c r="E19" s="1981"/>
      <c r="F19" s="1981"/>
      <c r="G19" s="1981"/>
      <c r="H19" s="1961"/>
      <c r="I19" s="30"/>
      <c r="J19" s="99"/>
      <c r="K19" s="40"/>
      <c r="L19" s="38"/>
      <c r="M19" s="112" t="s">
        <v>315</v>
      </c>
      <c r="P19" s="27"/>
      <c r="Q19" s="27"/>
      <c r="R19" s="27"/>
      <c r="S19" s="31"/>
      <c r="T19" s="2035" t="s">
        <v>2065</v>
      </c>
      <c r="U19" s="1960"/>
      <c r="V19" s="1960"/>
      <c r="W19" s="1961"/>
      <c r="X19" s="2050" t="s">
        <v>2066</v>
      </c>
      <c r="Y19" s="2051"/>
      <c r="Z19" s="2048">
        <v>61614</v>
      </c>
      <c r="AA19" s="20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9" t="s">
        <v>2077</v>
      </c>
      <c r="B21" s="1960"/>
      <c r="C21" s="1960"/>
      <c r="D21" s="1960"/>
      <c r="E21" s="1960"/>
      <c r="F21" s="1960"/>
      <c r="G21" s="1960"/>
      <c r="H21" s="1961"/>
      <c r="I21" s="2015" t="s">
        <v>678</v>
      </c>
      <c r="J21" s="2010"/>
      <c r="K21" s="2010"/>
      <c r="L21" s="2010"/>
      <c r="M21" s="2010"/>
      <c r="N21" s="2010"/>
      <c r="O21" s="2010"/>
      <c r="P21" s="2010"/>
      <c r="Q21" s="2010"/>
      <c r="R21" s="2010"/>
      <c r="S21" s="2016"/>
      <c r="T21" s="2059" t="s">
        <v>2067</v>
      </c>
      <c r="U21" s="2060"/>
      <c r="V21" s="2060"/>
      <c r="W21" s="2060"/>
      <c r="X21" s="2065" t="s">
        <v>2068</v>
      </c>
      <c r="Y21" s="2066"/>
      <c r="Z21" s="2066"/>
      <c r="AA21" s="2067"/>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2" t="s">
        <v>2078</v>
      </c>
      <c r="B23" s="2013"/>
      <c r="C23" s="2013"/>
      <c r="D23" s="2013"/>
      <c r="E23" s="2013"/>
      <c r="F23" s="2013"/>
      <c r="G23" s="2013"/>
      <c r="H23" s="2014"/>
      <c r="T23" s="1995" t="s">
        <v>2069</v>
      </c>
      <c r="U23" s="2058"/>
      <c r="V23" s="2058"/>
      <c r="W23" s="2058"/>
      <c r="X23" s="2062">
        <v>44501</v>
      </c>
      <c r="Y23" s="2063"/>
      <c r="Z23" s="2063"/>
      <c r="AA23" s="2064"/>
    </row>
    <row r="24" spans="1:27" ht="14.1" customHeight="1" x14ac:dyDescent="0.2">
      <c r="A24" s="88" t="s">
        <v>677</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531</v>
      </c>
      <c r="U24" s="106"/>
      <c r="V24" s="106"/>
      <c r="W24" s="106"/>
      <c r="X24" s="107"/>
      <c r="Y24" s="107"/>
      <c r="Z24" s="107"/>
      <c r="AA24" s="108"/>
    </row>
    <row r="25" spans="1:27" ht="14.1" customHeight="1" x14ac:dyDescent="0.2">
      <c r="A25" s="1959">
        <v>60146</v>
      </c>
      <c r="B25" s="1960"/>
      <c r="C25" s="1960"/>
      <c r="D25" s="1960"/>
      <c r="E25" s="1960"/>
      <c r="F25" s="1960"/>
      <c r="G25" s="1960"/>
      <c r="H25" s="1961"/>
      <c r="I25" s="113"/>
      <c r="J25" s="1984"/>
      <c r="K25" s="1984"/>
      <c r="L25" s="1984"/>
      <c r="M25" s="1984"/>
      <c r="N25" s="1984"/>
      <c r="O25" s="1984"/>
      <c r="P25" s="1984"/>
      <c r="Q25" s="1984"/>
      <c r="R25" s="1984"/>
      <c r="S25" s="1985"/>
      <c r="T25" s="2055" t="s">
        <v>2080</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0" t="s">
        <v>1511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2115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5" t="s">
        <v>2081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73" t="s">
        <v>2078</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t="s">
        <v>2082</v>
      </c>
      <c r="B42" s="1979"/>
      <c r="C42" s="1980"/>
      <c r="D42" s="1978" t="s">
        <v>2083</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2115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2126</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2125</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2141</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75130194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3.73E-2</v>
      </c>
      <c r="E10" s="356" t="s">
        <v>1005</v>
      </c>
      <c r="F10" s="355">
        <v>7.45E-3</v>
      </c>
      <c r="G10" s="356" t="s">
        <v>1005</v>
      </c>
      <c r="H10" s="355">
        <v>2E-3</v>
      </c>
      <c r="I10" s="356" t="s">
        <v>1006</v>
      </c>
      <c r="J10" s="1728">
        <f>ROUND(D10+F10+H10,5)</f>
        <v>4.675E-2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6288904</v>
      </c>
      <c r="E16" s="356"/>
      <c r="F16" s="1729">
        <f>SUM('Acct Summary 7-8'!C17,'Acct Summary 7-8'!D17,'Acct Summary 7-8'!F17)</f>
        <v>5512596</v>
      </c>
      <c r="G16" s="356"/>
      <c r="H16" s="1729">
        <f>SUM(D16-F16)</f>
        <v>776308</v>
      </c>
      <c r="I16" s="222"/>
      <c r="J16" s="1729">
        <f>SUM('Acct Summary 7-8'!C81,'Acct Summary 7-8'!D81,'Acct Summary 7-8'!F81,'Acct Summary 7-8'!I81)</f>
        <v>5412134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10367966.772000002</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5265000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Hiawatha CUSD 426</v>
      </c>
      <c r="E7" s="391"/>
      <c r="G7" s="252"/>
      <c r="H7" s="387"/>
      <c r="I7" s="387"/>
      <c r="J7" s="387"/>
      <c r="K7" s="387"/>
      <c r="L7" s="329"/>
      <c r="M7" s="329"/>
      <c r="N7" s="329"/>
      <c r="O7" s="329"/>
      <c r="P7" s="329"/>
    </row>
    <row r="8" spans="1:18" ht="12.75" x14ac:dyDescent="0.2">
      <c r="A8" s="329"/>
      <c r="B8" s="329"/>
      <c r="C8" s="389" t="s">
        <v>1125</v>
      </c>
      <c r="D8" s="392">
        <f>COVER!A13</f>
        <v>16019426026</v>
      </c>
      <c r="E8" s="393"/>
      <c r="G8" s="329"/>
      <c r="H8" s="329"/>
      <c r="I8" s="329"/>
      <c r="J8" s="329"/>
      <c r="K8" s="329"/>
      <c r="L8" s="329"/>
      <c r="M8" s="329"/>
      <c r="N8" s="329"/>
      <c r="O8" s="329"/>
      <c r="P8" s="329"/>
    </row>
    <row r="9" spans="1:18" ht="12.75" x14ac:dyDescent="0.2">
      <c r="A9" s="329"/>
      <c r="B9" s="329"/>
      <c r="C9" s="389" t="s">
        <v>713</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5412134</v>
      </c>
      <c r="I12" s="404"/>
      <c r="J12" s="404"/>
      <c r="K12" s="405">
        <f>TRUNC((H12/H13*100000),5)/100000</f>
        <v>0.86058461060000002</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6288904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5512596</v>
      </c>
      <c r="I17" s="404"/>
      <c r="J17" s="416"/>
      <c r="K17" s="405">
        <f>TRUNC((H17/H18*100000),5)/100000</f>
        <v>0.87655909509999996</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6288904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5412134</v>
      </c>
      <c r="I24" s="422"/>
      <c r="J24" s="422"/>
      <c r="K24" s="423">
        <f>TRUNC(((H24/H25*100000)/100000),2)</f>
        <v>353.43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15312.766670000001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2985486.0840799999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5265000</v>
      </c>
      <c r="I32" s="420"/>
      <c r="J32" s="420"/>
      <c r="K32" s="423">
        <f>TRUNC(100-((((H32/H33*100))*100)/100),2)</f>
        <v>49.21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10367966.772000002</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A51" activeCellId="1" sqref="J31 AA5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5"/>
      <c r="D3" s="1556"/>
      <c r="E3" s="1556"/>
      <c r="F3" s="1556"/>
      <c r="G3" s="1556"/>
      <c r="H3" s="1556"/>
      <c r="I3" s="1556"/>
      <c r="J3" s="1556"/>
      <c r="K3" s="1556"/>
      <c r="L3" s="1556"/>
      <c r="M3" s="1557"/>
      <c r="N3" s="1558"/>
    </row>
    <row r="4" spans="1:14" ht="13.5" customHeight="1" x14ac:dyDescent="0.2">
      <c r="A4" s="463" t="s">
        <v>1651</v>
      </c>
      <c r="B4" s="464"/>
      <c r="C4" s="465">
        <v>1024279</v>
      </c>
      <c r="D4" s="465">
        <v>553504</v>
      </c>
      <c r="E4" s="465">
        <v>28488</v>
      </c>
      <c r="F4" s="465">
        <v>142960</v>
      </c>
      <c r="G4" s="465">
        <v>55290</v>
      </c>
      <c r="H4" s="465">
        <v>121586</v>
      </c>
      <c r="I4" s="465">
        <v>138391</v>
      </c>
      <c r="J4" s="465">
        <v>200091</v>
      </c>
      <c r="K4" s="465">
        <v>95859</v>
      </c>
      <c r="L4" s="465">
        <v>102812</v>
      </c>
      <c r="M4" s="468"/>
      <c r="N4" s="469"/>
    </row>
    <row r="5" spans="1:14" x14ac:dyDescent="0.2">
      <c r="A5" s="463" t="s">
        <v>992</v>
      </c>
      <c r="B5" s="470">
        <v>120</v>
      </c>
      <c r="C5" s="465">
        <v>2921200</v>
      </c>
      <c r="D5" s="465">
        <v>20000</v>
      </c>
      <c r="E5" s="465">
        <v>250000</v>
      </c>
      <c r="F5" s="465">
        <v>223800</v>
      </c>
      <c r="G5" s="465">
        <v>260000</v>
      </c>
      <c r="H5" s="465">
        <v>10000</v>
      </c>
      <c r="I5" s="465">
        <v>388000</v>
      </c>
      <c r="J5" s="465">
        <v>110000</v>
      </c>
      <c r="K5" s="465">
        <v>10000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3945479</v>
      </c>
      <c r="D13" s="1733">
        <f t="shared" ref="D13:L13" si="0">SUM(D4:D12)</f>
        <v>573504</v>
      </c>
      <c r="E13" s="1733">
        <f t="shared" si="0"/>
        <v>278488</v>
      </c>
      <c r="F13" s="1733">
        <f t="shared" si="0"/>
        <v>366760</v>
      </c>
      <c r="G13" s="1733">
        <f t="shared" si="0"/>
        <v>315290</v>
      </c>
      <c r="H13" s="1733">
        <f t="shared" si="0"/>
        <v>131586</v>
      </c>
      <c r="I13" s="1733">
        <f t="shared" si="0"/>
        <v>526391</v>
      </c>
      <c r="J13" s="1733">
        <f t="shared" si="0"/>
        <v>310091</v>
      </c>
      <c r="K13" s="1733">
        <f t="shared" si="0"/>
        <v>105859</v>
      </c>
      <c r="L13" s="1733">
        <f t="shared" si="0"/>
        <v>102812</v>
      </c>
      <c r="M13" s="468"/>
      <c r="N13" s="469"/>
    </row>
    <row r="14" spans="1:14" ht="18" customHeight="1" thickTop="1" x14ac:dyDescent="0.2">
      <c r="A14" s="2128" t="s">
        <v>147</v>
      </c>
      <c r="B14" s="2129"/>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347082</v>
      </c>
      <c r="N16" s="482"/>
    </row>
    <row r="17" spans="1:14" s="483" customFormat="1" ht="12.75" customHeight="1" x14ac:dyDescent="0.2">
      <c r="A17" s="480" t="s">
        <v>1403</v>
      </c>
      <c r="B17" s="481">
        <v>230</v>
      </c>
      <c r="C17" s="475"/>
      <c r="D17" s="475"/>
      <c r="E17" s="475"/>
      <c r="F17" s="475"/>
      <c r="G17" s="475"/>
      <c r="H17" s="475"/>
      <c r="I17" s="475"/>
      <c r="J17" s="475"/>
      <c r="K17" s="475"/>
      <c r="L17" s="475"/>
      <c r="M17" s="465">
        <v>12829602</v>
      </c>
      <c r="N17" s="482"/>
    </row>
    <row r="18" spans="1:14" s="483" customFormat="1" ht="12.75" customHeight="1" x14ac:dyDescent="0.2">
      <c r="A18" s="480" t="s">
        <v>1404</v>
      </c>
      <c r="B18" s="481">
        <v>240</v>
      </c>
      <c r="C18" s="475"/>
      <c r="D18" s="475"/>
      <c r="E18" s="475"/>
      <c r="F18" s="475"/>
      <c r="G18" s="475"/>
      <c r="H18" s="475"/>
      <c r="I18" s="475"/>
      <c r="J18" s="475"/>
      <c r="K18" s="475"/>
      <c r="L18" s="475"/>
      <c r="M18" s="465">
        <v>872493</v>
      </c>
      <c r="N18" s="482"/>
    </row>
    <row r="19" spans="1:14" s="483" customFormat="1" ht="12.75" customHeight="1" x14ac:dyDescent="0.2">
      <c r="A19" s="480" t="s">
        <v>1405</v>
      </c>
      <c r="B19" s="481">
        <v>250</v>
      </c>
      <c r="C19" s="475"/>
      <c r="D19" s="475"/>
      <c r="E19" s="475"/>
      <c r="F19" s="475"/>
      <c r="G19" s="475"/>
      <c r="H19" s="475"/>
      <c r="I19" s="475"/>
      <c r="J19" s="475"/>
      <c r="K19" s="475"/>
      <c r="L19" s="475"/>
      <c r="M19" s="465">
        <v>1476858</v>
      </c>
      <c r="N19" s="482"/>
    </row>
    <row r="20" spans="1:14" s="483" customFormat="1" ht="12.75" customHeight="1" x14ac:dyDescent="0.2">
      <c r="A20" s="480" t="s">
        <v>1406</v>
      </c>
      <c r="B20" s="481">
        <v>260</v>
      </c>
      <c r="C20" s="475"/>
      <c r="D20" s="475"/>
      <c r="E20" s="475"/>
      <c r="F20" s="475"/>
      <c r="G20" s="475"/>
      <c r="H20" s="475"/>
      <c r="I20" s="475"/>
      <c r="J20" s="475"/>
      <c r="K20" s="475"/>
      <c r="L20" s="475"/>
      <c r="M20" s="465">
        <v>57380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278488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4986512</v>
      </c>
    </row>
    <row r="23" spans="1:14" ht="13.5" customHeight="1" thickBot="1" x14ac:dyDescent="0.25">
      <c r="A23" s="1732" t="s">
        <v>643</v>
      </c>
      <c r="B23" s="1737"/>
      <c r="C23" s="468"/>
      <c r="D23" s="468"/>
      <c r="E23" s="468"/>
      <c r="F23" s="468"/>
      <c r="G23" s="468"/>
      <c r="H23" s="468"/>
      <c r="I23" s="468"/>
      <c r="J23" s="468"/>
      <c r="K23" s="468"/>
      <c r="L23" s="468"/>
      <c r="M23" s="1684">
        <f>SUM(M15:M22)</f>
        <v>15583415</v>
      </c>
      <c r="N23" s="1684">
        <f>SUM(N21:N22)</f>
        <v>5265000</v>
      </c>
    </row>
    <row r="24" spans="1:14" ht="18" customHeight="1" thickTop="1" x14ac:dyDescent="0.2">
      <c r="A24" s="2130" t="s">
        <v>598</v>
      </c>
      <c r="B24" s="2131"/>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102812</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102812</v>
      </c>
      <c r="M34" s="468"/>
      <c r="N34" s="478"/>
    </row>
    <row r="35" spans="1:14" ht="18" customHeight="1" thickTop="1" x14ac:dyDescent="0.2">
      <c r="A35" s="2132" t="s">
        <v>529</v>
      </c>
      <c r="B35" s="2133"/>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5265000</v>
      </c>
    </row>
    <row r="37" spans="1:14" ht="13.5" thickBot="1" x14ac:dyDescent="0.25">
      <c r="A37" s="1732" t="s">
        <v>653</v>
      </c>
      <c r="B37" s="1737"/>
      <c r="C37" s="475"/>
      <c r="D37" s="475"/>
      <c r="E37" s="475"/>
      <c r="F37" s="475"/>
      <c r="G37" s="475"/>
      <c r="H37" s="475"/>
      <c r="I37" s="475"/>
      <c r="J37" s="475"/>
      <c r="K37" s="475"/>
      <c r="L37" s="478"/>
      <c r="M37" s="468"/>
      <c r="N37" s="1684">
        <f>SUM(N36:N36)</f>
        <v>5265000</v>
      </c>
    </row>
    <row r="38" spans="1:14" s="329" customFormat="1" ht="13.5" customHeight="1" thickTop="1" x14ac:dyDescent="0.2">
      <c r="A38" s="493" t="s">
        <v>420</v>
      </c>
      <c r="B38" s="481">
        <v>714</v>
      </c>
      <c r="C38" s="465">
        <v>13911</v>
      </c>
      <c r="D38" s="465">
        <v>0</v>
      </c>
      <c r="E38" s="465">
        <v>0</v>
      </c>
      <c r="F38" s="465">
        <v>0</v>
      </c>
      <c r="G38" s="465">
        <v>170023</v>
      </c>
      <c r="H38" s="465">
        <v>0</v>
      </c>
      <c r="I38" s="465">
        <v>0</v>
      </c>
      <c r="J38" s="465">
        <v>0</v>
      </c>
      <c r="K38" s="465">
        <v>0</v>
      </c>
      <c r="L38" s="465">
        <v>0</v>
      </c>
      <c r="M38" s="494"/>
      <c r="N38" s="494"/>
    </row>
    <row r="39" spans="1:14" s="329" customFormat="1" ht="13.5" customHeight="1" x14ac:dyDescent="0.2">
      <c r="A39" s="493" t="s">
        <v>342</v>
      </c>
      <c r="B39" s="481">
        <v>730</v>
      </c>
      <c r="C39" s="465">
        <v>3931568</v>
      </c>
      <c r="D39" s="465">
        <v>573504</v>
      </c>
      <c r="E39" s="465">
        <v>278488</v>
      </c>
      <c r="F39" s="465">
        <v>366760</v>
      </c>
      <c r="G39" s="465">
        <v>145267</v>
      </c>
      <c r="H39" s="465">
        <v>131586</v>
      </c>
      <c r="I39" s="465">
        <v>526391</v>
      </c>
      <c r="J39" s="465">
        <v>310091</v>
      </c>
      <c r="K39" s="465">
        <v>105859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15583415</v>
      </c>
      <c r="N40" s="494"/>
    </row>
    <row r="41" spans="1:14" ht="13.5" customHeight="1" thickBot="1" x14ac:dyDescent="0.25">
      <c r="A41" s="1732" t="s">
        <v>655</v>
      </c>
      <c r="B41" s="1702"/>
      <c r="C41" s="1684">
        <f>(SUM(C34,C37,C38,C39))</f>
        <v>3945479</v>
      </c>
      <c r="D41" s="1684">
        <f t="shared" ref="D41:L41" si="2">SUM(D34,D37,D38:D39)</f>
        <v>573504</v>
      </c>
      <c r="E41" s="1684">
        <f t="shared" si="2"/>
        <v>278488</v>
      </c>
      <c r="F41" s="1684">
        <f t="shared" si="2"/>
        <v>366760</v>
      </c>
      <c r="G41" s="1684">
        <f t="shared" si="2"/>
        <v>315290</v>
      </c>
      <c r="H41" s="1684">
        <f t="shared" si="2"/>
        <v>131586</v>
      </c>
      <c r="I41" s="1684">
        <f t="shared" si="2"/>
        <v>526391</v>
      </c>
      <c r="J41" s="1684">
        <f t="shared" si="2"/>
        <v>310091</v>
      </c>
      <c r="K41" s="1684">
        <f t="shared" si="2"/>
        <v>105859</v>
      </c>
      <c r="L41" s="1684">
        <f t="shared" si="2"/>
        <v>102812</v>
      </c>
      <c r="M41" s="1684">
        <f>SUM(M40)</f>
        <v>15583415</v>
      </c>
      <c r="N41" s="1684">
        <f>SUM(N37)</f>
        <v>5265000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A51" activeCellId="1" sqref="J31 AA5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69"/>
      <c r="D3" s="1570"/>
      <c r="E3" s="1570"/>
      <c r="F3" s="1570"/>
      <c r="G3" s="1570"/>
      <c r="H3" s="1570"/>
      <c r="I3" s="1570"/>
      <c r="J3" s="1570"/>
      <c r="K3" s="1571"/>
      <c r="L3" s="503"/>
    </row>
    <row r="4" spans="1:13" ht="15.75" customHeight="1" x14ac:dyDescent="0.2">
      <c r="A4" s="1924" t="s">
        <v>1499</v>
      </c>
      <c r="B4" s="1925">
        <v>1000</v>
      </c>
      <c r="C4" s="1738">
        <f>'Revenues 9-14'!C109</f>
        <v>3132073</v>
      </c>
      <c r="D4" s="1738">
        <f>'Revenues 9-14'!D109</f>
        <v>560534</v>
      </c>
      <c r="E4" s="1738">
        <f>'Revenues 9-14'!E109</f>
        <v>668580</v>
      </c>
      <c r="F4" s="1738">
        <f>'Revenues 9-14'!F109</f>
        <v>159984</v>
      </c>
      <c r="G4" s="1738">
        <f>'Revenues 9-14'!G109</f>
        <v>193624</v>
      </c>
      <c r="H4" s="1738">
        <f>'Revenues 9-14'!H109</f>
        <v>114904</v>
      </c>
      <c r="I4" s="1738">
        <f>'Revenues 9-14'!I109</f>
        <v>47080</v>
      </c>
      <c r="J4" s="1738">
        <f>'Revenues 9-14'!J109</f>
        <v>243311</v>
      </c>
      <c r="K4" s="1738">
        <f>'Revenues 9-14'!K109</f>
        <v>38513</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1769415</v>
      </c>
      <c r="D6" s="1739">
        <f>'Revenues 9-14'!D170</f>
        <v>0</v>
      </c>
      <c r="E6" s="1739">
        <f>'Revenues 9-14'!E170</f>
        <v>0</v>
      </c>
      <c r="F6" s="1739">
        <f>'Revenues 9-14'!F170</f>
        <v>159458</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458966</v>
      </c>
      <c r="D7" s="1739">
        <f>'Revenues 9-14'!D267</f>
        <v>0</v>
      </c>
      <c r="E7" s="1739">
        <f>'Revenues 9-14'!E267</f>
        <v>0</v>
      </c>
      <c r="F7" s="1739">
        <f>'Revenues 9-14'!F267</f>
        <v>1394</v>
      </c>
      <c r="G7" s="1739">
        <f>'Revenues 9-14'!G267</f>
        <v>2550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5360454</v>
      </c>
      <c r="D8" s="1684">
        <f t="shared" ref="D8:K8" si="0">SUM(D4:D7)</f>
        <v>560534</v>
      </c>
      <c r="E8" s="1684">
        <f t="shared" si="0"/>
        <v>668580</v>
      </c>
      <c r="F8" s="1684">
        <f t="shared" si="0"/>
        <v>320836</v>
      </c>
      <c r="G8" s="1684">
        <f t="shared" si="0"/>
        <v>196174</v>
      </c>
      <c r="H8" s="1684">
        <f t="shared" si="0"/>
        <v>114904</v>
      </c>
      <c r="I8" s="1684">
        <f t="shared" si="0"/>
        <v>47080</v>
      </c>
      <c r="J8" s="1684">
        <f t="shared" si="0"/>
        <v>243311</v>
      </c>
      <c r="K8" s="1684">
        <f t="shared" si="0"/>
        <v>38513</v>
      </c>
      <c r="L8" s="347"/>
    </row>
    <row r="9" spans="1:13" ht="15.75" thickTop="1" x14ac:dyDescent="0.2">
      <c r="A9" s="511" t="s">
        <v>1653</v>
      </c>
      <c r="B9" s="512">
        <v>3998</v>
      </c>
      <c r="C9" s="465">
        <v>1709441</v>
      </c>
      <c r="D9" s="513"/>
      <c r="E9" s="479"/>
      <c r="F9" s="479"/>
      <c r="G9" s="514"/>
      <c r="H9" s="479"/>
      <c r="I9" s="506" t="s">
        <v>1169</v>
      </c>
      <c r="J9" s="476"/>
      <c r="K9" s="479"/>
      <c r="L9" s="347"/>
    </row>
    <row r="10" spans="1:13" s="516" customFormat="1" ht="13.5" thickBot="1" x14ac:dyDescent="0.25">
      <c r="A10" s="1732" t="s">
        <v>1173</v>
      </c>
      <c r="B10" s="1705"/>
      <c r="C10" s="1684">
        <f>SUM(C8:C9)</f>
        <v>7069895</v>
      </c>
      <c r="D10" s="1684">
        <f t="shared" ref="D10:K10" si="1">SUM(D8:D9)</f>
        <v>560534</v>
      </c>
      <c r="E10" s="1684">
        <f t="shared" si="1"/>
        <v>668580</v>
      </c>
      <c r="F10" s="1684">
        <f t="shared" si="1"/>
        <v>320836</v>
      </c>
      <c r="G10" s="1684">
        <f t="shared" si="1"/>
        <v>196174</v>
      </c>
      <c r="H10" s="1684">
        <f t="shared" si="1"/>
        <v>114904</v>
      </c>
      <c r="I10" s="1684">
        <f t="shared" si="1"/>
        <v>47080</v>
      </c>
      <c r="J10" s="1684">
        <f t="shared" si="1"/>
        <v>243311</v>
      </c>
      <c r="K10" s="1684">
        <f t="shared" si="1"/>
        <v>38513</v>
      </c>
      <c r="L10" s="515"/>
    </row>
    <row r="11" spans="1:13" s="516" customFormat="1" ht="16.7" customHeight="1" thickTop="1" x14ac:dyDescent="0.2">
      <c r="A11" s="2128" t="s">
        <v>1176</v>
      </c>
      <c r="B11" s="2129"/>
      <c r="C11" s="1566"/>
      <c r="D11" s="1567"/>
      <c r="E11" s="1567"/>
      <c r="F11" s="1567"/>
      <c r="G11" s="1567"/>
      <c r="H11" s="1567"/>
      <c r="I11" s="1567"/>
      <c r="J11" s="1567"/>
      <c r="K11" s="1568"/>
      <c r="L11" s="515"/>
    </row>
    <row r="12" spans="1:13" ht="15.75" customHeight="1" x14ac:dyDescent="0.2">
      <c r="A12" s="1572" t="s">
        <v>456</v>
      </c>
      <c r="B12" s="1574">
        <v>1000</v>
      </c>
      <c r="C12" s="1738">
        <f>'Expenditures 15-22'!K33</f>
        <v>2835375</v>
      </c>
      <c r="D12" s="517" t="s">
        <v>1169</v>
      </c>
      <c r="E12" s="468" t="s">
        <v>1169</v>
      </c>
      <c r="F12" s="468" t="s">
        <v>1169</v>
      </c>
      <c r="G12" s="1738">
        <f>'Expenditures 15-22'!K229</f>
        <v>56471</v>
      </c>
      <c r="H12" s="518"/>
      <c r="I12" s="468" t="s">
        <v>1169</v>
      </c>
      <c r="J12" s="468" t="s">
        <v>1169</v>
      </c>
      <c r="K12" s="518" t="s">
        <v>1169</v>
      </c>
      <c r="L12" s="347"/>
    </row>
    <row r="13" spans="1:13" ht="15.75" customHeight="1" x14ac:dyDescent="0.2">
      <c r="A13" s="1572" t="s">
        <v>457</v>
      </c>
      <c r="B13" s="1574">
        <v>2000</v>
      </c>
      <c r="C13" s="1739">
        <f>'Expenditures 15-22'!K74</f>
        <v>1518063</v>
      </c>
      <c r="D13" s="1739">
        <f>'Expenditures 15-22'!K129</f>
        <v>553561</v>
      </c>
      <c r="E13" s="469" t="s">
        <v>1169</v>
      </c>
      <c r="F13" s="1739">
        <f>'Expenditures 15-22'!K184</f>
        <v>337104</v>
      </c>
      <c r="G13" s="1739">
        <f>'Expenditures 15-22'!K279</f>
        <v>128228</v>
      </c>
      <c r="H13" s="1739">
        <f>'Expenditures 15-22'!K303</f>
        <v>161753</v>
      </c>
      <c r="I13" s="468" t="s">
        <v>1169</v>
      </c>
      <c r="J13" s="1739">
        <f>'Expenditures 15-22'!K330</f>
        <v>224509</v>
      </c>
      <c r="K13" s="1743">
        <f>'Expenditures 15-22'!K352</f>
        <v>0</v>
      </c>
      <c r="L13" s="347"/>
    </row>
    <row r="14" spans="1:13" ht="15.75" customHeight="1" x14ac:dyDescent="0.2">
      <c r="A14" s="1572" t="s">
        <v>449</v>
      </c>
      <c r="B14" s="1574">
        <v>3000</v>
      </c>
      <c r="C14" s="1739">
        <f>'Expenditures 15-22'!K75</f>
        <v>2813</v>
      </c>
      <c r="D14" s="1739">
        <f>'Expenditures 15-22'!K130</f>
        <v>0</v>
      </c>
      <c r="E14" s="517" t="s">
        <v>1169</v>
      </c>
      <c r="F14" s="1739">
        <f>'Expenditures 15-22'!K185</f>
        <v>0</v>
      </c>
      <c r="G14" s="1739">
        <f>'Expenditures 15-22'!K280</f>
        <v>443</v>
      </c>
      <c r="H14" s="509"/>
      <c r="I14" s="468" t="s">
        <v>1169</v>
      </c>
      <c r="J14" s="468" t="s">
        <v>1169</v>
      </c>
      <c r="K14" s="509" t="s">
        <v>1169</v>
      </c>
      <c r="L14" s="347"/>
    </row>
    <row r="15" spans="1:13" ht="15.75" customHeight="1" x14ac:dyDescent="0.2">
      <c r="A15" s="1572" t="s">
        <v>107</v>
      </c>
      <c r="B15" s="1574">
        <v>4000</v>
      </c>
      <c r="C15" s="1739">
        <f>'Expenditures 15-22'!K102</f>
        <v>265680</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643834</v>
      </c>
      <c r="F16" s="1739">
        <f>'Expenditures 15-22'!K208</f>
        <v>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4621931</v>
      </c>
      <c r="D17" s="1684">
        <f t="shared" si="2"/>
        <v>553561</v>
      </c>
      <c r="E17" s="1684">
        <f t="shared" si="2"/>
        <v>643834</v>
      </c>
      <c r="F17" s="1684">
        <f t="shared" si="2"/>
        <v>337104</v>
      </c>
      <c r="G17" s="1684">
        <f t="shared" si="2"/>
        <v>185142</v>
      </c>
      <c r="H17" s="1684">
        <f t="shared" si="2"/>
        <v>161753</v>
      </c>
      <c r="I17" s="468"/>
      <c r="J17" s="1684">
        <f>SUM(J12:J16)</f>
        <v>224509</v>
      </c>
      <c r="K17" s="1684">
        <f>SUM(K12:K16)</f>
        <v>0</v>
      </c>
      <c r="L17" s="347"/>
    </row>
    <row r="18" spans="1:12" ht="15" customHeight="1" thickTop="1" x14ac:dyDescent="0.2">
      <c r="A18" s="1740" t="s">
        <v>1654</v>
      </c>
      <c r="B18" s="1741">
        <v>4180</v>
      </c>
      <c r="C18" s="1738">
        <f t="shared" ref="C18:H18" si="3">C9</f>
        <v>1709441</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6331372</v>
      </c>
      <c r="D19" s="1684">
        <f t="shared" si="4"/>
        <v>553561</v>
      </c>
      <c r="E19" s="1684">
        <f t="shared" si="4"/>
        <v>643834</v>
      </c>
      <c r="F19" s="1684">
        <f t="shared" si="4"/>
        <v>337104</v>
      </c>
      <c r="G19" s="1684">
        <f t="shared" si="4"/>
        <v>185142</v>
      </c>
      <c r="H19" s="1684">
        <f t="shared" si="4"/>
        <v>161753</v>
      </c>
      <c r="I19" s="468"/>
      <c r="J19" s="1684">
        <f>SUM(J17:J18)</f>
        <v>224509</v>
      </c>
      <c r="K19" s="1684">
        <f>SUM(K17:K18)</f>
        <v>0</v>
      </c>
      <c r="L19" s="347"/>
    </row>
    <row r="20" spans="1:12" ht="16.5" thickTop="1" thickBot="1" x14ac:dyDescent="0.25">
      <c r="A20" s="2144" t="s">
        <v>1655</v>
      </c>
      <c r="B20" s="2145"/>
      <c r="C20" s="1742">
        <f>C8-C17</f>
        <v>738523</v>
      </c>
      <c r="D20" s="1742">
        <f t="shared" ref="D20:K20" si="5">D8-D17</f>
        <v>6973</v>
      </c>
      <c r="E20" s="1742">
        <f t="shared" si="5"/>
        <v>24746</v>
      </c>
      <c r="F20" s="1742">
        <f t="shared" si="5"/>
        <v>-16268</v>
      </c>
      <c r="G20" s="1742">
        <f t="shared" si="5"/>
        <v>11032</v>
      </c>
      <c r="H20" s="1742">
        <f t="shared" si="5"/>
        <v>-46849</v>
      </c>
      <c r="I20" s="1742">
        <f t="shared" si="5"/>
        <v>47080</v>
      </c>
      <c r="J20" s="1742">
        <f t="shared" si="5"/>
        <v>18802</v>
      </c>
      <c r="K20" s="1742">
        <f t="shared" si="5"/>
        <v>38513</v>
      </c>
      <c r="L20" s="347"/>
    </row>
    <row r="21" spans="1:12" ht="16.7" customHeight="1" thickTop="1" x14ac:dyDescent="0.2">
      <c r="A21" s="2156" t="s">
        <v>595</v>
      </c>
      <c r="B21" s="2157"/>
      <c r="C21" s="1566"/>
      <c r="D21" s="1567"/>
      <c r="E21" s="1567"/>
      <c r="F21" s="1567"/>
      <c r="G21" s="1567"/>
      <c r="H21" s="1567"/>
      <c r="I21" s="1567"/>
      <c r="J21" s="1567"/>
      <c r="K21" s="1568"/>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11959</v>
      </c>
      <c r="E36" s="467">
        <v>0</v>
      </c>
      <c r="F36" s="467">
        <v>3354</v>
      </c>
      <c r="G36" s="467">
        <v>0</v>
      </c>
      <c r="H36" s="467">
        <v>24827</v>
      </c>
      <c r="I36" s="474"/>
      <c r="J36" s="467">
        <v>0</v>
      </c>
      <c r="K36" s="467">
        <v>0</v>
      </c>
      <c r="L36" s="521"/>
    </row>
    <row r="37" spans="1:12" s="483" customFormat="1" x14ac:dyDescent="0.2">
      <c r="A37" s="1485" t="s">
        <v>441</v>
      </c>
      <c r="B37" s="522">
        <v>7400</v>
      </c>
      <c r="C37" s="474"/>
      <c r="D37" s="474"/>
      <c r="E37" s="1739">
        <f>SUM(C54:D57,H54:H57)</f>
        <v>0</v>
      </c>
      <c r="F37" s="474"/>
      <c r="G37" s="474"/>
      <c r="H37" s="474"/>
      <c r="I37" s="475"/>
      <c r="J37" s="474"/>
      <c r="K37" s="474"/>
      <c r="L37" s="521"/>
    </row>
    <row r="38" spans="1:12" s="483" customFormat="1" x14ac:dyDescent="0.2">
      <c r="A38" s="1485" t="s">
        <v>442</v>
      </c>
      <c r="B38" s="522">
        <v>7500</v>
      </c>
      <c r="C38" s="475"/>
      <c r="D38" s="475"/>
      <c r="E38" s="1739">
        <f>SUM(C58:D61,H58:H61)</f>
        <v>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699">
        <f>SUM(C24:C43)</f>
        <v>0</v>
      </c>
      <c r="D44" s="1699">
        <f t="shared" ref="D44:K44" si="6">SUM(D24:D43)</f>
        <v>11959</v>
      </c>
      <c r="E44" s="1699">
        <f t="shared" si="6"/>
        <v>0</v>
      </c>
      <c r="F44" s="1699">
        <f t="shared" si="6"/>
        <v>3354</v>
      </c>
      <c r="G44" s="1699">
        <f t="shared" si="6"/>
        <v>0</v>
      </c>
      <c r="H44" s="1699">
        <f t="shared" si="6"/>
        <v>24827</v>
      </c>
      <c r="I44" s="1699">
        <f t="shared" si="6"/>
        <v>0</v>
      </c>
      <c r="J44" s="1699">
        <f t="shared" si="6"/>
        <v>0</v>
      </c>
      <c r="K44" s="1699">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0</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699">
        <f t="shared" ref="C76:K76" si="7">SUM(C47:C75)</f>
        <v>0</v>
      </c>
      <c r="D76" s="1699">
        <f t="shared" si="7"/>
        <v>0</v>
      </c>
      <c r="E76" s="1699">
        <f t="shared" si="7"/>
        <v>0</v>
      </c>
      <c r="F76" s="1699">
        <f t="shared" si="7"/>
        <v>0</v>
      </c>
      <c r="G76" s="1699">
        <f t="shared" si="7"/>
        <v>0</v>
      </c>
      <c r="H76" s="1699">
        <f t="shared" si="7"/>
        <v>0</v>
      </c>
      <c r="I76" s="1699">
        <f t="shared" si="7"/>
        <v>0</v>
      </c>
      <c r="J76" s="1699">
        <f t="shared" si="7"/>
        <v>0</v>
      </c>
      <c r="K76" s="1699">
        <f t="shared" si="7"/>
        <v>0</v>
      </c>
      <c r="L76" s="521"/>
    </row>
    <row r="77" spans="1:12" ht="14.25" thickTop="1" thickBot="1" x14ac:dyDescent="0.25">
      <c r="A77" s="2136" t="s">
        <v>1177</v>
      </c>
      <c r="B77" s="2137"/>
      <c r="C77" s="1699">
        <f t="shared" ref="C77:K77" si="8">C44-C76</f>
        <v>0</v>
      </c>
      <c r="D77" s="1699">
        <f t="shared" si="8"/>
        <v>11959</v>
      </c>
      <c r="E77" s="1699">
        <f t="shared" si="8"/>
        <v>0</v>
      </c>
      <c r="F77" s="1699">
        <f t="shared" si="8"/>
        <v>3354</v>
      </c>
      <c r="G77" s="1699">
        <f t="shared" si="8"/>
        <v>0</v>
      </c>
      <c r="H77" s="1699">
        <f t="shared" si="8"/>
        <v>24827</v>
      </c>
      <c r="I77" s="1699">
        <f t="shared" si="8"/>
        <v>0</v>
      </c>
      <c r="J77" s="1699">
        <f t="shared" si="8"/>
        <v>0</v>
      </c>
      <c r="K77" s="1699">
        <f t="shared" si="8"/>
        <v>0</v>
      </c>
      <c r="L77" s="347"/>
    </row>
    <row r="78" spans="1:12" ht="21.75" customHeight="1" thickTop="1" thickBot="1" x14ac:dyDescent="0.25">
      <c r="A78" s="2140" t="s">
        <v>597</v>
      </c>
      <c r="B78" s="2141"/>
      <c r="C78" s="1698">
        <f t="shared" ref="C78:K78" si="9">C20+C77</f>
        <v>738523</v>
      </c>
      <c r="D78" s="1698">
        <f t="shared" si="9"/>
        <v>18932</v>
      </c>
      <c r="E78" s="1698">
        <f t="shared" si="9"/>
        <v>24746</v>
      </c>
      <c r="F78" s="1698">
        <f t="shared" si="9"/>
        <v>-12914</v>
      </c>
      <c r="G78" s="1698">
        <f t="shared" si="9"/>
        <v>11032</v>
      </c>
      <c r="H78" s="1698">
        <f t="shared" si="9"/>
        <v>-22022</v>
      </c>
      <c r="I78" s="1698">
        <f t="shared" si="9"/>
        <v>47080</v>
      </c>
      <c r="J78" s="1698">
        <f t="shared" si="9"/>
        <v>18802</v>
      </c>
      <c r="K78" s="1698">
        <f t="shared" si="9"/>
        <v>38513</v>
      </c>
      <c r="L78" s="530"/>
    </row>
    <row r="79" spans="1:12" ht="13.5" thickTop="1" x14ac:dyDescent="0.2">
      <c r="A79" s="1490" t="s">
        <v>1949</v>
      </c>
      <c r="B79" s="531"/>
      <c r="C79" s="476">
        <v>3206956</v>
      </c>
      <c r="D79" s="476">
        <v>554572</v>
      </c>
      <c r="E79" s="476">
        <v>253742</v>
      </c>
      <c r="F79" s="476">
        <v>379674</v>
      </c>
      <c r="G79" s="476">
        <v>304258</v>
      </c>
      <c r="H79" s="476">
        <v>153608</v>
      </c>
      <c r="I79" s="476">
        <v>479311</v>
      </c>
      <c r="J79" s="476">
        <v>291289</v>
      </c>
      <c r="K79" s="476">
        <v>67346</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4">
        <f>(SUM(C78:C80))</f>
        <v>3945479</v>
      </c>
      <c r="D81" s="1684">
        <f>SUM(D78:D80)</f>
        <v>573504</v>
      </c>
      <c r="E81" s="1684">
        <f t="shared" ref="E81:K81" si="10">SUM(E78:E80)</f>
        <v>278488</v>
      </c>
      <c r="F81" s="1684">
        <f t="shared" si="10"/>
        <v>366760</v>
      </c>
      <c r="G81" s="1684">
        <f t="shared" si="10"/>
        <v>315290</v>
      </c>
      <c r="H81" s="1684">
        <f t="shared" si="10"/>
        <v>131586</v>
      </c>
      <c r="I81" s="1684">
        <f t="shared" si="10"/>
        <v>526391</v>
      </c>
      <c r="J81" s="1684">
        <f t="shared" si="10"/>
        <v>310091</v>
      </c>
      <c r="K81" s="1684">
        <f t="shared" si="10"/>
        <v>105859</v>
      </c>
      <c r="L81" s="347"/>
    </row>
    <row r="82" spans="1:12" ht="0.75" customHeight="1" thickTop="1" thickBot="1" x14ac:dyDescent="0.25">
      <c r="A82" s="533" t="s">
        <v>343</v>
      </c>
      <c r="B82" s="534"/>
      <c r="C82" s="535">
        <f>(C81-C79)</f>
        <v>738523</v>
      </c>
      <c r="D82" s="535">
        <f t="shared" ref="D82:K82" si="11">(D81-D79)</f>
        <v>18932</v>
      </c>
      <c r="E82" s="535">
        <f t="shared" si="11"/>
        <v>24746</v>
      </c>
      <c r="F82" s="535">
        <f t="shared" si="11"/>
        <v>-12914</v>
      </c>
      <c r="G82" s="535">
        <f t="shared" si="11"/>
        <v>11032</v>
      </c>
      <c r="H82" s="535">
        <f t="shared" si="11"/>
        <v>-22022</v>
      </c>
      <c r="I82" s="535">
        <f t="shared" si="11"/>
        <v>47080</v>
      </c>
      <c r="J82" s="535">
        <f t="shared" si="11"/>
        <v>18802</v>
      </c>
      <c r="K82" s="535">
        <f t="shared" si="11"/>
        <v>38513</v>
      </c>
    </row>
    <row r="83" spans="1:12" ht="14.25" hidden="1" thickTop="1" thickBot="1" x14ac:dyDescent="0.25">
      <c r="A83" s="536" t="s">
        <v>344</v>
      </c>
      <c r="B83" s="464"/>
      <c r="C83" s="537">
        <f>C82/C81</f>
        <v>0.18718208866401265</v>
      </c>
      <c r="D83" s="537">
        <f t="shared" ref="D83:K83" si="12">D82/D81</f>
        <v>3.3011103671465238E-2</v>
      </c>
      <c r="E83" s="537">
        <f t="shared" si="12"/>
        <v>8.885840682542874E-2</v>
      </c>
      <c r="F83" s="537">
        <f t="shared" si="12"/>
        <v>-3.5211037190533319E-2</v>
      </c>
      <c r="G83" s="537">
        <f t="shared" si="12"/>
        <v>3.4990009197881318E-2</v>
      </c>
      <c r="H83" s="537">
        <f t="shared" si="12"/>
        <v>-0.16735822959889349</v>
      </c>
      <c r="I83" s="537">
        <f t="shared" si="12"/>
        <v>8.9439219135585529E-2</v>
      </c>
      <c r="J83" s="537">
        <f t="shared" si="12"/>
        <v>6.0633813944938747E-2</v>
      </c>
      <c r="K83" s="537">
        <f t="shared" si="12"/>
        <v>0.36381413011647568</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1" right="0.1" top="0.61" bottom="0.4"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A51" activeCellId="1" sqref="J31 AA51"/>
      <selection pane="bottomLeft" activeCell="A3" sqref="A3"/>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2751059</v>
      </c>
      <c r="D5" s="479">
        <v>549474</v>
      </c>
      <c r="E5" s="466">
        <v>663431</v>
      </c>
      <c r="F5" s="545">
        <v>147510</v>
      </c>
      <c r="G5" s="466">
        <v>75661</v>
      </c>
      <c r="H5" s="466">
        <v>0</v>
      </c>
      <c r="I5" s="466">
        <v>36878</v>
      </c>
      <c r="J5" s="467">
        <v>238644</v>
      </c>
      <c r="K5" s="466">
        <v>36878</v>
      </c>
    </row>
    <row r="6" spans="1:12" ht="15" x14ac:dyDescent="0.2">
      <c r="A6" s="463" t="s">
        <v>1662</v>
      </c>
      <c r="B6" s="470">
        <v>1130</v>
      </c>
      <c r="C6" s="466">
        <v>36878</v>
      </c>
      <c r="D6" s="466">
        <v>0</v>
      </c>
      <c r="E6" s="474"/>
      <c r="F6" s="474"/>
      <c r="G6" s="468"/>
      <c r="H6" s="468"/>
      <c r="I6" s="468"/>
      <c r="J6" s="468"/>
      <c r="K6" s="468"/>
    </row>
    <row r="7" spans="1:12" x14ac:dyDescent="0.2">
      <c r="A7" s="463" t="s">
        <v>110</v>
      </c>
      <c r="B7" s="546">
        <v>1140</v>
      </c>
      <c r="C7" s="466">
        <v>29502</v>
      </c>
      <c r="D7" s="466">
        <v>0</v>
      </c>
      <c r="E7" s="468"/>
      <c r="F7" s="467">
        <v>0</v>
      </c>
      <c r="G7" s="467">
        <v>0</v>
      </c>
      <c r="H7" s="467">
        <v>0</v>
      </c>
      <c r="I7" s="468"/>
      <c r="J7" s="468"/>
      <c r="K7" s="468"/>
    </row>
    <row r="8" spans="1:12" x14ac:dyDescent="0.2">
      <c r="A8" s="463" t="s">
        <v>413</v>
      </c>
      <c r="B8" s="470">
        <v>1150</v>
      </c>
      <c r="C8" s="474"/>
      <c r="D8" s="474"/>
      <c r="E8" s="475"/>
      <c r="F8" s="475"/>
      <c r="G8" s="479">
        <v>104762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2817439</v>
      </c>
      <c r="D12" s="1703">
        <f t="shared" si="0"/>
        <v>549474</v>
      </c>
      <c r="E12" s="1703">
        <f t="shared" si="0"/>
        <v>663431</v>
      </c>
      <c r="F12" s="1703">
        <f t="shared" si="0"/>
        <v>147510</v>
      </c>
      <c r="G12" s="1703">
        <f t="shared" si="0"/>
        <v>180423</v>
      </c>
      <c r="H12" s="1703">
        <f t="shared" si="0"/>
        <v>0</v>
      </c>
      <c r="I12" s="1703">
        <f t="shared" si="0"/>
        <v>36878</v>
      </c>
      <c r="J12" s="1703">
        <f t="shared" si="0"/>
        <v>238644</v>
      </c>
      <c r="K12" s="1684">
        <f t="shared" si="0"/>
        <v>36878</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99844</v>
      </c>
      <c r="D16" s="466">
        <v>0</v>
      </c>
      <c r="E16" s="466">
        <v>0</v>
      </c>
      <c r="F16" s="466">
        <v>0</v>
      </c>
      <c r="G16" s="466">
        <v>7500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99844</v>
      </c>
      <c r="D18" s="1706">
        <f t="shared" ref="D18:K18" si="1">SUM(D14:D17)</f>
        <v>0</v>
      </c>
      <c r="E18" s="1706">
        <f t="shared" si="1"/>
        <v>0</v>
      </c>
      <c r="F18" s="1706">
        <f t="shared" si="1"/>
        <v>0</v>
      </c>
      <c r="G18" s="1706">
        <f t="shared" si="1"/>
        <v>7500</v>
      </c>
      <c r="H18" s="1706">
        <f t="shared" si="1"/>
        <v>0</v>
      </c>
      <c r="I18" s="1706">
        <f t="shared" si="1"/>
        <v>0</v>
      </c>
      <c r="J18" s="1706">
        <f t="shared" si="1"/>
        <v>0</v>
      </c>
      <c r="K18" s="1707">
        <f t="shared" si="1"/>
        <v>0</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6688</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6688</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51529</v>
      </c>
      <c r="D65" s="466">
        <v>10000</v>
      </c>
      <c r="E65" s="466">
        <v>5149</v>
      </c>
      <c r="F65" s="467">
        <v>5786</v>
      </c>
      <c r="G65" s="466">
        <v>5701</v>
      </c>
      <c r="H65" s="466">
        <v>2880</v>
      </c>
      <c r="I65" s="466">
        <v>10202</v>
      </c>
      <c r="J65" s="467">
        <v>4667</v>
      </c>
      <c r="K65" s="466">
        <v>1635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51529</v>
      </c>
      <c r="D67" s="1684">
        <f t="shared" ref="D67:K67" si="2">SUM(D65:D66)</f>
        <v>10000</v>
      </c>
      <c r="E67" s="1684">
        <f t="shared" si="2"/>
        <v>5149</v>
      </c>
      <c r="F67" s="1684">
        <f t="shared" si="2"/>
        <v>5786</v>
      </c>
      <c r="G67" s="1684">
        <f t="shared" si="2"/>
        <v>5701</v>
      </c>
      <c r="H67" s="1684">
        <f t="shared" si="2"/>
        <v>2880</v>
      </c>
      <c r="I67" s="1684">
        <f t="shared" si="2"/>
        <v>10202</v>
      </c>
      <c r="J67" s="1684">
        <f t="shared" si="2"/>
        <v>4667</v>
      </c>
      <c r="K67" s="1684">
        <f t="shared" si="2"/>
        <v>1635</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76074</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1480</v>
      </c>
      <c r="D72" s="468"/>
      <c r="E72" s="468"/>
      <c r="F72" s="468"/>
      <c r="G72" s="468"/>
      <c r="H72" s="468"/>
      <c r="I72" s="468"/>
      <c r="J72" s="468"/>
      <c r="K72" s="468"/>
    </row>
    <row r="73" spans="1:11" ht="12.75" customHeight="1" x14ac:dyDescent="0.2">
      <c r="A73" s="463" t="s">
        <v>998</v>
      </c>
      <c r="B73" s="470">
        <v>1620</v>
      </c>
      <c r="C73" s="548">
        <v>1931</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79485</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7329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10490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4" t="s">
        <v>241</v>
      </c>
      <c r="B82" s="1705"/>
      <c r="C82" s="1703">
        <f>SUM(C77:C81)</f>
        <v>17819</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32685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32685</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11654</v>
      </c>
      <c r="D96" s="548">
        <v>0</v>
      </c>
      <c r="E96" s="477">
        <v>0</v>
      </c>
      <c r="F96" s="476">
        <v>0</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12202</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107875</v>
      </c>
      <c r="I100" s="467">
        <v>0</v>
      </c>
      <c r="J100" s="486">
        <v>0</v>
      </c>
      <c r="K100" s="467">
        <v>0</v>
      </c>
    </row>
    <row r="101" spans="1:12" ht="12.75" customHeight="1" x14ac:dyDescent="0.2">
      <c r="A101" s="463" t="s">
        <v>246</v>
      </c>
      <c r="B101" s="470">
        <v>1970</v>
      </c>
      <c r="C101" s="486">
        <v>2000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4149</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4378</v>
      </c>
      <c r="D106" s="486">
        <v>0</v>
      </c>
      <c r="E106" s="467">
        <v>0</v>
      </c>
      <c r="F106" s="467">
        <v>0</v>
      </c>
      <c r="G106" s="467">
        <v>0</v>
      </c>
      <c r="H106" s="467">
        <v>0</v>
      </c>
      <c r="I106" s="518"/>
      <c r="J106" s="467">
        <v>0</v>
      </c>
      <c r="K106" s="467">
        <v>0</v>
      </c>
    </row>
    <row r="107" spans="1:12" ht="12.75" customHeight="1" x14ac:dyDescent="0.2">
      <c r="A107" s="463" t="s">
        <v>78</v>
      </c>
      <c r="B107" s="470">
        <v>1999</v>
      </c>
      <c r="C107" s="548">
        <v>3038</v>
      </c>
      <c r="D107" s="466">
        <v>1060</v>
      </c>
      <c r="E107" s="466">
        <v>0</v>
      </c>
      <c r="F107" s="466">
        <v>0</v>
      </c>
      <c r="G107" s="466">
        <v>0</v>
      </c>
      <c r="H107" s="466">
        <v>0</v>
      </c>
      <c r="I107" s="466">
        <v>0</v>
      </c>
      <c r="J107" s="467">
        <v>0</v>
      </c>
      <c r="K107" s="466">
        <v>0</v>
      </c>
    </row>
    <row r="108" spans="1:12" ht="12.75" customHeight="1" thickBot="1" x14ac:dyDescent="0.25">
      <c r="A108" s="1704" t="s">
        <v>487</v>
      </c>
      <c r="B108" s="1708"/>
      <c r="C108" s="1703">
        <f>SUM(C95:C107)</f>
        <v>33272</v>
      </c>
      <c r="D108" s="1703">
        <f t="shared" ref="D108:K108" si="3">SUM(D95:D107)</f>
        <v>1060</v>
      </c>
      <c r="E108" s="1703">
        <f t="shared" si="3"/>
        <v>0</v>
      </c>
      <c r="F108" s="1703">
        <f t="shared" si="3"/>
        <v>0</v>
      </c>
      <c r="G108" s="1703">
        <f t="shared" si="3"/>
        <v>0</v>
      </c>
      <c r="H108" s="1703">
        <f t="shared" si="3"/>
        <v>112024</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3132073</v>
      </c>
      <c r="D109" s="1711">
        <f t="shared" si="4"/>
        <v>560534</v>
      </c>
      <c r="E109" s="1711">
        <f t="shared" si="4"/>
        <v>668580</v>
      </c>
      <c r="F109" s="1711">
        <f t="shared" si="4"/>
        <v>159984</v>
      </c>
      <c r="G109" s="1711">
        <f t="shared" si="4"/>
        <v>193624</v>
      </c>
      <c r="H109" s="1711">
        <f t="shared" si="4"/>
        <v>114904</v>
      </c>
      <c r="I109" s="1711">
        <f t="shared" si="4"/>
        <v>47080</v>
      </c>
      <c r="J109" s="1711">
        <f t="shared" si="4"/>
        <v>243311</v>
      </c>
      <c r="K109" s="1698">
        <f t="shared" si="4"/>
        <v>38513</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1587084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1587084</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109492</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109492</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18929</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18929</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1291</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3063</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56197</v>
      </c>
      <c r="G152" s="467">
        <v>0</v>
      </c>
      <c r="H152" s="468"/>
      <c r="I152" s="468"/>
      <c r="J152" s="468"/>
      <c r="K152" s="468"/>
    </row>
    <row r="153" spans="1:11" ht="12.75" customHeight="1" x14ac:dyDescent="0.2">
      <c r="A153" s="463" t="s">
        <v>1057</v>
      </c>
      <c r="B153" s="559">
        <v>3510</v>
      </c>
      <c r="C153" s="548">
        <v>0</v>
      </c>
      <c r="D153" s="466">
        <v>0</v>
      </c>
      <c r="E153" s="558"/>
      <c r="F153" s="466">
        <v>103261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159458</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48806</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8">
        <f t="shared" ref="C169:K169" si="6">SUM(C132,C141,C145,C146:C150,C155,C156:C167,C168)</f>
        <v>182331</v>
      </c>
      <c r="D169" s="1718">
        <f t="shared" si="6"/>
        <v>0</v>
      </c>
      <c r="E169" s="1718">
        <f t="shared" si="6"/>
        <v>0</v>
      </c>
      <c r="F169" s="1718">
        <f t="shared" si="6"/>
        <v>159458</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1769415</v>
      </c>
      <c r="D170" s="1711">
        <f t="shared" si="7"/>
        <v>0</v>
      </c>
      <c r="E170" s="1711">
        <f t="shared" si="7"/>
        <v>0</v>
      </c>
      <c r="F170" s="1711">
        <f t="shared" si="7"/>
        <v>159458</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0" t="s">
        <v>785</v>
      </c>
      <c r="B181" s="2171"/>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70814</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70814</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69857</v>
      </c>
      <c r="D191" s="468"/>
      <c r="E191" s="558"/>
      <c r="F191" s="468"/>
      <c r="G191" s="582">
        <v>0</v>
      </c>
      <c r="H191" s="468"/>
      <c r="I191" s="468"/>
      <c r="J191" s="468"/>
      <c r="K191" s="468"/>
    </row>
    <row r="192" spans="1:11" ht="12.75" customHeight="1" x14ac:dyDescent="0.2">
      <c r="A192" s="463" t="s">
        <v>1047</v>
      </c>
      <c r="B192" s="470">
        <v>4215</v>
      </c>
      <c r="C192" s="548">
        <v>698</v>
      </c>
      <c r="D192" s="468"/>
      <c r="E192" s="558"/>
      <c r="F192" s="468"/>
      <c r="G192" s="582">
        <v>0</v>
      </c>
      <c r="H192" s="468"/>
      <c r="I192" s="468"/>
      <c r="J192" s="468"/>
      <c r="K192" s="468"/>
    </row>
    <row r="193" spans="1:11" ht="12.75" customHeight="1" x14ac:dyDescent="0.2">
      <c r="A193" s="463" t="s">
        <v>1059</v>
      </c>
      <c r="B193" s="470">
        <v>4220</v>
      </c>
      <c r="C193" s="548">
        <v>11198</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81753</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74057</v>
      </c>
      <c r="D200" s="466">
        <v>0</v>
      </c>
      <c r="E200" s="468"/>
      <c r="F200" s="466">
        <v>0</v>
      </c>
      <c r="G200" s="466">
        <v>1048</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74057</v>
      </c>
      <c r="D204" s="1703">
        <f>SUM(D200:D203)</f>
        <v>0</v>
      </c>
      <c r="E204" s="468"/>
      <c r="F204" s="1703">
        <f>SUM(F200:F203)</f>
        <v>0</v>
      </c>
      <c r="G204" s="1703">
        <f>SUM(G200:G203)</f>
        <v>1048</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12146</v>
      </c>
      <c r="D206" s="466">
        <v>0</v>
      </c>
      <c r="E206" s="468"/>
      <c r="F206" s="466">
        <v>0</v>
      </c>
      <c r="G206" s="466">
        <v>110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12146</v>
      </c>
      <c r="D209" s="1703">
        <f>SUM(D206:D208)</f>
        <v>0</v>
      </c>
      <c r="E209" s="468" t="s">
        <v>1169</v>
      </c>
      <c r="F209" s="1703">
        <f>SUM(F206:F208)</f>
        <v>0</v>
      </c>
      <c r="G209" s="1703">
        <f>SUM(G206:G208)</f>
        <v>110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1542</v>
      </c>
      <c r="D211" s="466">
        <v>0</v>
      </c>
      <c r="E211" s="468"/>
      <c r="F211" s="466">
        <v>1394</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116721</v>
      </c>
      <c r="D213" s="466">
        <v>0</v>
      </c>
      <c r="E213" s="468"/>
      <c r="F213" s="466">
        <v>0</v>
      </c>
      <c r="G213" s="466">
        <v>694</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118263</v>
      </c>
      <c r="D217" s="1703">
        <f>SUM(D211:D216)</f>
        <v>0</v>
      </c>
      <c r="E217" s="468"/>
      <c r="F217" s="1703">
        <f>SUM(F211:F216)</f>
        <v>1394</v>
      </c>
      <c r="G217" s="1703">
        <f>SUM(G211:G216)</f>
        <v>694</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53370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53370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18625</v>
      </c>
      <c r="D259" s="573">
        <v>0</v>
      </c>
      <c r="E259" s="468"/>
      <c r="F259" s="573">
        <v>0</v>
      </c>
      <c r="G259" s="573">
        <v>698</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18079</v>
      </c>
      <c r="D263" s="573">
        <v>0</v>
      </c>
      <c r="E263" s="468"/>
      <c r="F263" s="573">
        <v>0</v>
      </c>
      <c r="G263" s="573">
        <v>0</v>
      </c>
      <c r="H263" s="468"/>
      <c r="I263" s="468"/>
      <c r="J263" s="468"/>
      <c r="K263" s="468"/>
    </row>
    <row r="264" spans="1:11" ht="12.75" customHeight="1" thickTop="1" thickBot="1" x14ac:dyDescent="0.25">
      <c r="A264" s="463" t="s">
        <v>377</v>
      </c>
      <c r="B264" s="470">
        <v>4992</v>
      </c>
      <c r="C264" s="572">
        <v>11859</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458966</v>
      </c>
      <c r="D266" s="1711">
        <f t="shared" si="10"/>
        <v>0</v>
      </c>
      <c r="E266" s="1711">
        <f t="shared" si="10"/>
        <v>0</v>
      </c>
      <c r="F266" s="1711">
        <f t="shared" si="10"/>
        <v>1394</v>
      </c>
      <c r="G266" s="1711">
        <f t="shared" si="10"/>
        <v>2550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458966</v>
      </c>
      <c r="D267" s="1711">
        <f>SUM(D175,D181,D266)</f>
        <v>0</v>
      </c>
      <c r="E267" s="1711">
        <f>SUM(E175,E266)</f>
        <v>0</v>
      </c>
      <c r="F267" s="1711">
        <f t="shared" ref="F267:K267" si="11">SUM(F175,F181,F266)</f>
        <v>1394</v>
      </c>
      <c r="G267" s="1711">
        <f t="shared" si="11"/>
        <v>2550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5360454</v>
      </c>
      <c r="D268" s="1711">
        <f t="shared" si="12"/>
        <v>560534</v>
      </c>
      <c r="E268" s="1711">
        <f t="shared" si="12"/>
        <v>668580</v>
      </c>
      <c r="F268" s="1711">
        <f t="shared" si="12"/>
        <v>320836</v>
      </c>
      <c r="G268" s="1711">
        <f t="shared" si="12"/>
        <v>196174</v>
      </c>
      <c r="H268" s="1711">
        <f t="shared" si="12"/>
        <v>114904</v>
      </c>
      <c r="I268" s="1711">
        <f t="shared" si="12"/>
        <v>47080</v>
      </c>
      <c r="J268" s="1711">
        <f t="shared" si="12"/>
        <v>243311</v>
      </c>
      <c r="K268" s="1698">
        <f t="shared" si="12"/>
        <v>38513</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1" top="0.61" bottom="0.4"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A51" activeCellId="1" sqref="J31 AA5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2" t="s">
        <v>297</v>
      </c>
      <c r="B3" s="2183"/>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1363694</v>
      </c>
      <c r="D5" s="466">
        <v>348108</v>
      </c>
      <c r="E5" s="466">
        <v>43399</v>
      </c>
      <c r="F5" s="466">
        <v>25759</v>
      </c>
      <c r="G5" s="466">
        <v>62600</v>
      </c>
      <c r="H5" s="466">
        <v>1741</v>
      </c>
      <c r="I5" s="467">
        <v>0</v>
      </c>
      <c r="J5" s="467">
        <v>0</v>
      </c>
      <c r="K5" s="1667">
        <f>SUM(C5:J5)</f>
        <v>1845301</v>
      </c>
      <c r="L5" s="471">
        <v>1872721</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54000</v>
      </c>
      <c r="D7" s="467">
        <v>14604</v>
      </c>
      <c r="E7" s="467">
        <v>0</v>
      </c>
      <c r="F7" s="467">
        <v>1521</v>
      </c>
      <c r="G7" s="467">
        <v>0</v>
      </c>
      <c r="H7" s="467">
        <v>0</v>
      </c>
      <c r="I7" s="467">
        <v>0</v>
      </c>
      <c r="J7" s="467">
        <v>0</v>
      </c>
      <c r="K7" s="1667">
        <f t="shared" ref="K7:K32" si="0">SUM(C7:J7)</f>
        <v>70125</v>
      </c>
      <c r="L7" s="471">
        <v>63329</v>
      </c>
    </row>
    <row r="8" spans="1:14" x14ac:dyDescent="0.2">
      <c r="A8" s="1500" t="s">
        <v>164</v>
      </c>
      <c r="B8" s="611">
        <v>1200</v>
      </c>
      <c r="C8" s="466">
        <v>274527</v>
      </c>
      <c r="D8" s="466">
        <v>76419</v>
      </c>
      <c r="E8" s="466">
        <v>28359</v>
      </c>
      <c r="F8" s="466">
        <v>7211</v>
      </c>
      <c r="G8" s="466">
        <v>0</v>
      </c>
      <c r="H8" s="466">
        <v>0</v>
      </c>
      <c r="I8" s="467">
        <v>0</v>
      </c>
      <c r="J8" s="467">
        <v>0</v>
      </c>
      <c r="K8" s="1667">
        <f t="shared" si="0"/>
        <v>386516</v>
      </c>
      <c r="L8" s="471">
        <v>403549</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83960</v>
      </c>
      <c r="D10" s="466">
        <v>20436</v>
      </c>
      <c r="E10" s="466">
        <v>0</v>
      </c>
      <c r="F10" s="466">
        <v>16603</v>
      </c>
      <c r="G10" s="466">
        <v>0</v>
      </c>
      <c r="H10" s="466">
        <v>0</v>
      </c>
      <c r="I10" s="467">
        <v>0</v>
      </c>
      <c r="J10" s="467">
        <v>0</v>
      </c>
      <c r="K10" s="1667">
        <f t="shared" si="0"/>
        <v>120999</v>
      </c>
      <c r="L10" s="471">
        <v>120243</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41424</v>
      </c>
      <c r="D13" s="466">
        <v>13678</v>
      </c>
      <c r="E13" s="466">
        <v>0</v>
      </c>
      <c r="F13" s="466">
        <v>3610</v>
      </c>
      <c r="G13" s="466">
        <v>0</v>
      </c>
      <c r="H13" s="466">
        <v>0</v>
      </c>
      <c r="I13" s="467">
        <v>0</v>
      </c>
      <c r="J13" s="467">
        <v>0</v>
      </c>
      <c r="K13" s="1667">
        <f t="shared" si="0"/>
        <v>58712</v>
      </c>
      <c r="L13" s="471">
        <v>60648</v>
      </c>
    </row>
    <row r="14" spans="1:14" x14ac:dyDescent="0.2">
      <c r="A14" s="1500" t="s">
        <v>963</v>
      </c>
      <c r="B14" s="611">
        <v>1500</v>
      </c>
      <c r="C14" s="466">
        <v>179312</v>
      </c>
      <c r="D14" s="466">
        <v>22754</v>
      </c>
      <c r="E14" s="466">
        <v>17584</v>
      </c>
      <c r="F14" s="466">
        <v>13398</v>
      </c>
      <c r="G14" s="466">
        <v>4828</v>
      </c>
      <c r="H14" s="466">
        <v>2860</v>
      </c>
      <c r="I14" s="467">
        <v>0</v>
      </c>
      <c r="J14" s="467">
        <v>0</v>
      </c>
      <c r="K14" s="1667">
        <f t="shared" si="0"/>
        <v>240736</v>
      </c>
      <c r="L14" s="471">
        <v>255466</v>
      </c>
    </row>
    <row r="15" spans="1:14" x14ac:dyDescent="0.2">
      <c r="A15" s="1500" t="s">
        <v>964</v>
      </c>
      <c r="B15" s="611">
        <v>1600</v>
      </c>
      <c r="C15" s="467">
        <v>2794</v>
      </c>
      <c r="D15" s="466">
        <v>321</v>
      </c>
      <c r="E15" s="466">
        <v>0</v>
      </c>
      <c r="F15" s="466">
        <v>0</v>
      </c>
      <c r="G15" s="466">
        <v>0</v>
      </c>
      <c r="H15" s="466">
        <v>0</v>
      </c>
      <c r="I15" s="467">
        <v>0</v>
      </c>
      <c r="J15" s="467">
        <v>0</v>
      </c>
      <c r="K15" s="1667">
        <f t="shared" si="0"/>
        <v>3115</v>
      </c>
      <c r="L15" s="471">
        <v>2510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5181</v>
      </c>
      <c r="D17" s="467">
        <v>597</v>
      </c>
      <c r="E17" s="467">
        <v>617</v>
      </c>
      <c r="F17" s="467">
        <v>744</v>
      </c>
      <c r="G17" s="467">
        <v>0</v>
      </c>
      <c r="H17" s="467">
        <v>0</v>
      </c>
      <c r="I17" s="467">
        <v>0</v>
      </c>
      <c r="J17" s="467">
        <v>0</v>
      </c>
      <c r="K17" s="1667">
        <f t="shared" si="0"/>
        <v>7139</v>
      </c>
      <c r="L17" s="471">
        <v>4200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102732</v>
      </c>
      <c r="I22" s="613"/>
      <c r="J22" s="475"/>
      <c r="K22" s="1667">
        <f t="shared" si="0"/>
        <v>102732</v>
      </c>
      <c r="L22" s="471">
        <v>215000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2004892</v>
      </c>
      <c r="D33" s="1666">
        <f t="shared" ref="D33:L33" si="1">SUM(D5:D32)</f>
        <v>496917</v>
      </c>
      <c r="E33" s="1666">
        <f t="shared" si="1"/>
        <v>89959</v>
      </c>
      <c r="F33" s="1666">
        <f t="shared" si="1"/>
        <v>68846</v>
      </c>
      <c r="G33" s="1666">
        <f t="shared" si="1"/>
        <v>67428</v>
      </c>
      <c r="H33" s="1666">
        <f t="shared" si="1"/>
        <v>107333</v>
      </c>
      <c r="I33" s="1666">
        <f t="shared" si="1"/>
        <v>0</v>
      </c>
      <c r="J33" s="1666">
        <f t="shared" si="1"/>
        <v>0</v>
      </c>
      <c r="K33" s="1666">
        <f t="shared" si="1"/>
        <v>2835375</v>
      </c>
      <c r="L33" s="1666">
        <f t="shared" si="1"/>
        <v>2997666</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32723</v>
      </c>
      <c r="D36" s="479">
        <v>11929</v>
      </c>
      <c r="E36" s="479">
        <v>0</v>
      </c>
      <c r="F36" s="479">
        <v>0</v>
      </c>
      <c r="G36" s="479">
        <v>0</v>
      </c>
      <c r="H36" s="479">
        <v>0</v>
      </c>
      <c r="I36" s="467">
        <v>0</v>
      </c>
      <c r="J36" s="467">
        <v>0</v>
      </c>
      <c r="K36" s="1667">
        <f t="shared" ref="K36:K41" si="2">SUM(C36:J36)</f>
        <v>44652</v>
      </c>
      <c r="L36" s="466">
        <v>54366</v>
      </c>
    </row>
    <row r="37" spans="1:14" x14ac:dyDescent="0.2">
      <c r="A37" s="1500" t="s">
        <v>1090</v>
      </c>
      <c r="B37" s="611">
        <v>2120</v>
      </c>
      <c r="C37" s="466">
        <v>77210</v>
      </c>
      <c r="D37" s="466">
        <v>16385</v>
      </c>
      <c r="E37" s="466">
        <v>87</v>
      </c>
      <c r="F37" s="466">
        <v>200</v>
      </c>
      <c r="G37" s="466">
        <v>0</v>
      </c>
      <c r="H37" s="466">
        <v>0</v>
      </c>
      <c r="I37" s="467">
        <v>0</v>
      </c>
      <c r="J37" s="467">
        <v>0</v>
      </c>
      <c r="K37" s="1667">
        <f t="shared" si="2"/>
        <v>93882</v>
      </c>
      <c r="L37" s="466">
        <v>93771</v>
      </c>
    </row>
    <row r="38" spans="1:14" x14ac:dyDescent="0.2">
      <c r="A38" s="1500" t="s">
        <v>198</v>
      </c>
      <c r="B38" s="611">
        <v>2130</v>
      </c>
      <c r="C38" s="466">
        <v>39294</v>
      </c>
      <c r="D38" s="466">
        <v>2375</v>
      </c>
      <c r="E38" s="466">
        <v>352</v>
      </c>
      <c r="F38" s="466">
        <v>723</v>
      </c>
      <c r="G38" s="466">
        <v>0</v>
      </c>
      <c r="H38" s="466">
        <v>246</v>
      </c>
      <c r="I38" s="467">
        <v>0</v>
      </c>
      <c r="J38" s="467">
        <v>0</v>
      </c>
      <c r="K38" s="1667">
        <f t="shared" si="2"/>
        <v>42990</v>
      </c>
      <c r="L38" s="466">
        <v>46472</v>
      </c>
    </row>
    <row r="39" spans="1:14" x14ac:dyDescent="0.2">
      <c r="A39" s="1500" t="s">
        <v>199</v>
      </c>
      <c r="B39" s="611">
        <v>2140</v>
      </c>
      <c r="C39" s="466">
        <v>0</v>
      </c>
      <c r="D39" s="466">
        <v>0</v>
      </c>
      <c r="E39" s="466">
        <v>4200</v>
      </c>
      <c r="F39" s="466">
        <v>0</v>
      </c>
      <c r="G39" s="466">
        <v>0</v>
      </c>
      <c r="H39" s="466">
        <v>0</v>
      </c>
      <c r="I39" s="467">
        <v>0</v>
      </c>
      <c r="J39" s="467">
        <v>0</v>
      </c>
      <c r="K39" s="1667">
        <f t="shared" si="2"/>
        <v>4200</v>
      </c>
      <c r="L39" s="466">
        <v>0</v>
      </c>
    </row>
    <row r="40" spans="1:14" x14ac:dyDescent="0.2">
      <c r="A40" s="1500" t="s">
        <v>200</v>
      </c>
      <c r="B40" s="611">
        <v>2150</v>
      </c>
      <c r="C40" s="466">
        <v>48447</v>
      </c>
      <c r="D40" s="466">
        <v>6978</v>
      </c>
      <c r="E40" s="466">
        <v>15633</v>
      </c>
      <c r="F40" s="466">
        <v>0</v>
      </c>
      <c r="G40" s="466">
        <v>0</v>
      </c>
      <c r="H40" s="466">
        <v>0</v>
      </c>
      <c r="I40" s="467">
        <v>0</v>
      </c>
      <c r="J40" s="467">
        <v>0</v>
      </c>
      <c r="K40" s="1667">
        <f t="shared" si="2"/>
        <v>71058</v>
      </c>
      <c r="L40" s="466">
        <v>78670</v>
      </c>
    </row>
    <row r="41" spans="1:14" x14ac:dyDescent="0.2">
      <c r="A41" s="1500" t="s">
        <v>1669</v>
      </c>
      <c r="B41" s="611">
        <v>2190</v>
      </c>
      <c r="C41" s="466">
        <v>0</v>
      </c>
      <c r="D41" s="466">
        <v>0</v>
      </c>
      <c r="E41" s="466">
        <v>0</v>
      </c>
      <c r="F41" s="466">
        <v>0</v>
      </c>
      <c r="G41" s="466">
        <v>0</v>
      </c>
      <c r="H41" s="466">
        <v>0</v>
      </c>
      <c r="I41" s="467">
        <v>0</v>
      </c>
      <c r="J41" s="467">
        <v>0</v>
      </c>
      <c r="K41" s="1667">
        <f t="shared" si="2"/>
        <v>0</v>
      </c>
      <c r="L41" s="466">
        <v>0</v>
      </c>
    </row>
    <row r="42" spans="1:14" ht="12.75" customHeight="1" thickBot="1" x14ac:dyDescent="0.25">
      <c r="A42" s="1664" t="s">
        <v>560</v>
      </c>
      <c r="B42" s="1665" t="s">
        <v>716</v>
      </c>
      <c r="C42" s="1666">
        <f>SUM(C36:C41)</f>
        <v>197674</v>
      </c>
      <c r="D42" s="1666">
        <f t="shared" ref="D42:L42" si="3">SUM(D36:D41)</f>
        <v>37667</v>
      </c>
      <c r="E42" s="1666">
        <f t="shared" si="3"/>
        <v>20272</v>
      </c>
      <c r="F42" s="1666">
        <f t="shared" si="3"/>
        <v>923</v>
      </c>
      <c r="G42" s="1666">
        <f t="shared" si="3"/>
        <v>0</v>
      </c>
      <c r="H42" s="1666">
        <f t="shared" si="3"/>
        <v>246</v>
      </c>
      <c r="I42" s="1666">
        <f t="shared" si="3"/>
        <v>0</v>
      </c>
      <c r="J42" s="1666">
        <f t="shared" si="3"/>
        <v>0</v>
      </c>
      <c r="K42" s="1666">
        <f t="shared" si="3"/>
        <v>256782</v>
      </c>
      <c r="L42" s="1666">
        <f t="shared" si="3"/>
        <v>273279</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3585</v>
      </c>
      <c r="D44" s="479">
        <v>321</v>
      </c>
      <c r="E44" s="479">
        <v>10209</v>
      </c>
      <c r="F44" s="479">
        <v>8690</v>
      </c>
      <c r="G44" s="479">
        <v>0</v>
      </c>
      <c r="H44" s="479">
        <v>0</v>
      </c>
      <c r="I44" s="467">
        <v>0</v>
      </c>
      <c r="J44" s="467">
        <v>0</v>
      </c>
      <c r="K44" s="1668">
        <f>SUM(C44:J44)</f>
        <v>22805</v>
      </c>
      <c r="L44" s="479">
        <v>19573</v>
      </c>
    </row>
    <row r="45" spans="1:14" x14ac:dyDescent="0.2">
      <c r="A45" s="1500" t="s">
        <v>815</v>
      </c>
      <c r="B45" s="611">
        <v>2220</v>
      </c>
      <c r="C45" s="466">
        <v>94901</v>
      </c>
      <c r="D45" s="466">
        <v>27310</v>
      </c>
      <c r="E45" s="466">
        <v>279</v>
      </c>
      <c r="F45" s="466">
        <v>1568</v>
      </c>
      <c r="G45" s="466">
        <v>0</v>
      </c>
      <c r="H45" s="466">
        <v>0</v>
      </c>
      <c r="I45" s="467">
        <v>0</v>
      </c>
      <c r="J45" s="467">
        <v>0</v>
      </c>
      <c r="K45" s="1668">
        <f>SUM(C45:J45)</f>
        <v>124058</v>
      </c>
      <c r="L45" s="466">
        <v>127124</v>
      </c>
    </row>
    <row r="46" spans="1:14" x14ac:dyDescent="0.2">
      <c r="A46" s="1500" t="s">
        <v>816</v>
      </c>
      <c r="B46" s="611">
        <v>2230</v>
      </c>
      <c r="C46" s="466">
        <v>0</v>
      </c>
      <c r="D46" s="466">
        <v>0</v>
      </c>
      <c r="E46" s="466">
        <v>5363</v>
      </c>
      <c r="F46" s="466">
        <v>89</v>
      </c>
      <c r="G46" s="466">
        <v>0</v>
      </c>
      <c r="H46" s="466">
        <v>0</v>
      </c>
      <c r="I46" s="467">
        <v>0</v>
      </c>
      <c r="J46" s="467">
        <v>0</v>
      </c>
      <c r="K46" s="1668">
        <f>SUM(C46:J46)</f>
        <v>5452</v>
      </c>
      <c r="L46" s="466">
        <v>12000</v>
      </c>
    </row>
    <row r="47" spans="1:14" ht="12.75" customHeight="1" thickBot="1" x14ac:dyDescent="0.25">
      <c r="A47" s="1664" t="s">
        <v>561</v>
      </c>
      <c r="B47" s="1665" t="s">
        <v>32</v>
      </c>
      <c r="C47" s="1666">
        <f>SUM(C44:C46)</f>
        <v>98486</v>
      </c>
      <c r="D47" s="1666">
        <f t="shared" ref="D47:K47" si="4">SUM(D44:D46)</f>
        <v>27631</v>
      </c>
      <c r="E47" s="1666">
        <f t="shared" si="4"/>
        <v>15851</v>
      </c>
      <c r="F47" s="1666">
        <f t="shared" si="4"/>
        <v>10347</v>
      </c>
      <c r="G47" s="1666">
        <f t="shared" si="4"/>
        <v>0</v>
      </c>
      <c r="H47" s="1666">
        <f t="shared" si="4"/>
        <v>0</v>
      </c>
      <c r="I47" s="1666">
        <f t="shared" si="4"/>
        <v>0</v>
      </c>
      <c r="J47" s="1666">
        <f t="shared" si="4"/>
        <v>0</v>
      </c>
      <c r="K47" s="1666">
        <f t="shared" si="4"/>
        <v>152315</v>
      </c>
      <c r="L47" s="1666">
        <f>SUM(L44:L46)</f>
        <v>158697</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0</v>
      </c>
      <c r="D49" s="479">
        <v>0</v>
      </c>
      <c r="E49" s="479">
        <v>37179</v>
      </c>
      <c r="F49" s="479">
        <v>2508</v>
      </c>
      <c r="G49" s="479">
        <v>0</v>
      </c>
      <c r="H49" s="479">
        <v>3657</v>
      </c>
      <c r="I49" s="467">
        <v>0</v>
      </c>
      <c r="J49" s="467">
        <v>0</v>
      </c>
      <c r="K49" s="1668">
        <f>SUM(C49:J49)</f>
        <v>43344</v>
      </c>
      <c r="L49" s="479">
        <v>60100</v>
      </c>
    </row>
    <row r="50" spans="1:14" x14ac:dyDescent="0.2">
      <c r="A50" s="1500" t="s">
        <v>818</v>
      </c>
      <c r="B50" s="611">
        <v>2320</v>
      </c>
      <c r="C50" s="467">
        <v>174943</v>
      </c>
      <c r="D50" s="466">
        <v>57081</v>
      </c>
      <c r="E50" s="466">
        <v>1214</v>
      </c>
      <c r="F50" s="466">
        <v>972</v>
      </c>
      <c r="G50" s="466">
        <v>0</v>
      </c>
      <c r="H50" s="466">
        <v>2302</v>
      </c>
      <c r="I50" s="467">
        <v>0</v>
      </c>
      <c r="J50" s="467">
        <v>0</v>
      </c>
      <c r="K50" s="1668">
        <f>SUM(C50:J50)</f>
        <v>236512</v>
      </c>
      <c r="L50" s="466">
        <v>236620</v>
      </c>
    </row>
    <row r="51" spans="1:14" x14ac:dyDescent="0.2">
      <c r="A51" s="1500" t="s">
        <v>42</v>
      </c>
      <c r="B51" s="611">
        <v>2330</v>
      </c>
      <c r="C51" s="466">
        <v>95266</v>
      </c>
      <c r="D51" s="466">
        <v>22651</v>
      </c>
      <c r="E51" s="466">
        <v>631</v>
      </c>
      <c r="F51" s="466">
        <v>0</v>
      </c>
      <c r="G51" s="466">
        <v>0</v>
      </c>
      <c r="H51" s="466">
        <v>0</v>
      </c>
      <c r="I51" s="467">
        <v>0</v>
      </c>
      <c r="J51" s="467">
        <v>0</v>
      </c>
      <c r="K51" s="1668">
        <f>SUM(C51:J51)</f>
        <v>118548</v>
      </c>
      <c r="L51" s="466">
        <v>123972</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270209</v>
      </c>
      <c r="D53" s="1666">
        <f t="shared" ref="D53:L53" si="5">SUM(D49:D52)</f>
        <v>79732</v>
      </c>
      <c r="E53" s="1666">
        <f t="shared" si="5"/>
        <v>39024</v>
      </c>
      <c r="F53" s="1666">
        <f t="shared" si="5"/>
        <v>3480</v>
      </c>
      <c r="G53" s="1666">
        <f t="shared" si="5"/>
        <v>0</v>
      </c>
      <c r="H53" s="1666">
        <f t="shared" si="5"/>
        <v>5959</v>
      </c>
      <c r="I53" s="1666">
        <f t="shared" si="5"/>
        <v>0</v>
      </c>
      <c r="J53" s="1666">
        <f t="shared" si="5"/>
        <v>0</v>
      </c>
      <c r="K53" s="1666">
        <f t="shared" si="5"/>
        <v>398404</v>
      </c>
      <c r="L53" s="1666">
        <f t="shared" si="5"/>
        <v>420692</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224327</v>
      </c>
      <c r="D55" s="479">
        <v>47144</v>
      </c>
      <c r="E55" s="479">
        <v>0</v>
      </c>
      <c r="F55" s="479">
        <v>928</v>
      </c>
      <c r="G55" s="479">
        <v>0</v>
      </c>
      <c r="H55" s="479">
        <v>306</v>
      </c>
      <c r="I55" s="467">
        <v>0</v>
      </c>
      <c r="J55" s="467">
        <v>0</v>
      </c>
      <c r="K55" s="1668">
        <f>SUM(C55:J55)</f>
        <v>272705</v>
      </c>
      <c r="L55" s="479">
        <v>273290</v>
      </c>
    </row>
    <row r="56" spans="1:14" ht="12.75" customHeight="1" x14ac:dyDescent="0.2">
      <c r="A56" s="1504" t="s">
        <v>376</v>
      </c>
      <c r="B56" s="625">
        <v>2490</v>
      </c>
      <c r="C56" s="466">
        <v>32475</v>
      </c>
      <c r="D56" s="466">
        <v>3766</v>
      </c>
      <c r="E56" s="466">
        <v>249</v>
      </c>
      <c r="F56" s="466">
        <v>0</v>
      </c>
      <c r="G56" s="466">
        <v>0</v>
      </c>
      <c r="H56" s="466">
        <v>0</v>
      </c>
      <c r="I56" s="467">
        <v>0</v>
      </c>
      <c r="J56" s="467">
        <v>0</v>
      </c>
      <c r="K56" s="1668">
        <f>SUM(C56:J56)</f>
        <v>36490</v>
      </c>
      <c r="L56" s="466">
        <v>36866</v>
      </c>
    </row>
    <row r="57" spans="1:14" s="343" customFormat="1" ht="12.75" customHeight="1" thickBot="1" x14ac:dyDescent="0.25">
      <c r="A57" s="1664" t="s">
        <v>263</v>
      </c>
      <c r="B57" s="1669" t="s">
        <v>34</v>
      </c>
      <c r="C57" s="1670">
        <f>SUM(C55:C56)</f>
        <v>256802</v>
      </c>
      <c r="D57" s="1670">
        <f t="shared" ref="D57:K57" si="6">SUM(D55:D56)</f>
        <v>50910</v>
      </c>
      <c r="E57" s="1670">
        <f t="shared" si="6"/>
        <v>249</v>
      </c>
      <c r="F57" s="1670">
        <f t="shared" si="6"/>
        <v>928</v>
      </c>
      <c r="G57" s="1670">
        <f t="shared" si="6"/>
        <v>0</v>
      </c>
      <c r="H57" s="1670">
        <f t="shared" si="6"/>
        <v>306</v>
      </c>
      <c r="I57" s="1670">
        <f t="shared" si="6"/>
        <v>0</v>
      </c>
      <c r="J57" s="1670">
        <f t="shared" si="6"/>
        <v>0</v>
      </c>
      <c r="K57" s="1670">
        <f t="shared" si="6"/>
        <v>309195</v>
      </c>
      <c r="L57" s="1666">
        <f>SUM(L55:L56)</f>
        <v>310156</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44366</v>
      </c>
      <c r="D60" s="466">
        <v>8848</v>
      </c>
      <c r="E60" s="466">
        <v>3699</v>
      </c>
      <c r="F60" s="466">
        <v>1244</v>
      </c>
      <c r="G60" s="466">
        <v>0</v>
      </c>
      <c r="H60" s="466">
        <v>1026</v>
      </c>
      <c r="I60" s="467">
        <v>0</v>
      </c>
      <c r="J60" s="467">
        <v>0</v>
      </c>
      <c r="K60" s="1668">
        <f t="shared" si="7"/>
        <v>59183</v>
      </c>
      <c r="L60" s="466">
        <v>62166</v>
      </c>
      <c r="M60" s="606"/>
      <c r="N60" s="606"/>
    </row>
    <row r="61" spans="1:14" s="343" customFormat="1" x14ac:dyDescent="0.2">
      <c r="A61" s="1500" t="s">
        <v>197</v>
      </c>
      <c r="B61" s="611">
        <v>2540</v>
      </c>
      <c r="C61" s="466">
        <v>0</v>
      </c>
      <c r="D61" s="466">
        <v>0</v>
      </c>
      <c r="E61" s="466">
        <v>0</v>
      </c>
      <c r="F61" s="466">
        <v>0</v>
      </c>
      <c r="G61" s="466">
        <v>0</v>
      </c>
      <c r="H61" s="466">
        <v>0</v>
      </c>
      <c r="I61" s="467">
        <v>0</v>
      </c>
      <c r="J61" s="467">
        <v>0</v>
      </c>
      <c r="K61" s="1668">
        <f t="shared" si="7"/>
        <v>0</v>
      </c>
      <c r="L61" s="466">
        <v>0</v>
      </c>
      <c r="M61" s="606"/>
      <c r="N61" s="606"/>
    </row>
    <row r="62" spans="1:14" s="343" customFormat="1" x14ac:dyDescent="0.2">
      <c r="A62" s="1500" t="s">
        <v>953</v>
      </c>
      <c r="B62" s="611">
        <v>2550</v>
      </c>
      <c r="C62" s="466">
        <v>0</v>
      </c>
      <c r="D62" s="466">
        <v>0</v>
      </c>
      <c r="E62" s="466">
        <v>0</v>
      </c>
      <c r="F62" s="466">
        <v>0</v>
      </c>
      <c r="G62" s="466">
        <v>0</v>
      </c>
      <c r="H62" s="466">
        <v>0</v>
      </c>
      <c r="I62" s="467">
        <v>0</v>
      </c>
      <c r="J62" s="467">
        <v>0</v>
      </c>
      <c r="K62" s="1668">
        <f t="shared" si="7"/>
        <v>0</v>
      </c>
      <c r="L62" s="466">
        <v>0</v>
      </c>
      <c r="M62" s="606"/>
      <c r="N62" s="606"/>
    </row>
    <row r="63" spans="1:14" s="606" customFormat="1" x14ac:dyDescent="0.2">
      <c r="A63" s="1500" t="s">
        <v>100</v>
      </c>
      <c r="B63" s="611">
        <v>2560</v>
      </c>
      <c r="C63" s="466">
        <v>69072</v>
      </c>
      <c r="D63" s="466">
        <v>8483</v>
      </c>
      <c r="E63" s="466">
        <v>646</v>
      </c>
      <c r="F63" s="466">
        <v>89878</v>
      </c>
      <c r="G63" s="466">
        <v>0</v>
      </c>
      <c r="H63" s="466">
        <v>1000</v>
      </c>
      <c r="I63" s="467">
        <v>0</v>
      </c>
      <c r="J63" s="467">
        <v>0</v>
      </c>
      <c r="K63" s="1668">
        <f t="shared" si="7"/>
        <v>169079</v>
      </c>
      <c r="L63" s="466">
        <v>190200</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113438</v>
      </c>
      <c r="D65" s="1666">
        <f t="shared" ref="D65:L65" si="8">SUM(D59:D64)</f>
        <v>17331</v>
      </c>
      <c r="E65" s="1666">
        <f t="shared" si="8"/>
        <v>4345</v>
      </c>
      <c r="F65" s="1666">
        <f t="shared" si="8"/>
        <v>91122</v>
      </c>
      <c r="G65" s="1666">
        <f t="shared" si="8"/>
        <v>0</v>
      </c>
      <c r="H65" s="1666">
        <f t="shared" si="8"/>
        <v>2026</v>
      </c>
      <c r="I65" s="1666">
        <f t="shared" si="8"/>
        <v>0</v>
      </c>
      <c r="J65" s="1666">
        <f t="shared" si="8"/>
        <v>0</v>
      </c>
      <c r="K65" s="1666">
        <f t="shared" si="8"/>
        <v>228262</v>
      </c>
      <c r="L65" s="1666">
        <f t="shared" si="8"/>
        <v>252366</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40375</v>
      </c>
      <c r="D71" s="466">
        <v>6742</v>
      </c>
      <c r="E71" s="466">
        <v>69542</v>
      </c>
      <c r="F71" s="466">
        <v>11496</v>
      </c>
      <c r="G71" s="466">
        <v>44950</v>
      </c>
      <c r="H71" s="466">
        <v>0</v>
      </c>
      <c r="I71" s="467">
        <v>0</v>
      </c>
      <c r="J71" s="467">
        <v>0</v>
      </c>
      <c r="K71" s="1668">
        <f>SUM(C71:J71)</f>
        <v>173105</v>
      </c>
      <c r="L71" s="466">
        <v>242042</v>
      </c>
      <c r="M71" s="606"/>
      <c r="N71" s="606"/>
    </row>
    <row r="72" spans="1:14" s="343" customFormat="1" ht="12.75" customHeight="1" thickBot="1" x14ac:dyDescent="0.25">
      <c r="A72" s="1664" t="s">
        <v>37</v>
      </c>
      <c r="B72" s="1671" t="s">
        <v>36</v>
      </c>
      <c r="C72" s="1666">
        <f>SUM(C67:C71)</f>
        <v>40375</v>
      </c>
      <c r="D72" s="1666">
        <f t="shared" ref="D72:K72" si="9">SUM(D67:D71)</f>
        <v>6742</v>
      </c>
      <c r="E72" s="1666">
        <f t="shared" si="9"/>
        <v>69542</v>
      </c>
      <c r="F72" s="1666">
        <f t="shared" si="9"/>
        <v>11496</v>
      </c>
      <c r="G72" s="1666">
        <f t="shared" si="9"/>
        <v>44950</v>
      </c>
      <c r="H72" s="1666">
        <f t="shared" si="9"/>
        <v>0</v>
      </c>
      <c r="I72" s="1666">
        <f t="shared" si="9"/>
        <v>0</v>
      </c>
      <c r="J72" s="1666">
        <f t="shared" si="9"/>
        <v>0</v>
      </c>
      <c r="K72" s="1666">
        <f t="shared" si="9"/>
        <v>173105</v>
      </c>
      <c r="L72" s="1666">
        <f>SUM(L67:L71)</f>
        <v>242042</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200</v>
      </c>
      <c r="M73" s="606"/>
      <c r="N73" s="606"/>
    </row>
    <row r="74" spans="1:14" ht="12.75" customHeight="1" thickTop="1" thickBot="1" x14ac:dyDescent="0.25">
      <c r="A74" s="1664" t="s">
        <v>811</v>
      </c>
      <c r="B74" s="1672">
        <v>2000</v>
      </c>
      <c r="C74" s="1673">
        <f>SUM(C42,C47,C53,C57,C65,C72,C73)</f>
        <v>976984</v>
      </c>
      <c r="D74" s="1673">
        <f t="shared" ref="D74:K74" si="10">SUM(D42,D47,D53,D57,D65,D72,D73)</f>
        <v>220013</v>
      </c>
      <c r="E74" s="1673">
        <f t="shared" si="10"/>
        <v>149283</v>
      </c>
      <c r="F74" s="1673">
        <f t="shared" si="10"/>
        <v>118296</v>
      </c>
      <c r="G74" s="1673">
        <f t="shared" si="10"/>
        <v>44950</v>
      </c>
      <c r="H74" s="1673">
        <f t="shared" si="10"/>
        <v>8537</v>
      </c>
      <c r="I74" s="1673">
        <f t="shared" si="10"/>
        <v>0</v>
      </c>
      <c r="J74" s="1673">
        <f t="shared" si="10"/>
        <v>0</v>
      </c>
      <c r="K74" s="1673">
        <f t="shared" si="10"/>
        <v>1518063</v>
      </c>
      <c r="L74" s="1673">
        <f>SUM(L42,L47,L53,L57,L65,L72,L73)</f>
        <v>1657432</v>
      </c>
    </row>
    <row r="75" spans="1:14" s="259" customFormat="1" ht="15.75" customHeight="1" thickTop="1" thickBot="1" x14ac:dyDescent="0.25">
      <c r="A75" s="1606" t="s">
        <v>47</v>
      </c>
      <c r="B75" s="1607" t="s">
        <v>575</v>
      </c>
      <c r="C75" s="467">
        <v>2813</v>
      </c>
      <c r="D75" s="467">
        <v>0</v>
      </c>
      <c r="E75" s="467">
        <v>0</v>
      </c>
      <c r="F75" s="467">
        <v>0</v>
      </c>
      <c r="G75" s="467">
        <v>0</v>
      </c>
      <c r="H75" s="467">
        <v>0</v>
      </c>
      <c r="I75" s="467">
        <v>0</v>
      </c>
      <c r="J75" s="467">
        <v>0</v>
      </c>
      <c r="K75" s="1666">
        <f>SUM(C75:J75)</f>
        <v>2813</v>
      </c>
      <c r="L75" s="573">
        <v>1300</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0</v>
      </c>
      <c r="F78" s="613"/>
      <c r="G78" s="613"/>
      <c r="H78" s="631">
        <v>0</v>
      </c>
      <c r="I78" s="475"/>
      <c r="J78" s="475"/>
      <c r="K78" s="1667">
        <f t="shared" ref="K78:K83" si="11">SUM(C78:J78)</f>
        <v>0</v>
      </c>
      <c r="L78" s="479">
        <v>0</v>
      </c>
    </row>
    <row r="79" spans="1:14" x14ac:dyDescent="0.2">
      <c r="A79" s="1500" t="s">
        <v>304</v>
      </c>
      <c r="B79" s="611">
        <v>4120</v>
      </c>
      <c r="C79" s="613"/>
      <c r="D79" s="613"/>
      <c r="E79" s="466">
        <v>136445</v>
      </c>
      <c r="F79" s="613"/>
      <c r="G79" s="613"/>
      <c r="H79" s="466">
        <v>0</v>
      </c>
      <c r="I79" s="475"/>
      <c r="J79" s="475"/>
      <c r="K79" s="1667">
        <f t="shared" si="11"/>
        <v>136445</v>
      </c>
      <c r="L79" s="466">
        <v>143400</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7700</v>
      </c>
      <c r="F81" s="613"/>
      <c r="G81" s="613"/>
      <c r="H81" s="466">
        <v>32636</v>
      </c>
      <c r="I81" s="475"/>
      <c r="J81" s="475"/>
      <c r="K81" s="1667">
        <f t="shared" si="11"/>
        <v>40336</v>
      </c>
      <c r="L81" s="466">
        <v>40340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3064</v>
      </c>
      <c r="I83" s="475"/>
      <c r="J83" s="475"/>
      <c r="K83" s="1667">
        <f t="shared" si="11"/>
        <v>3064</v>
      </c>
      <c r="L83" s="466">
        <v>0</v>
      </c>
    </row>
    <row r="84" spans="1:12" ht="13.5" thickBot="1" x14ac:dyDescent="0.25">
      <c r="A84" s="1664" t="s">
        <v>1485</v>
      </c>
      <c r="B84" s="1674">
        <v>4100</v>
      </c>
      <c r="C84" s="613"/>
      <c r="D84" s="613"/>
      <c r="E84" s="1666">
        <f>SUM(E78:E83)</f>
        <v>144145</v>
      </c>
      <c r="F84" s="613"/>
      <c r="G84" s="613"/>
      <c r="H84" s="1666">
        <f>SUM(H78:H83)</f>
        <v>35700</v>
      </c>
      <c r="I84" s="475"/>
      <c r="J84" s="475"/>
      <c r="K84" s="1666">
        <f>SUM(K78:K83)</f>
        <v>179845</v>
      </c>
      <c r="L84" s="1666">
        <f>SUM(L78:L83)</f>
        <v>183740</v>
      </c>
    </row>
    <row r="85" spans="1:12" ht="12.75" customHeight="1" thickTop="1" thickBot="1" x14ac:dyDescent="0.25">
      <c r="A85" s="1507" t="s">
        <v>255</v>
      </c>
      <c r="B85" s="632">
        <v>4210</v>
      </c>
      <c r="C85" s="613"/>
      <c r="D85" s="613"/>
      <c r="E85" s="633"/>
      <c r="F85" s="613"/>
      <c r="G85" s="613"/>
      <c r="H85" s="532">
        <v>0</v>
      </c>
      <c r="I85" s="475"/>
      <c r="J85" s="475"/>
      <c r="K85" s="1673">
        <f>H85</f>
        <v>0</v>
      </c>
      <c r="L85" s="527">
        <v>0</v>
      </c>
    </row>
    <row r="86" spans="1:12" ht="12.75" customHeight="1" thickTop="1" thickBot="1" x14ac:dyDescent="0.25">
      <c r="A86" s="1508" t="s">
        <v>699</v>
      </c>
      <c r="B86" s="634">
        <v>4220</v>
      </c>
      <c r="C86" s="613"/>
      <c r="D86" s="613"/>
      <c r="E86" s="635"/>
      <c r="F86" s="613"/>
      <c r="G86" s="613"/>
      <c r="H86" s="467">
        <v>30175</v>
      </c>
      <c r="I86" s="475"/>
      <c r="J86" s="475"/>
      <c r="K86" s="1673">
        <f t="shared" ref="K86:K98" si="12">H86</f>
        <v>30175</v>
      </c>
      <c r="L86" s="527">
        <v>35000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55660</v>
      </c>
      <c r="I88" s="475"/>
      <c r="J88" s="475"/>
      <c r="K88" s="1673">
        <f t="shared" si="12"/>
        <v>55660</v>
      </c>
      <c r="L88" s="527">
        <v>55660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85835</v>
      </c>
      <c r="I92" s="475"/>
      <c r="J92" s="475"/>
      <c r="K92" s="1673">
        <f t="shared" si="12"/>
        <v>85835</v>
      </c>
      <c r="L92" s="1666">
        <f>SUM(L85:L91)</f>
        <v>90660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144145</v>
      </c>
      <c r="F102" s="613"/>
      <c r="G102" s="613"/>
      <c r="H102" s="1673">
        <f>SUM(H84,H92,H100,H101)</f>
        <v>121535</v>
      </c>
      <c r="I102" s="475"/>
      <c r="J102" s="475"/>
      <c r="K102" s="1673">
        <f>SUM(K84,K92,K100,K101)</f>
        <v>265680</v>
      </c>
      <c r="L102" s="1673">
        <f>SUM(L84,L92,L100,L101)</f>
        <v>274400</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2984689</v>
      </c>
      <c r="D114" s="1666">
        <f t="shared" ref="D114:K114" si="13">SUM(D33,D74,D75,D102,D112,D113)</f>
        <v>716930</v>
      </c>
      <c r="E114" s="1666">
        <f t="shared" si="13"/>
        <v>383387</v>
      </c>
      <c r="F114" s="1666">
        <f t="shared" si="13"/>
        <v>187142</v>
      </c>
      <c r="G114" s="1666">
        <f t="shared" si="13"/>
        <v>112378</v>
      </c>
      <c r="H114" s="1666">
        <f>SUM(H33,H74,H75,H102,H112,H113)</f>
        <v>237405</v>
      </c>
      <c r="I114" s="1666">
        <f t="shared" si="13"/>
        <v>0</v>
      </c>
      <c r="J114" s="1666">
        <f t="shared" si="13"/>
        <v>0</v>
      </c>
      <c r="K114" s="1666">
        <f t="shared" si="13"/>
        <v>4621931</v>
      </c>
      <c r="L114" s="1666">
        <f>SUM(L33,L74,L75,L102,L112,L113)</f>
        <v>4930798</v>
      </c>
    </row>
    <row r="115" spans="1:14" ht="13.5" thickTop="1" x14ac:dyDescent="0.2">
      <c r="A115" s="2174" t="s">
        <v>996</v>
      </c>
      <c r="B115" s="2175"/>
      <c r="C115" s="615"/>
      <c r="D115" s="615"/>
      <c r="E115" s="615"/>
      <c r="F115" s="615"/>
      <c r="G115" s="615"/>
      <c r="H115" s="615"/>
      <c r="I115" s="615"/>
      <c r="J115" s="615"/>
      <c r="K115" s="1680">
        <f>'Revenues 9-14'!C268-'Expenditures 15-22'!K114</f>
        <v>738523</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296</v>
      </c>
      <c r="B117" s="2180"/>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197053</v>
      </c>
      <c r="D124" s="466">
        <v>56997</v>
      </c>
      <c r="E124" s="466">
        <v>79484</v>
      </c>
      <c r="F124" s="466">
        <v>134423</v>
      </c>
      <c r="G124" s="466">
        <v>85604</v>
      </c>
      <c r="H124" s="466">
        <v>0</v>
      </c>
      <c r="I124" s="467">
        <v>0</v>
      </c>
      <c r="J124" s="467">
        <v>0</v>
      </c>
      <c r="K124" s="1666">
        <f>SUM(C124:J124)</f>
        <v>553561</v>
      </c>
      <c r="L124" s="466">
        <v>601360</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197053</v>
      </c>
      <c r="D127" s="1666">
        <f t="shared" ref="D127:L127" si="14">SUM(D122:D126)</f>
        <v>56997</v>
      </c>
      <c r="E127" s="1666">
        <f t="shared" si="14"/>
        <v>79484</v>
      </c>
      <c r="F127" s="1666">
        <f t="shared" si="14"/>
        <v>134423</v>
      </c>
      <c r="G127" s="1666">
        <f t="shared" si="14"/>
        <v>85604</v>
      </c>
      <c r="H127" s="1666">
        <f t="shared" si="14"/>
        <v>0</v>
      </c>
      <c r="I127" s="1666">
        <f t="shared" si="14"/>
        <v>0</v>
      </c>
      <c r="J127" s="1666">
        <f t="shared" si="14"/>
        <v>0</v>
      </c>
      <c r="K127" s="1666">
        <f t="shared" si="14"/>
        <v>553561</v>
      </c>
      <c r="L127" s="1666">
        <f t="shared" si="14"/>
        <v>601360</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197053</v>
      </c>
      <c r="D129" s="1673">
        <f t="shared" ref="D129:L129" si="15">SUM(D120,D127,D128)</f>
        <v>56997</v>
      </c>
      <c r="E129" s="1673">
        <f t="shared" si="15"/>
        <v>79484</v>
      </c>
      <c r="F129" s="1673">
        <f t="shared" si="15"/>
        <v>134423</v>
      </c>
      <c r="G129" s="1673">
        <f t="shared" si="15"/>
        <v>85604</v>
      </c>
      <c r="H129" s="1673">
        <f t="shared" si="15"/>
        <v>0</v>
      </c>
      <c r="I129" s="1673">
        <f t="shared" si="15"/>
        <v>0</v>
      </c>
      <c r="J129" s="1673">
        <f t="shared" si="15"/>
        <v>0</v>
      </c>
      <c r="K129" s="1673">
        <f t="shared" si="15"/>
        <v>553561</v>
      </c>
      <c r="L129" s="1673">
        <f t="shared" si="15"/>
        <v>601360</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191" t="s">
        <v>620</v>
      </c>
      <c r="B151" s="2171"/>
      <c r="C151" s="1666">
        <f>SUM(C129,C130,C139,C149,C150)</f>
        <v>197053</v>
      </c>
      <c r="D151" s="1666">
        <f t="shared" ref="D151:K151" si="16">SUM(D129,D130,D139,D149,D150)</f>
        <v>56997</v>
      </c>
      <c r="E151" s="1666">
        <f t="shared" si="16"/>
        <v>79484</v>
      </c>
      <c r="F151" s="1666">
        <f t="shared" si="16"/>
        <v>134423</v>
      </c>
      <c r="G151" s="1666">
        <f t="shared" si="16"/>
        <v>85604</v>
      </c>
      <c r="H151" s="1666">
        <f t="shared" si="16"/>
        <v>0</v>
      </c>
      <c r="I151" s="1666">
        <f t="shared" si="16"/>
        <v>0</v>
      </c>
      <c r="J151" s="1666">
        <f t="shared" si="16"/>
        <v>0</v>
      </c>
      <c r="K151" s="1666">
        <f t="shared" si="16"/>
        <v>553561</v>
      </c>
      <c r="L151" s="1666">
        <f>SUM(L129,L130,L139,L149,L150)</f>
        <v>601360</v>
      </c>
    </row>
    <row r="152" spans="1:14" ht="12.75" customHeight="1" thickTop="1" x14ac:dyDescent="0.2">
      <c r="A152" s="2194" t="s">
        <v>1178</v>
      </c>
      <c r="B152" s="2195"/>
      <c r="C152" s="615"/>
      <c r="D152" s="615"/>
      <c r="E152" s="615"/>
      <c r="F152" s="615"/>
      <c r="G152" s="615"/>
      <c r="H152" s="615"/>
      <c r="I152" s="615"/>
      <c r="J152" s="613"/>
      <c r="K152" s="1680">
        <f>'Revenues 9-14'!D268-'Expenditures 15-22'!K151</f>
        <v>6973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621</v>
      </c>
      <c r="B154" s="2181"/>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288034</v>
      </c>
      <c r="I169" s="613"/>
      <c r="J169" s="613"/>
      <c r="K169" s="1667">
        <f>SUM(C169:H169)</f>
        <v>288034</v>
      </c>
      <c r="L169" s="653">
        <v>288044</v>
      </c>
    </row>
    <row r="170" spans="1:14" ht="33.75" customHeight="1" x14ac:dyDescent="0.2">
      <c r="A170" s="666" t="s">
        <v>1670</v>
      </c>
      <c r="B170" s="668" t="s">
        <v>31</v>
      </c>
      <c r="C170" s="613"/>
      <c r="D170" s="613"/>
      <c r="E170" s="613"/>
      <c r="F170" s="613"/>
      <c r="G170" s="613"/>
      <c r="H170" s="566">
        <v>355000</v>
      </c>
      <c r="I170" s="613"/>
      <c r="J170" s="613"/>
      <c r="K170" s="1667">
        <f>SUM(C170:J170)</f>
        <v>355000</v>
      </c>
      <c r="L170" s="566">
        <v>350000</v>
      </c>
    </row>
    <row r="171" spans="1:14" ht="15.75" customHeight="1" x14ac:dyDescent="0.2">
      <c r="A171" s="618" t="s">
        <v>766</v>
      </c>
      <c r="B171" s="669" t="s">
        <v>84</v>
      </c>
      <c r="C171" s="613"/>
      <c r="D171" s="613"/>
      <c r="E171" s="466">
        <v>800</v>
      </c>
      <c r="F171" s="613"/>
      <c r="G171" s="613"/>
      <c r="H171" s="566">
        <v>0</v>
      </c>
      <c r="I171" s="475"/>
      <c r="J171" s="613"/>
      <c r="K171" s="1667">
        <f>SUM(C171:J171)</f>
        <v>800</v>
      </c>
      <c r="L171" s="566">
        <v>850</v>
      </c>
    </row>
    <row r="172" spans="1:14" ht="12.75" customHeight="1" thickBot="1" x14ac:dyDescent="0.25">
      <c r="A172" s="1664" t="s">
        <v>638</v>
      </c>
      <c r="B172" s="1665" t="s">
        <v>492</v>
      </c>
      <c r="C172" s="613"/>
      <c r="D172" s="613"/>
      <c r="E172" s="1673">
        <f>SUM(E168,E169,E170,E171)</f>
        <v>800</v>
      </c>
      <c r="F172" s="613"/>
      <c r="G172" s="613"/>
      <c r="H172" s="1673">
        <f>SUM(H168,H169,H170,H171)</f>
        <v>643034</v>
      </c>
      <c r="I172" s="635"/>
      <c r="J172" s="613"/>
      <c r="K172" s="1673">
        <f>SUM(K168,K169,K170,K171)</f>
        <v>643834</v>
      </c>
      <c r="L172" s="1673">
        <f>SUM(L168,L169,L170,L171)</f>
        <v>638894</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800</v>
      </c>
      <c r="F174" s="613"/>
      <c r="G174" s="613"/>
      <c r="H174" s="1673">
        <f>SUM(H160,H172,H173)</f>
        <v>643034</v>
      </c>
      <c r="I174" s="635"/>
      <c r="J174" s="613"/>
      <c r="K174" s="1673">
        <f>SUM(K160,K172,K173)</f>
        <v>643834</v>
      </c>
      <c r="L174" s="1673">
        <f>SUM(L160,L172,L173)</f>
        <v>638894</v>
      </c>
    </row>
    <row r="175" spans="1:14" ht="13.5" thickTop="1" x14ac:dyDescent="0.2">
      <c r="A175" s="2174" t="s">
        <v>996</v>
      </c>
      <c r="B175" s="2175"/>
      <c r="C175" s="613"/>
      <c r="D175" s="613"/>
      <c r="E175" s="613"/>
      <c r="F175" s="613"/>
      <c r="G175" s="613"/>
      <c r="H175" s="615"/>
      <c r="I175" s="613"/>
      <c r="J175" s="613"/>
      <c r="K175" s="1680">
        <f>'Revenues 9-14'!E268-'Expenditures 15-22'!K174</f>
        <v>24746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176086</v>
      </c>
      <c r="D182" s="466">
        <v>23683</v>
      </c>
      <c r="E182" s="466">
        <v>54849</v>
      </c>
      <c r="F182" s="466">
        <v>40659</v>
      </c>
      <c r="G182" s="466">
        <v>38798</v>
      </c>
      <c r="H182" s="466">
        <v>3029</v>
      </c>
      <c r="I182" s="467">
        <v>0</v>
      </c>
      <c r="J182" s="467">
        <v>0</v>
      </c>
      <c r="K182" s="1667">
        <f>SUM(C182:J182)</f>
        <v>337104</v>
      </c>
      <c r="L182" s="466">
        <v>367923</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176086</v>
      </c>
      <c r="D184" s="1673">
        <f t="shared" ref="D184:J184" si="17">SUM(D180,D182,D183)</f>
        <v>23683</v>
      </c>
      <c r="E184" s="1673">
        <f t="shared" si="17"/>
        <v>54849</v>
      </c>
      <c r="F184" s="1673">
        <f t="shared" si="17"/>
        <v>40659</v>
      </c>
      <c r="G184" s="1673">
        <f t="shared" si="17"/>
        <v>38798</v>
      </c>
      <c r="H184" s="1673">
        <f t="shared" si="17"/>
        <v>3029</v>
      </c>
      <c r="I184" s="1673">
        <f t="shared" si="17"/>
        <v>0</v>
      </c>
      <c r="J184" s="1673">
        <f t="shared" si="17"/>
        <v>0</v>
      </c>
      <c r="K184" s="1673">
        <f>SUM(K180,K182,K183)</f>
        <v>337104</v>
      </c>
      <c r="L184" s="1673">
        <f>SUM(L180, L182:L183)</f>
        <v>367923</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0</v>
      </c>
      <c r="I208" s="613"/>
      <c r="J208" s="613"/>
      <c r="K208" s="1673">
        <f>SUM(K204,K205,K206,K207)</f>
        <v>0</v>
      </c>
      <c r="L208" s="1673">
        <f>SUM(L204,L205,L206,L207)</f>
        <v>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176086</v>
      </c>
      <c r="D210" s="1666">
        <f>SUM(D184,D185)</f>
        <v>23683</v>
      </c>
      <c r="E210" s="1666">
        <f>SUM(E184,E185,E196)</f>
        <v>54849</v>
      </c>
      <c r="F210" s="1666">
        <f>SUM(F184,F185)</f>
        <v>40659</v>
      </c>
      <c r="G210" s="1666">
        <f>SUM(G184,G185)</f>
        <v>38798</v>
      </c>
      <c r="H210" s="1666">
        <f>SUM(H184,H185,H196,H208,H209)</f>
        <v>3029</v>
      </c>
      <c r="I210" s="1666">
        <f>SUM(I184,I185)</f>
        <v>0</v>
      </c>
      <c r="J210" s="1666">
        <f>SUM(J184,J185)</f>
        <v>0</v>
      </c>
      <c r="K210" s="1667">
        <f>SUM(K184,K185,K196,K208,K209)</f>
        <v>337104</v>
      </c>
      <c r="L210" s="1666">
        <f>SUM(L184,L185,L196,L208,L209)</f>
        <v>367923</v>
      </c>
    </row>
    <row r="211" spans="1:14" ht="13.5" thickTop="1" x14ac:dyDescent="0.2">
      <c r="A211" s="2174" t="s">
        <v>996</v>
      </c>
      <c r="B211" s="2175"/>
      <c r="C211" s="615"/>
      <c r="D211" s="615"/>
      <c r="E211" s="615"/>
      <c r="F211" s="615"/>
      <c r="G211" s="615"/>
      <c r="H211" s="615"/>
      <c r="I211" s="613"/>
      <c r="J211" s="613"/>
      <c r="K211" s="1680">
        <f>'Revenues 9-14'!F268-'Expenditures 15-22'!K210</f>
        <v>-16268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965</v>
      </c>
      <c r="B213" s="2197"/>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20300</v>
      </c>
      <c r="E215" s="613"/>
      <c r="F215" s="613"/>
      <c r="G215" s="613"/>
      <c r="H215" s="613"/>
      <c r="I215" s="613"/>
      <c r="J215" s="613"/>
      <c r="K215" s="1667">
        <f>D215</f>
        <v>20300</v>
      </c>
      <c r="L215" s="466">
        <v>25211</v>
      </c>
    </row>
    <row r="216" spans="1:14" x14ac:dyDescent="0.2">
      <c r="A216" s="1500" t="s">
        <v>163</v>
      </c>
      <c r="B216" s="611" t="s">
        <v>967</v>
      </c>
      <c r="C216" s="613"/>
      <c r="D216" s="467">
        <v>2282</v>
      </c>
      <c r="E216" s="613"/>
      <c r="F216" s="613"/>
      <c r="G216" s="613"/>
      <c r="H216" s="613"/>
      <c r="I216" s="613"/>
      <c r="J216" s="613"/>
      <c r="K216" s="1667">
        <f t="shared" ref="K216:K228" si="19">D216</f>
        <v>2282</v>
      </c>
      <c r="L216" s="466">
        <v>1707</v>
      </c>
    </row>
    <row r="217" spans="1:14" x14ac:dyDescent="0.2">
      <c r="A217" s="1500" t="s">
        <v>164</v>
      </c>
      <c r="B217" s="611">
        <v>1200</v>
      </c>
      <c r="C217" s="613"/>
      <c r="D217" s="466">
        <v>18441</v>
      </c>
      <c r="E217" s="613"/>
      <c r="F217" s="613"/>
      <c r="G217" s="613"/>
      <c r="H217" s="613"/>
      <c r="I217" s="613"/>
      <c r="J217" s="613"/>
      <c r="K217" s="1667">
        <f t="shared" si="19"/>
        <v>18441</v>
      </c>
      <c r="L217" s="466">
        <v>24092</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3485</v>
      </c>
      <c r="E219" s="613"/>
      <c r="F219" s="613"/>
      <c r="G219" s="613"/>
      <c r="H219" s="613"/>
      <c r="I219" s="613"/>
      <c r="J219" s="613"/>
      <c r="K219" s="1667">
        <f t="shared" si="19"/>
        <v>3485</v>
      </c>
      <c r="L219" s="466">
        <v>3363</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584</v>
      </c>
      <c r="E222" s="613"/>
      <c r="F222" s="613"/>
      <c r="G222" s="613"/>
      <c r="H222" s="613"/>
      <c r="I222" s="613"/>
      <c r="J222" s="613"/>
      <c r="K222" s="1667">
        <f t="shared" si="19"/>
        <v>584</v>
      </c>
      <c r="L222" s="466">
        <v>639</v>
      </c>
    </row>
    <row r="223" spans="1:14" x14ac:dyDescent="0.2">
      <c r="A223" s="1500" t="s">
        <v>963</v>
      </c>
      <c r="B223" s="611">
        <v>1500</v>
      </c>
      <c r="C223" s="613"/>
      <c r="D223" s="466">
        <v>11263</v>
      </c>
      <c r="E223" s="613"/>
      <c r="F223" s="613"/>
      <c r="G223" s="613"/>
      <c r="H223" s="613"/>
      <c r="I223" s="613"/>
      <c r="J223" s="613"/>
      <c r="K223" s="1667">
        <f t="shared" si="19"/>
        <v>11263</v>
      </c>
      <c r="L223" s="466">
        <v>10474</v>
      </c>
    </row>
    <row r="224" spans="1:14" x14ac:dyDescent="0.2">
      <c r="A224" s="1500" t="s">
        <v>964</v>
      </c>
      <c r="B224" s="611">
        <v>1600</v>
      </c>
      <c r="C224" s="613"/>
      <c r="D224" s="466">
        <v>41</v>
      </c>
      <c r="E224" s="613"/>
      <c r="F224" s="613"/>
      <c r="G224" s="613"/>
      <c r="H224" s="613"/>
      <c r="I224" s="613"/>
      <c r="J224" s="613"/>
      <c r="K224" s="1667">
        <f t="shared" si="19"/>
        <v>41</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75</v>
      </c>
      <c r="E226" s="613"/>
      <c r="F226" s="613"/>
      <c r="G226" s="613"/>
      <c r="H226" s="613"/>
      <c r="I226" s="613"/>
      <c r="J226" s="613"/>
      <c r="K226" s="1667">
        <f t="shared" si="19"/>
        <v>75</v>
      </c>
      <c r="L226" s="466">
        <v>56</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56471</v>
      </c>
      <c r="E229" s="613"/>
      <c r="F229" s="613"/>
      <c r="G229" s="613"/>
      <c r="H229" s="613"/>
      <c r="I229" s="613"/>
      <c r="J229" s="613"/>
      <c r="K229" s="1666">
        <f>SUM(K215:K228)</f>
        <v>56471</v>
      </c>
      <c r="L229" s="1666">
        <f>SUM(L215:L228)</f>
        <v>65542</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474</v>
      </c>
      <c r="E232" s="613"/>
      <c r="F232" s="613"/>
      <c r="G232" s="613"/>
      <c r="H232" s="613"/>
      <c r="I232" s="613"/>
      <c r="J232" s="613"/>
      <c r="K232" s="1667">
        <f t="shared" ref="K232:K237" si="20">D232</f>
        <v>474</v>
      </c>
      <c r="L232" s="466">
        <v>624</v>
      </c>
    </row>
    <row r="233" spans="1:12" x14ac:dyDescent="0.2">
      <c r="A233" s="1500" t="s">
        <v>1090</v>
      </c>
      <c r="B233" s="611">
        <v>2120</v>
      </c>
      <c r="C233" s="613"/>
      <c r="D233" s="466">
        <v>1065</v>
      </c>
      <c r="E233" s="613"/>
      <c r="F233" s="613"/>
      <c r="G233" s="613"/>
      <c r="H233" s="613"/>
      <c r="I233" s="613"/>
      <c r="J233" s="613"/>
      <c r="K233" s="1667">
        <f t="shared" si="20"/>
        <v>1065</v>
      </c>
      <c r="L233" s="466">
        <v>1171</v>
      </c>
    </row>
    <row r="234" spans="1:12" x14ac:dyDescent="0.2">
      <c r="A234" s="1500" t="s">
        <v>198</v>
      </c>
      <c r="B234" s="611">
        <v>2130</v>
      </c>
      <c r="C234" s="613"/>
      <c r="D234" s="466">
        <v>6612</v>
      </c>
      <c r="E234" s="613"/>
      <c r="F234" s="613"/>
      <c r="G234" s="613"/>
      <c r="H234" s="613"/>
      <c r="I234" s="613"/>
      <c r="J234" s="613"/>
      <c r="K234" s="1667">
        <f t="shared" si="20"/>
        <v>6612</v>
      </c>
      <c r="L234" s="466">
        <v>2933</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702</v>
      </c>
      <c r="E236" s="613"/>
      <c r="F236" s="613"/>
      <c r="G236" s="613"/>
      <c r="H236" s="613"/>
      <c r="I236" s="613"/>
      <c r="J236" s="613"/>
      <c r="K236" s="1667">
        <f t="shared" si="20"/>
        <v>702</v>
      </c>
      <c r="L236" s="466">
        <v>1123</v>
      </c>
    </row>
    <row r="237" spans="1:12" x14ac:dyDescent="0.2">
      <c r="A237" s="1500" t="s">
        <v>165</v>
      </c>
      <c r="B237" s="611">
        <v>2190</v>
      </c>
      <c r="C237" s="613"/>
      <c r="D237" s="466">
        <v>0</v>
      </c>
      <c r="E237" s="613"/>
      <c r="F237" s="613"/>
      <c r="G237" s="613"/>
      <c r="H237" s="613"/>
      <c r="I237" s="613"/>
      <c r="J237" s="613"/>
      <c r="K237" s="1667">
        <f t="shared" si="20"/>
        <v>0</v>
      </c>
      <c r="L237" s="466">
        <v>0</v>
      </c>
    </row>
    <row r="238" spans="1:12" ht="12.75" customHeight="1" thickBot="1" x14ac:dyDescent="0.25">
      <c r="A238" s="1664" t="s">
        <v>560</v>
      </c>
      <c r="B238" s="1671" t="s">
        <v>716</v>
      </c>
      <c r="C238" s="613"/>
      <c r="D238" s="1666">
        <f>SUM(D232:D237)</f>
        <v>8853</v>
      </c>
      <c r="E238" s="613"/>
      <c r="F238" s="613"/>
      <c r="G238" s="613"/>
      <c r="H238" s="613"/>
      <c r="I238" s="613"/>
      <c r="J238" s="613"/>
      <c r="K238" s="1666">
        <f>SUM(K232:K237)</f>
        <v>8853</v>
      </c>
      <c r="L238" s="1666">
        <f>SUM(L232:L237)</f>
        <v>5851</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52</v>
      </c>
      <c r="E240" s="613"/>
      <c r="F240" s="613"/>
      <c r="G240" s="613"/>
      <c r="H240" s="613"/>
      <c r="I240" s="613"/>
      <c r="J240" s="613"/>
      <c r="K240" s="1668">
        <f>D240</f>
        <v>52</v>
      </c>
      <c r="L240" s="479">
        <v>0</v>
      </c>
    </row>
    <row r="241" spans="1:12" x14ac:dyDescent="0.2">
      <c r="A241" s="1500" t="s">
        <v>815</v>
      </c>
      <c r="B241" s="611">
        <v>2220</v>
      </c>
      <c r="C241" s="613"/>
      <c r="D241" s="466">
        <v>5868</v>
      </c>
      <c r="E241" s="613"/>
      <c r="F241" s="613"/>
      <c r="G241" s="613"/>
      <c r="H241" s="613"/>
      <c r="I241" s="613"/>
      <c r="J241" s="613"/>
      <c r="K241" s="1668">
        <f>D241</f>
        <v>5868</v>
      </c>
      <c r="L241" s="466">
        <v>5860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5920</v>
      </c>
      <c r="E243" s="613"/>
      <c r="F243" s="613"/>
      <c r="G243" s="613"/>
      <c r="H243" s="613"/>
      <c r="I243" s="613"/>
      <c r="J243" s="613"/>
      <c r="K243" s="1666">
        <f>SUM(K240:K242)</f>
        <v>5920</v>
      </c>
      <c r="L243" s="1666">
        <f>SUM(L240:L242)</f>
        <v>5860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0</v>
      </c>
      <c r="E245" s="613"/>
      <c r="F245" s="613"/>
      <c r="G245" s="613"/>
      <c r="H245" s="613"/>
      <c r="I245" s="613"/>
      <c r="J245" s="613"/>
      <c r="K245" s="1668">
        <f>D245</f>
        <v>0</v>
      </c>
      <c r="L245" s="479">
        <v>0</v>
      </c>
    </row>
    <row r="246" spans="1:12" x14ac:dyDescent="0.2">
      <c r="A246" s="1500" t="s">
        <v>818</v>
      </c>
      <c r="B246" s="611">
        <v>2320</v>
      </c>
      <c r="C246" s="613"/>
      <c r="D246" s="466">
        <v>10709</v>
      </c>
      <c r="E246" s="613"/>
      <c r="F246" s="613"/>
      <c r="G246" s="613"/>
      <c r="H246" s="613"/>
      <c r="I246" s="613"/>
      <c r="J246" s="613"/>
      <c r="K246" s="1668">
        <f t="shared" ref="K246:K256" si="21">D246</f>
        <v>10709</v>
      </c>
      <c r="L246" s="466">
        <v>9402</v>
      </c>
    </row>
    <row r="247" spans="1:12" x14ac:dyDescent="0.2">
      <c r="A247" s="1500" t="s">
        <v>819</v>
      </c>
      <c r="B247" s="611">
        <v>2330</v>
      </c>
      <c r="C247" s="613"/>
      <c r="D247" s="466">
        <v>2607</v>
      </c>
      <c r="E247" s="613"/>
      <c r="F247" s="613"/>
      <c r="G247" s="613"/>
      <c r="H247" s="613"/>
      <c r="I247" s="613"/>
      <c r="J247" s="613"/>
      <c r="K247" s="1668">
        <f t="shared" si="21"/>
        <v>2607</v>
      </c>
      <c r="L247" s="466">
        <v>2606</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2991</v>
      </c>
      <c r="E254" s="613"/>
      <c r="F254" s="613"/>
      <c r="G254" s="613"/>
      <c r="H254" s="613"/>
      <c r="I254" s="613"/>
      <c r="J254" s="613"/>
      <c r="K254" s="1668">
        <f t="shared" si="21"/>
        <v>2991</v>
      </c>
      <c r="L254" s="466">
        <v>3278</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16307</v>
      </c>
      <c r="E257" s="613"/>
      <c r="F257" s="613"/>
      <c r="G257" s="613"/>
      <c r="H257" s="613"/>
      <c r="I257" s="613"/>
      <c r="J257" s="613"/>
      <c r="K257" s="1666">
        <f>SUM(K245:K256)</f>
        <v>16307</v>
      </c>
      <c r="L257" s="1666">
        <f>SUM(L245:L256)</f>
        <v>15286</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10223</v>
      </c>
      <c r="E259" s="613"/>
      <c r="F259" s="613"/>
      <c r="G259" s="613"/>
      <c r="H259" s="613"/>
      <c r="I259" s="613"/>
      <c r="J259" s="613"/>
      <c r="K259" s="1668">
        <f>D259</f>
        <v>10223</v>
      </c>
      <c r="L259" s="479">
        <v>9754</v>
      </c>
    </row>
    <row r="260" spans="1:14" s="594" customFormat="1" x14ac:dyDescent="0.2">
      <c r="A260" s="1518" t="s">
        <v>1804</v>
      </c>
      <c r="B260" s="625">
        <v>2490</v>
      </c>
      <c r="C260" s="613"/>
      <c r="D260" s="466">
        <v>471</v>
      </c>
      <c r="E260" s="613"/>
      <c r="F260" s="613"/>
      <c r="G260" s="613"/>
      <c r="H260" s="613"/>
      <c r="I260" s="613"/>
      <c r="J260" s="613"/>
      <c r="K260" s="1668">
        <f>D260</f>
        <v>471</v>
      </c>
      <c r="L260" s="466">
        <v>518</v>
      </c>
      <c r="M260" s="210"/>
      <c r="N260" s="210"/>
    </row>
    <row r="261" spans="1:14" ht="12.75" customHeight="1" thickBot="1" x14ac:dyDescent="0.25">
      <c r="A261" s="1688" t="s">
        <v>263</v>
      </c>
      <c r="B261" s="1693" t="s">
        <v>34</v>
      </c>
      <c r="C261" s="613"/>
      <c r="D261" s="1666">
        <f>SUM(D259:D260)</f>
        <v>10694</v>
      </c>
      <c r="E261" s="613"/>
      <c r="F261" s="613"/>
      <c r="G261" s="613"/>
      <c r="H261" s="613"/>
      <c r="I261" s="613"/>
      <c r="J261" s="613"/>
      <c r="K261" s="1666">
        <f>SUM(K259:K260)</f>
        <v>10694</v>
      </c>
      <c r="L261" s="1666">
        <f>SUM(L259:L260)</f>
        <v>10272</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7523</v>
      </c>
      <c r="E264" s="613"/>
      <c r="F264" s="613"/>
      <c r="G264" s="613"/>
      <c r="H264" s="613"/>
      <c r="I264" s="613"/>
      <c r="J264" s="613"/>
      <c r="K264" s="1668">
        <f t="shared" ref="K264:K269" si="22">D264</f>
        <v>7523</v>
      </c>
      <c r="L264" s="466">
        <v>7059</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32718</v>
      </c>
      <c r="E266" s="613"/>
      <c r="F266" s="613"/>
      <c r="G266" s="613"/>
      <c r="H266" s="613"/>
      <c r="I266" s="613"/>
      <c r="J266" s="613"/>
      <c r="K266" s="1668">
        <f t="shared" si="22"/>
        <v>32718</v>
      </c>
      <c r="L266" s="466">
        <v>33200</v>
      </c>
    </row>
    <row r="267" spans="1:14" x14ac:dyDescent="0.2">
      <c r="A267" s="1500" t="s">
        <v>953</v>
      </c>
      <c r="B267" s="611">
        <v>2550</v>
      </c>
      <c r="C267" s="613"/>
      <c r="D267" s="466">
        <v>27713</v>
      </c>
      <c r="E267" s="613"/>
      <c r="F267" s="613"/>
      <c r="G267" s="613"/>
      <c r="H267" s="613"/>
      <c r="I267" s="613"/>
      <c r="J267" s="613"/>
      <c r="K267" s="1668">
        <f t="shared" si="22"/>
        <v>27713</v>
      </c>
      <c r="L267" s="466">
        <v>30576</v>
      </c>
    </row>
    <row r="268" spans="1:14" x14ac:dyDescent="0.2">
      <c r="A268" s="1500" t="s">
        <v>100</v>
      </c>
      <c r="B268" s="611">
        <v>2560</v>
      </c>
      <c r="C268" s="613"/>
      <c r="D268" s="466">
        <v>11687</v>
      </c>
      <c r="E268" s="613"/>
      <c r="F268" s="613"/>
      <c r="G268" s="613"/>
      <c r="H268" s="613"/>
      <c r="I268" s="613"/>
      <c r="J268" s="613"/>
      <c r="K268" s="1668">
        <f t="shared" si="22"/>
        <v>11687</v>
      </c>
      <c r="L268" s="466">
        <v>11135</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79641</v>
      </c>
      <c r="E270" s="613"/>
      <c r="F270" s="613"/>
      <c r="G270" s="613"/>
      <c r="H270" s="613"/>
      <c r="I270" s="613"/>
      <c r="J270" s="613"/>
      <c r="K270" s="1666">
        <f>SUM(K263:K269)</f>
        <v>79641</v>
      </c>
      <c r="L270" s="1666">
        <f>SUM(L263:L269)</f>
        <v>81970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6813</v>
      </c>
      <c r="E276" s="613"/>
      <c r="F276" s="613"/>
      <c r="G276" s="613"/>
      <c r="H276" s="613"/>
      <c r="I276" s="613"/>
      <c r="J276" s="613"/>
      <c r="K276" s="1668">
        <f>D276</f>
        <v>6813</v>
      </c>
      <c r="L276" s="466">
        <v>7373</v>
      </c>
    </row>
    <row r="277" spans="1:12" ht="12.75" customHeight="1" thickBot="1" x14ac:dyDescent="0.25">
      <c r="A277" s="1687" t="s">
        <v>37</v>
      </c>
      <c r="B277" s="1665" t="s">
        <v>36</v>
      </c>
      <c r="C277" s="613"/>
      <c r="D277" s="1666">
        <f>SUM(D272:D276)</f>
        <v>6813</v>
      </c>
      <c r="E277" s="613"/>
      <c r="F277" s="613"/>
      <c r="G277" s="613"/>
      <c r="H277" s="613"/>
      <c r="I277" s="613"/>
      <c r="J277" s="613"/>
      <c r="K277" s="1666">
        <f>SUM(K272:K276)</f>
        <v>6813</v>
      </c>
      <c r="L277" s="1666">
        <f>SUM(L272:L276)</f>
        <v>7373</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128228</v>
      </c>
      <c r="E279" s="613"/>
      <c r="F279" s="613"/>
      <c r="G279" s="613"/>
      <c r="H279" s="613"/>
      <c r="I279" s="613"/>
      <c r="J279" s="613"/>
      <c r="K279" s="1673">
        <f>SUM(K238,K243,K257,K261,K270,K277,K278)</f>
        <v>128228</v>
      </c>
      <c r="L279" s="1673">
        <f>SUM(L238,L243,L257,L261,L270,L277,L278)</f>
        <v>126612</v>
      </c>
    </row>
    <row r="280" spans="1:12" ht="15.75" customHeight="1" thickTop="1" thickBot="1" x14ac:dyDescent="0.25">
      <c r="A280" s="1620" t="s">
        <v>875</v>
      </c>
      <c r="B280" s="1609">
        <v>3000</v>
      </c>
      <c r="C280" s="613"/>
      <c r="D280" s="573">
        <v>443</v>
      </c>
      <c r="E280" s="613"/>
      <c r="F280" s="613"/>
      <c r="G280" s="613"/>
      <c r="H280" s="613"/>
      <c r="I280" s="613"/>
      <c r="J280" s="613"/>
      <c r="K280" s="1675">
        <f>D280</f>
        <v>443</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92" t="s">
        <v>505</v>
      </c>
      <c r="B295" s="2193"/>
      <c r="C295" s="613"/>
      <c r="D295" s="1666">
        <f>SUM(D229,D279,D280,D285)</f>
        <v>185142</v>
      </c>
      <c r="E295" s="613"/>
      <c r="F295" s="613"/>
      <c r="G295" s="613"/>
      <c r="H295" s="1666">
        <f>H293</f>
        <v>0</v>
      </c>
      <c r="I295" s="613"/>
      <c r="J295" s="613"/>
      <c r="K295" s="1666">
        <f>SUM(K229,K279,K280,K285,K293,K294)</f>
        <v>185142</v>
      </c>
      <c r="L295" s="1666">
        <f>SUM(L229,L279,L280,L285,L293,L294)</f>
        <v>192154</v>
      </c>
    </row>
    <row r="296" spans="1:14" ht="13.5" thickTop="1" x14ac:dyDescent="0.2">
      <c r="A296" s="2174" t="s">
        <v>996</v>
      </c>
      <c r="B296" s="2175"/>
      <c r="C296" s="613"/>
      <c r="D296" s="615"/>
      <c r="E296" s="613"/>
      <c r="F296" s="613"/>
      <c r="G296" s="613"/>
      <c r="H296" s="684"/>
      <c r="I296" s="613"/>
      <c r="J296" s="613"/>
      <c r="K296" s="1680">
        <f>'Revenues 9-14'!G268-'Expenditures 15-22'!K295</f>
        <v>11032</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0</v>
      </c>
      <c r="F301" s="466">
        <v>0</v>
      </c>
      <c r="G301" s="466">
        <v>161753</v>
      </c>
      <c r="H301" s="466">
        <v>0</v>
      </c>
      <c r="I301" s="467">
        <v>0</v>
      </c>
      <c r="J301" s="467">
        <v>0</v>
      </c>
      <c r="K301" s="1667">
        <f>SUM(C301:J301)</f>
        <v>161753</v>
      </c>
      <c r="L301" s="467">
        <v>117000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161753</v>
      </c>
      <c r="H303" s="1673">
        <f t="shared" si="23"/>
        <v>0</v>
      </c>
      <c r="I303" s="1673">
        <f t="shared" si="23"/>
        <v>0</v>
      </c>
      <c r="J303" s="1673">
        <f t="shared" si="23"/>
        <v>0</v>
      </c>
      <c r="K303" s="1673">
        <f t="shared" si="23"/>
        <v>161753</v>
      </c>
      <c r="L303" s="1673">
        <f t="shared" si="23"/>
        <v>117000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89" t="s">
        <v>277</v>
      </c>
      <c r="B312" s="2190"/>
      <c r="C312" s="1666">
        <f>SUM(C303)</f>
        <v>0</v>
      </c>
      <c r="D312" s="1666">
        <f>SUM(D303)</f>
        <v>0</v>
      </c>
      <c r="E312" s="1666">
        <f>SUM(E303,E310)</f>
        <v>0</v>
      </c>
      <c r="F312" s="1666">
        <f>SUM(F303)</f>
        <v>0</v>
      </c>
      <c r="G312" s="1666">
        <f>SUM(G303)</f>
        <v>161753</v>
      </c>
      <c r="H312" s="1666">
        <f>SUM(H303,H310)</f>
        <v>0</v>
      </c>
      <c r="I312" s="1666">
        <f>SUM(I303)</f>
        <v>0</v>
      </c>
      <c r="J312" s="1666">
        <f>SUM(J303)</f>
        <v>0</v>
      </c>
      <c r="K312" s="1666">
        <f>SUM(K303,K310,K311)</f>
        <v>161753</v>
      </c>
      <c r="L312" s="1666">
        <f>SUM(L303,L310,L311)</f>
        <v>117000</v>
      </c>
      <c r="M312" s="662"/>
      <c r="N312" s="662"/>
    </row>
    <row r="313" spans="1:14" ht="13.5" thickTop="1" x14ac:dyDescent="0.2">
      <c r="A313" s="2185" t="s">
        <v>996</v>
      </c>
      <c r="B313" s="2186"/>
      <c r="C313" s="623"/>
      <c r="D313" s="623"/>
      <c r="E313" s="623"/>
      <c r="F313" s="623"/>
      <c r="G313" s="623"/>
      <c r="H313" s="623"/>
      <c r="I313" s="623"/>
      <c r="J313" s="623"/>
      <c r="K313" s="1681">
        <f>'Revenues 9-14'!H268-'Expenditures 15-22'!K312</f>
        <v>-46849</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898</v>
      </c>
      <c r="B317" s="2199"/>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26730</v>
      </c>
      <c r="F320" s="467">
        <v>0</v>
      </c>
      <c r="G320" s="467">
        <v>0</v>
      </c>
      <c r="H320" s="467">
        <v>0</v>
      </c>
      <c r="I320" s="467">
        <v>0</v>
      </c>
      <c r="J320" s="467">
        <v>0</v>
      </c>
      <c r="K320" s="1667">
        <f t="shared" ref="K320:K327" si="24">SUM(C320:J320)</f>
        <v>26730</v>
      </c>
      <c r="L320" s="467">
        <v>26000</v>
      </c>
      <c r="M320" s="662"/>
      <c r="N320" s="662"/>
    </row>
    <row r="321" spans="1:14" s="671" customFormat="1" x14ac:dyDescent="0.2">
      <c r="A321" s="1515" t="s">
        <v>300</v>
      </c>
      <c r="B321" s="694" t="s">
        <v>283</v>
      </c>
      <c r="C321" s="467">
        <v>0</v>
      </c>
      <c r="D321" s="467">
        <v>0</v>
      </c>
      <c r="E321" s="467">
        <v>0</v>
      </c>
      <c r="F321" s="467">
        <v>0</v>
      </c>
      <c r="G321" s="467">
        <v>0</v>
      </c>
      <c r="H321" s="467">
        <v>0</v>
      </c>
      <c r="I321" s="467">
        <v>0</v>
      </c>
      <c r="J321" s="467">
        <v>0</v>
      </c>
      <c r="K321" s="1667">
        <f t="shared" si="24"/>
        <v>0</v>
      </c>
      <c r="L321" s="467">
        <v>2000</v>
      </c>
      <c r="M321" s="662"/>
      <c r="N321" s="662"/>
    </row>
    <row r="322" spans="1:14" s="671" customFormat="1" x14ac:dyDescent="0.2">
      <c r="A322" s="1515" t="s">
        <v>238</v>
      </c>
      <c r="B322" s="694" t="s">
        <v>284</v>
      </c>
      <c r="C322" s="467">
        <v>0</v>
      </c>
      <c r="D322" s="467">
        <v>0</v>
      </c>
      <c r="E322" s="467">
        <v>0</v>
      </c>
      <c r="F322" s="467">
        <v>0</v>
      </c>
      <c r="G322" s="467">
        <v>0</v>
      </c>
      <c r="H322" s="467">
        <v>0</v>
      </c>
      <c r="I322" s="467">
        <v>0</v>
      </c>
      <c r="J322" s="467">
        <v>0</v>
      </c>
      <c r="K322" s="1667">
        <f t="shared" si="24"/>
        <v>0</v>
      </c>
      <c r="L322" s="467">
        <v>0</v>
      </c>
      <c r="M322" s="662"/>
      <c r="N322" s="662"/>
    </row>
    <row r="323" spans="1:14" s="671" customFormat="1" x14ac:dyDescent="0.2">
      <c r="A323" s="1515" t="s">
        <v>702</v>
      </c>
      <c r="B323" s="694" t="s">
        <v>285</v>
      </c>
      <c r="C323" s="467">
        <v>0</v>
      </c>
      <c r="D323" s="467">
        <v>0</v>
      </c>
      <c r="E323" s="467">
        <v>0</v>
      </c>
      <c r="F323" s="467">
        <v>0</v>
      </c>
      <c r="G323" s="467">
        <v>0</v>
      </c>
      <c r="H323" s="467">
        <v>0</v>
      </c>
      <c r="I323" s="467">
        <v>0</v>
      </c>
      <c r="J323" s="467">
        <v>0</v>
      </c>
      <c r="K323" s="1667">
        <f t="shared" si="24"/>
        <v>0</v>
      </c>
      <c r="L323" s="467">
        <v>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131816</v>
      </c>
      <c r="D325" s="467">
        <v>38560</v>
      </c>
      <c r="E325" s="467">
        <v>1045</v>
      </c>
      <c r="F325" s="467">
        <v>0</v>
      </c>
      <c r="G325" s="467">
        <v>0</v>
      </c>
      <c r="H325" s="467">
        <v>0</v>
      </c>
      <c r="I325" s="467">
        <v>0</v>
      </c>
      <c r="J325" s="467">
        <v>0</v>
      </c>
      <c r="K325" s="1667">
        <f t="shared" si="24"/>
        <v>171421</v>
      </c>
      <c r="L325" s="467">
        <v>180872</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2875</v>
      </c>
      <c r="F327" s="467">
        <v>0</v>
      </c>
      <c r="G327" s="467">
        <v>0</v>
      </c>
      <c r="H327" s="467">
        <v>0</v>
      </c>
      <c r="I327" s="467">
        <v>0</v>
      </c>
      <c r="J327" s="467">
        <v>0</v>
      </c>
      <c r="K327" s="1667">
        <f t="shared" si="24"/>
        <v>2875</v>
      </c>
      <c r="L327" s="467">
        <v>5000</v>
      </c>
      <c r="M327" s="662"/>
      <c r="N327" s="662"/>
    </row>
    <row r="328" spans="1:14" s="671" customFormat="1" x14ac:dyDescent="0.2">
      <c r="A328" s="1516" t="s">
        <v>472</v>
      </c>
      <c r="B328" s="687" t="s">
        <v>1132</v>
      </c>
      <c r="C328" s="473">
        <v>0</v>
      </c>
      <c r="D328" s="473">
        <v>0</v>
      </c>
      <c r="E328" s="473">
        <v>23483</v>
      </c>
      <c r="F328" s="473">
        <v>0</v>
      </c>
      <c r="G328" s="473">
        <v>0</v>
      </c>
      <c r="H328" s="473">
        <v>0</v>
      </c>
      <c r="I328" s="473">
        <v>0</v>
      </c>
      <c r="J328" s="473">
        <v>0</v>
      </c>
      <c r="K328" s="1695">
        <f>SUM(C328:J328)</f>
        <v>23483</v>
      </c>
      <c r="L328" s="473">
        <v>25500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131816</v>
      </c>
      <c r="D330" s="1666">
        <f t="shared" ref="D330:J330" si="25">SUM(D319:D329)</f>
        <v>38560</v>
      </c>
      <c r="E330" s="1666">
        <f t="shared" si="25"/>
        <v>54133</v>
      </c>
      <c r="F330" s="1666">
        <f t="shared" si="25"/>
        <v>0</v>
      </c>
      <c r="G330" s="1666">
        <f t="shared" si="25"/>
        <v>0</v>
      </c>
      <c r="H330" s="1666">
        <f t="shared" si="25"/>
        <v>0</v>
      </c>
      <c r="I330" s="1666">
        <f t="shared" si="25"/>
        <v>0</v>
      </c>
      <c r="J330" s="1666">
        <f t="shared" si="25"/>
        <v>0</v>
      </c>
      <c r="K330" s="1666">
        <f>SUM(K319:K329)</f>
        <v>224509</v>
      </c>
      <c r="L330" s="1666">
        <f>SUM(L319:L329)</f>
        <v>239372</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131816</v>
      </c>
      <c r="D342" s="1666">
        <f>SUM(D330)</f>
        <v>38560</v>
      </c>
      <c r="E342" s="1666">
        <f>SUM(E330)</f>
        <v>54133</v>
      </c>
      <c r="F342" s="1666">
        <f>SUM(F330)</f>
        <v>0</v>
      </c>
      <c r="G342" s="1666">
        <f>SUM(G330)</f>
        <v>0</v>
      </c>
      <c r="H342" s="1666">
        <f>SUM(H330,H334,H340)</f>
        <v>0</v>
      </c>
      <c r="I342" s="1666">
        <f>SUM(I330)</f>
        <v>0</v>
      </c>
      <c r="J342" s="1666">
        <f>SUM(J330)</f>
        <v>0</v>
      </c>
      <c r="K342" s="1666">
        <f>SUM(K330,K334,K340)</f>
        <v>224509</v>
      </c>
      <c r="L342" s="1673">
        <f>SUM(L330,L340,L341)</f>
        <v>239372</v>
      </c>
    </row>
    <row r="343" spans="1:14" ht="12.75" customHeight="1" thickTop="1" x14ac:dyDescent="0.2">
      <c r="A343" s="2187" t="s">
        <v>996</v>
      </c>
      <c r="B343" s="2188"/>
      <c r="C343" s="613"/>
      <c r="D343" s="613"/>
      <c r="E343" s="613"/>
      <c r="F343" s="613"/>
      <c r="G343" s="613"/>
      <c r="H343" s="613"/>
      <c r="I343" s="613"/>
      <c r="J343" s="613"/>
      <c r="K343" s="1680">
        <f>'Revenues 9-14'!J268-'Expenditures 15-22'!K342</f>
        <v>18802</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966</v>
      </c>
      <c r="B345" s="2178"/>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20000</v>
      </c>
    </row>
    <row r="349" spans="1:14" x14ac:dyDescent="0.2">
      <c r="A349" s="1500" t="s">
        <v>197</v>
      </c>
      <c r="B349" s="611">
        <v>2540</v>
      </c>
      <c r="C349" s="466">
        <v>0</v>
      </c>
      <c r="D349" s="466">
        <v>0</v>
      </c>
      <c r="E349" s="466">
        <v>0</v>
      </c>
      <c r="F349" s="466">
        <v>0</v>
      </c>
      <c r="G349" s="466">
        <v>0</v>
      </c>
      <c r="H349" s="466">
        <v>0</v>
      </c>
      <c r="I349" s="467">
        <v>0</v>
      </c>
      <c r="J349" s="467">
        <v>0</v>
      </c>
      <c r="K349" s="1667">
        <f>SUM(C349:J349)</f>
        <v>0</v>
      </c>
      <c r="L349" s="466">
        <v>0</v>
      </c>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20000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20000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20000</v>
      </c>
    </row>
    <row r="368" spans="1:14" ht="13.5" thickTop="1" x14ac:dyDescent="0.2">
      <c r="A368" s="2174" t="s">
        <v>996</v>
      </c>
      <c r="B368" s="2175"/>
      <c r="C368" s="651"/>
      <c r="D368" s="651"/>
      <c r="E368" s="623"/>
      <c r="F368" s="623"/>
      <c r="G368" s="623"/>
      <c r="H368" s="623"/>
      <c r="I368" s="623"/>
      <c r="J368" s="620"/>
      <c r="K368" s="1667">
        <f>'Revenues 9-14'!K268-'Expenditures 15-22'!K367</f>
        <v>38513</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4"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1" t="s">
        <v>1802</v>
      </c>
      <c r="B2" s="1524" t="s">
        <v>1951</v>
      </c>
      <c r="C2" s="711" t="s">
        <v>1952</v>
      </c>
      <c r="D2" s="711" t="s">
        <v>1953</v>
      </c>
      <c r="E2" s="711" t="s">
        <v>1954</v>
      </c>
      <c r="F2" s="711" t="s">
        <v>1955</v>
      </c>
    </row>
    <row r="3" spans="1:6" ht="12" customHeight="1" x14ac:dyDescent="0.2">
      <c r="A3" s="2202"/>
      <c r="B3" s="1521"/>
      <c r="C3" s="1522"/>
      <c r="D3" s="1523" t="s">
        <v>256</v>
      </c>
      <c r="E3" s="1522"/>
      <c r="F3" s="1523" t="s">
        <v>257</v>
      </c>
    </row>
    <row r="4" spans="1:6" ht="13.7" customHeight="1" x14ac:dyDescent="0.2">
      <c r="A4" s="712" t="s">
        <v>1155</v>
      </c>
      <c r="B4" s="1745">
        <f>'Revenues 9-14'!C5</f>
        <v>2751059</v>
      </c>
      <c r="C4" s="1520">
        <v>1514811</v>
      </c>
      <c r="D4" s="1748">
        <f>B4-C4</f>
        <v>1236248</v>
      </c>
      <c r="E4" s="1520">
        <v>2802356</v>
      </c>
      <c r="F4" s="1748">
        <f>E4-C4</f>
        <v>1287545</v>
      </c>
    </row>
    <row r="5" spans="1:6" ht="13.7" customHeight="1" x14ac:dyDescent="0.2">
      <c r="A5" s="712" t="s">
        <v>870</v>
      </c>
      <c r="B5" s="1746">
        <f>'Revenues 9-14'!D5</f>
        <v>549474</v>
      </c>
      <c r="C5" s="582">
        <v>302556</v>
      </c>
      <c r="D5" s="1749">
        <f t="shared" ref="D5:D18" si="0">B5-C5</f>
        <v>246918</v>
      </c>
      <c r="E5" s="582">
        <v>559720</v>
      </c>
      <c r="F5" s="1749">
        <f>E5-C5</f>
        <v>257164</v>
      </c>
    </row>
    <row r="6" spans="1:6" ht="13.7" customHeight="1" x14ac:dyDescent="0.2">
      <c r="A6" s="712" t="s">
        <v>411</v>
      </c>
      <c r="B6" s="1746">
        <f>'Revenues 9-14'!E5</f>
        <v>663431</v>
      </c>
      <c r="C6" s="582">
        <v>361102</v>
      </c>
      <c r="D6" s="1749">
        <f t="shared" si="0"/>
        <v>302329</v>
      </c>
      <c r="E6" s="582">
        <v>668028</v>
      </c>
      <c r="F6" s="1749">
        <f t="shared" ref="F6:F18" si="1">E6-C6</f>
        <v>306926</v>
      </c>
    </row>
    <row r="7" spans="1:6" ht="13.7" customHeight="1" x14ac:dyDescent="0.2">
      <c r="A7" s="712" t="s">
        <v>155</v>
      </c>
      <c r="B7" s="1746">
        <f>'Revenues 9-14'!F5</f>
        <v>147510</v>
      </c>
      <c r="C7" s="582">
        <v>81223</v>
      </c>
      <c r="D7" s="1749">
        <f t="shared" si="0"/>
        <v>66287</v>
      </c>
      <c r="E7" s="582">
        <v>150260</v>
      </c>
      <c r="F7" s="1749">
        <f t="shared" si="1"/>
        <v>69037</v>
      </c>
    </row>
    <row r="8" spans="1:6" ht="13.7" customHeight="1" x14ac:dyDescent="0.2">
      <c r="A8" s="712" t="s">
        <v>1179</v>
      </c>
      <c r="B8" s="1746">
        <f>'Revenues 9-14'!G5</f>
        <v>75661</v>
      </c>
      <c r="C8" s="582">
        <v>35133</v>
      </c>
      <c r="D8" s="1749">
        <f t="shared" si="0"/>
        <v>40528</v>
      </c>
      <c r="E8" s="582">
        <v>64995</v>
      </c>
      <c r="F8" s="1749">
        <f t="shared" si="1"/>
        <v>29862</v>
      </c>
    </row>
    <row r="9" spans="1:6" ht="13.7" customHeight="1" x14ac:dyDescent="0.2">
      <c r="A9" s="712" t="s">
        <v>408</v>
      </c>
      <c r="B9" s="1746">
        <f>'Revenues 9-14'!H5</f>
        <v>0</v>
      </c>
      <c r="C9" s="582">
        <v>0</v>
      </c>
      <c r="D9" s="1749">
        <f t="shared" si="0"/>
        <v>0</v>
      </c>
      <c r="E9" s="582">
        <v>0</v>
      </c>
      <c r="F9" s="1749">
        <f t="shared" si="1"/>
        <v>0</v>
      </c>
    </row>
    <row r="10" spans="1:6" ht="13.7" customHeight="1" x14ac:dyDescent="0.2">
      <c r="A10" s="712" t="s">
        <v>407</v>
      </c>
      <c r="B10" s="1746">
        <f>'Revenues 9-14'!I5</f>
        <v>36878</v>
      </c>
      <c r="C10" s="582">
        <v>20306</v>
      </c>
      <c r="D10" s="1749">
        <f t="shared" si="0"/>
        <v>16572</v>
      </c>
      <c r="E10" s="582">
        <v>37565</v>
      </c>
      <c r="F10" s="1749">
        <f t="shared" si="1"/>
        <v>17259</v>
      </c>
    </row>
    <row r="11" spans="1:6" x14ac:dyDescent="0.2">
      <c r="A11" s="712" t="s">
        <v>409</v>
      </c>
      <c r="B11" s="1746">
        <f>'Revenues 9-14'!J5</f>
        <v>238644</v>
      </c>
      <c r="C11" s="582">
        <v>153386</v>
      </c>
      <c r="D11" s="1749">
        <f t="shared" si="0"/>
        <v>85258</v>
      </c>
      <c r="E11" s="582">
        <v>283759</v>
      </c>
      <c r="F11" s="1749">
        <f t="shared" si="1"/>
        <v>130373</v>
      </c>
    </row>
    <row r="12" spans="1:6" ht="13.7" customHeight="1" x14ac:dyDescent="0.2">
      <c r="A12" s="712" t="s">
        <v>157</v>
      </c>
      <c r="B12" s="1746">
        <f>'Revenues 9-14'!K5</f>
        <v>36878</v>
      </c>
      <c r="C12" s="582">
        <v>20306</v>
      </c>
      <c r="D12" s="1749">
        <f t="shared" si="0"/>
        <v>16572</v>
      </c>
      <c r="E12" s="582">
        <v>37565</v>
      </c>
      <c r="F12" s="1749">
        <f t="shared" si="1"/>
        <v>17259</v>
      </c>
    </row>
    <row r="13" spans="1:6" ht="13.7" customHeight="1" x14ac:dyDescent="0.2">
      <c r="A13" s="712" t="s">
        <v>936</v>
      </c>
      <c r="B13" s="1746">
        <f>SUM('Revenues 9-14'!C6:D6)</f>
        <v>36878</v>
      </c>
      <c r="C13" s="582">
        <v>20306</v>
      </c>
      <c r="D13" s="1749">
        <f t="shared" si="0"/>
        <v>16572</v>
      </c>
      <c r="E13" s="582">
        <v>37565</v>
      </c>
      <c r="F13" s="1749">
        <f t="shared" si="1"/>
        <v>17259</v>
      </c>
    </row>
    <row r="14" spans="1:6" ht="13.7" customHeight="1" x14ac:dyDescent="0.2">
      <c r="A14" s="712" t="s">
        <v>410</v>
      </c>
      <c r="B14" s="1746">
        <f>SUM('Revenues 9-14'!C7:D7,'Revenues 9-14'!F7:H7)</f>
        <v>29502</v>
      </c>
      <c r="C14" s="582">
        <v>16245</v>
      </c>
      <c r="D14" s="1749">
        <f t="shared" si="0"/>
        <v>13257</v>
      </c>
      <c r="E14" s="582">
        <v>30052</v>
      </c>
      <c r="F14" s="1749">
        <f t="shared" si="1"/>
        <v>13807</v>
      </c>
    </row>
    <row r="15" spans="1:6" ht="13.7" customHeight="1" x14ac:dyDescent="0.2">
      <c r="A15" s="712" t="s">
        <v>1158</v>
      </c>
      <c r="B15" s="1746">
        <f>SUM('Revenues 9-14'!D9:E9,'Revenues 9-14'!H9)</f>
        <v>0</v>
      </c>
      <c r="C15" s="582">
        <v>0</v>
      </c>
      <c r="D15" s="1749">
        <f t="shared" si="0"/>
        <v>0</v>
      </c>
      <c r="E15" s="582">
        <v>0</v>
      </c>
      <c r="F15" s="1749">
        <f t="shared" si="1"/>
        <v>0</v>
      </c>
    </row>
    <row r="16" spans="1:6" ht="13.7" customHeight="1" x14ac:dyDescent="0.2">
      <c r="A16" s="712" t="s">
        <v>1159</v>
      </c>
      <c r="B16" s="1746">
        <f>'Revenues 9-14'!G8</f>
        <v>104762</v>
      </c>
      <c r="C16" s="582">
        <v>54050</v>
      </c>
      <c r="D16" s="1749">
        <f t="shared" si="0"/>
        <v>50712</v>
      </c>
      <c r="E16" s="582">
        <v>99991</v>
      </c>
      <c r="F16" s="1749">
        <f t="shared" si="1"/>
        <v>45941</v>
      </c>
    </row>
    <row r="17" spans="1:6" ht="13.7" customHeight="1" x14ac:dyDescent="0.2">
      <c r="A17" s="712" t="s">
        <v>1160</v>
      </c>
      <c r="B17" s="1746">
        <f>'Revenues 9-14'!C10</f>
        <v>0</v>
      </c>
      <c r="C17" s="582">
        <v>0</v>
      </c>
      <c r="D17" s="1749">
        <f t="shared" si="0"/>
        <v>0</v>
      </c>
      <c r="E17" s="582">
        <v>0</v>
      </c>
      <c r="F17" s="1749">
        <f t="shared" si="1"/>
        <v>0</v>
      </c>
    </row>
    <row r="18" spans="1:6" ht="13.7" customHeight="1" x14ac:dyDescent="0.2">
      <c r="A18" s="712" t="s">
        <v>762</v>
      </c>
      <c r="B18" s="1746">
        <f>SUM('Revenues 9-14'!C11:K11)</f>
        <v>0</v>
      </c>
      <c r="C18" s="582">
        <v>0</v>
      </c>
      <c r="D18" s="1749">
        <f t="shared" si="0"/>
        <v>0</v>
      </c>
      <c r="E18" s="582">
        <v>0</v>
      </c>
      <c r="F18" s="1749">
        <f t="shared" si="1"/>
        <v>0</v>
      </c>
    </row>
    <row r="19" spans="1:6" ht="13.7" customHeight="1" thickBot="1" x14ac:dyDescent="0.25">
      <c r="A19" s="1750" t="s">
        <v>1161</v>
      </c>
      <c r="B19" s="1747">
        <f>SUM(B4:B18)</f>
        <v>4670677</v>
      </c>
      <c r="C19" s="1747">
        <f>SUM(C4:C18)</f>
        <v>2579424</v>
      </c>
      <c r="D19" s="1747">
        <f>SUM(D4:D18)</f>
        <v>2091253</v>
      </c>
      <c r="E19" s="1747">
        <f>SUM(E4:E18)</f>
        <v>4771856</v>
      </c>
      <c r="F19" s="1747">
        <f>SUM(F4:F18)</f>
        <v>2192432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629</v>
      </c>
      <c r="B1" s="2221"/>
      <c r="C1" s="718"/>
    </row>
    <row r="2" spans="1:7" ht="33.75" x14ac:dyDescent="0.2">
      <c r="A2" s="2228" t="s">
        <v>1802</v>
      </c>
      <c r="B2" s="2229"/>
      <c r="C2" s="1880" t="s">
        <v>1956</v>
      </c>
      <c r="D2" s="720" t="s">
        <v>1957</v>
      </c>
      <c r="E2" s="720" t="s">
        <v>1958</v>
      </c>
      <c r="F2" s="1880" t="s">
        <v>1959</v>
      </c>
    </row>
    <row r="3" spans="1:7" ht="15.75" customHeight="1" x14ac:dyDescent="0.2">
      <c r="A3" s="2230" t="s">
        <v>1114</v>
      </c>
      <c r="B3" s="2231"/>
      <c r="C3" s="2224"/>
      <c r="D3" s="2225"/>
      <c r="E3" s="2225"/>
      <c r="F3" s="2226"/>
    </row>
    <row r="4" spans="1:7" ht="12.75" customHeight="1" thickBot="1" x14ac:dyDescent="0.25">
      <c r="A4" s="2218" t="s">
        <v>630</v>
      </c>
      <c r="B4" s="2219"/>
      <c r="C4" s="578"/>
      <c r="D4" s="578"/>
      <c r="E4" s="578"/>
      <c r="F4" s="1751">
        <f>SUM(C4+D4)-E4</f>
        <v>0</v>
      </c>
    </row>
    <row r="5" spans="1:7" ht="15.75" customHeight="1" thickTop="1" x14ac:dyDescent="0.2">
      <c r="A5" s="2222" t="s">
        <v>1110</v>
      </c>
      <c r="B5" s="2217"/>
      <c r="C5" s="2211"/>
      <c r="D5" s="2212"/>
      <c r="E5" s="2212"/>
      <c r="F5" s="2213"/>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14" t="s">
        <v>631</v>
      </c>
      <c r="B15" s="2215"/>
      <c r="C15" s="1751">
        <f>SUM(C6:C14)</f>
        <v>0</v>
      </c>
      <c r="D15" s="1751">
        <f>SUM(D6:D14)</f>
        <v>0</v>
      </c>
      <c r="E15" s="1751">
        <f>SUM(E6:E14)</f>
        <v>0</v>
      </c>
      <c r="F15" s="1751">
        <f>SUM(F6:F14)</f>
        <v>0</v>
      </c>
      <c r="G15" s="549"/>
    </row>
    <row r="16" spans="1:7" s="202" customFormat="1" ht="15.75" customHeight="1" thickTop="1" x14ac:dyDescent="0.2">
      <c r="A16" s="2227" t="s">
        <v>1111</v>
      </c>
      <c r="B16" s="2217"/>
      <c r="C16" s="2211"/>
      <c r="D16" s="2212"/>
      <c r="E16" s="2212"/>
      <c r="F16" s="2213"/>
    </row>
    <row r="17" spans="1:11" ht="12.75" customHeight="1" thickBot="1" x14ac:dyDescent="0.25">
      <c r="A17" s="2209" t="s">
        <v>64</v>
      </c>
      <c r="B17" s="2210"/>
      <c r="C17" s="723"/>
      <c r="D17" s="582"/>
      <c r="E17" s="723"/>
      <c r="F17" s="1751">
        <f>SUM(C17+D17)-E17</f>
        <v>0</v>
      </c>
    </row>
    <row r="18" spans="1:11" ht="12.75" customHeight="1" thickTop="1" thickBot="1" x14ac:dyDescent="0.25">
      <c r="A18" s="2209" t="s">
        <v>6</v>
      </c>
      <c r="B18" s="2210"/>
      <c r="C18" s="723"/>
      <c r="D18" s="582"/>
      <c r="E18" s="723"/>
      <c r="F18" s="1751">
        <f>SUM(C18+D18)-E18</f>
        <v>0</v>
      </c>
    </row>
    <row r="19" spans="1:11" ht="12.75" customHeight="1" thickTop="1" thickBot="1" x14ac:dyDescent="0.25">
      <c r="A19" s="2209" t="s">
        <v>388</v>
      </c>
      <c r="B19" s="2210"/>
      <c r="C19" s="723"/>
      <c r="D19" s="582"/>
      <c r="E19" s="723"/>
      <c r="F19" s="1751">
        <f>SUM(C19+D19)-E19</f>
        <v>0</v>
      </c>
    </row>
    <row r="20" spans="1:11" ht="12.75" customHeight="1" thickTop="1" thickBot="1" x14ac:dyDescent="0.25">
      <c r="A20" s="2209" t="s">
        <v>448</v>
      </c>
      <c r="B20" s="2210"/>
      <c r="C20" s="723"/>
      <c r="D20" s="582"/>
      <c r="E20" s="723"/>
      <c r="F20" s="1751">
        <f>SUM(C20+D20)-E20</f>
        <v>0</v>
      </c>
    </row>
    <row r="21" spans="1:11" ht="14.25" thickTop="1" thickBot="1" x14ac:dyDescent="0.25">
      <c r="A21" s="2214" t="s">
        <v>632</v>
      </c>
      <c r="B21" s="2215"/>
      <c r="C21" s="1751">
        <f>SUM(C17:C20)</f>
        <v>0</v>
      </c>
      <c r="D21" s="1751">
        <f>SUM(D17:D20)</f>
        <v>0</v>
      </c>
      <c r="E21" s="1751">
        <f>SUM(E17:E20)</f>
        <v>0</v>
      </c>
      <c r="F21" s="1751">
        <f>SUM(F17:F20)</f>
        <v>0</v>
      </c>
      <c r="G21" s="549"/>
    </row>
    <row r="22" spans="1:11" ht="15.75" customHeight="1" thickTop="1" x14ac:dyDescent="0.2">
      <c r="A22" s="2216" t="s">
        <v>1112</v>
      </c>
      <c r="B22" s="2217"/>
      <c r="C22" s="2211"/>
      <c r="D22" s="2212"/>
      <c r="E22" s="2212"/>
      <c r="F22" s="2213"/>
    </row>
    <row r="23" spans="1:11" ht="13.5" thickBot="1" x14ac:dyDescent="0.25">
      <c r="A23" s="2218" t="s">
        <v>633</v>
      </c>
      <c r="B23" s="2219"/>
      <c r="C23" s="578"/>
      <c r="D23" s="578"/>
      <c r="E23" s="578"/>
      <c r="F23" s="1751">
        <f>SUM(C23+D23)-E23</f>
        <v>0</v>
      </c>
      <c r="G23" s="549"/>
    </row>
    <row r="24" spans="1:11" ht="15.75" customHeight="1" thickTop="1" x14ac:dyDescent="0.2">
      <c r="A24" s="2216" t="s">
        <v>1113</v>
      </c>
      <c r="B24" s="2217"/>
      <c r="C24" s="2211"/>
      <c r="D24" s="2212"/>
      <c r="E24" s="2212"/>
      <c r="F24" s="2213"/>
    </row>
    <row r="25" spans="1:11" ht="13.5" thickBot="1" x14ac:dyDescent="0.25">
      <c r="A25" s="2218" t="s">
        <v>634</v>
      </c>
      <c r="B25" s="2219"/>
      <c r="C25" s="578"/>
      <c r="D25" s="578"/>
      <c r="E25" s="578"/>
      <c r="F25" s="1751">
        <f>SUM(C25+D25)-E25</f>
        <v>0</v>
      </c>
      <c r="G25" s="549"/>
    </row>
    <row r="26" spans="1:11" ht="15.75" customHeight="1" thickTop="1" x14ac:dyDescent="0.2">
      <c r="A26" s="2222" t="s">
        <v>657</v>
      </c>
      <c r="B26" s="2217"/>
      <c r="C26" s="724"/>
      <c r="D26" s="724"/>
      <c r="E26" s="724"/>
      <c r="F26" s="725"/>
    </row>
    <row r="27" spans="1:11" ht="13.5" thickBot="1" x14ac:dyDescent="0.25">
      <c r="A27" s="2214" t="s">
        <v>1070</v>
      </c>
      <c r="B27" s="2215"/>
      <c r="C27" s="582"/>
      <c r="D27" s="582"/>
      <c r="E27" s="582"/>
      <c r="F27" s="1751">
        <f>SUM(C27+D27)-E27</f>
        <v>0</v>
      </c>
      <c r="G27" s="549"/>
    </row>
    <row r="28" spans="1:11" ht="7.5" customHeight="1" thickTop="1" x14ac:dyDescent="0.2">
      <c r="A28" s="590"/>
    </row>
    <row r="29" spans="1:11" ht="23.25" customHeight="1" x14ac:dyDescent="0.2">
      <c r="A29" s="2220" t="s">
        <v>582</v>
      </c>
      <c r="B29" s="2221"/>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2086</v>
      </c>
      <c r="B31" s="730">
        <v>39630</v>
      </c>
      <c r="C31" s="731">
        <v>3700000</v>
      </c>
      <c r="D31" s="732">
        <v>4</v>
      </c>
      <c r="E31" s="731">
        <v>2605000</v>
      </c>
      <c r="F31" s="731"/>
      <c r="G31" s="731"/>
      <c r="H31" s="731">
        <v>185000</v>
      </c>
      <c r="I31" s="1752">
        <f>((E31+F31)-H31)+G31</f>
        <v>2420000</v>
      </c>
      <c r="J31" s="731">
        <f>I31-149753</f>
        <v>2270247</v>
      </c>
      <c r="K31" s="733"/>
    </row>
    <row r="32" spans="1:11" ht="12" customHeight="1" x14ac:dyDescent="0.2">
      <c r="A32" s="729" t="s">
        <v>2084</v>
      </c>
      <c r="B32" s="730">
        <v>40066</v>
      </c>
      <c r="C32" s="731">
        <v>1335000</v>
      </c>
      <c r="D32" s="732">
        <v>4</v>
      </c>
      <c r="E32" s="731">
        <v>350000</v>
      </c>
      <c r="F32" s="731"/>
      <c r="G32" s="731"/>
      <c r="H32" s="731">
        <v>170000</v>
      </c>
      <c r="I32" s="1752">
        <f>((E32+F32)-H32)+G32</f>
        <v>180000</v>
      </c>
      <c r="J32" s="731">
        <f>I32-95897</f>
        <v>84103</v>
      </c>
      <c r="K32" s="733"/>
    </row>
    <row r="33" spans="1:11" ht="12" customHeight="1" x14ac:dyDescent="0.2">
      <c r="A33" s="729" t="s">
        <v>2085</v>
      </c>
      <c r="B33" s="730">
        <v>40066</v>
      </c>
      <c r="C33" s="731">
        <v>2665000</v>
      </c>
      <c r="D33" s="732">
        <v>4</v>
      </c>
      <c r="E33" s="731">
        <v>2665000</v>
      </c>
      <c r="F33" s="731"/>
      <c r="G33" s="731"/>
      <c r="H33" s="731"/>
      <c r="I33" s="1752">
        <f t="shared" ref="I33:I48" si="1">((E33+F33)-H33)+G33</f>
        <v>2665000</v>
      </c>
      <c r="J33" s="731">
        <f>I33-32838</f>
        <v>2632162</v>
      </c>
      <c r="K33" s="733"/>
    </row>
    <row r="34" spans="1:11" ht="12" customHeight="1" x14ac:dyDescent="0.2">
      <c r="A34" s="729"/>
      <c r="B34" s="730"/>
      <c r="C34" s="731"/>
      <c r="D34" s="732"/>
      <c r="E34" s="731"/>
      <c r="F34" s="731"/>
      <c r="G34" s="731"/>
      <c r="H34" s="731"/>
      <c r="I34" s="1752">
        <f t="shared" si="1"/>
        <v>0</v>
      </c>
      <c r="J34" s="731"/>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7700000</v>
      </c>
      <c r="D49" s="742"/>
      <c r="E49" s="1752">
        <f t="shared" ref="E49:J49" si="2">SUM(E31:E48)</f>
        <v>5620000</v>
      </c>
      <c r="F49" s="1752">
        <f t="shared" si="2"/>
        <v>0</v>
      </c>
      <c r="G49" s="1752">
        <f t="shared" si="2"/>
        <v>0</v>
      </c>
      <c r="H49" s="1752">
        <f t="shared" si="2"/>
        <v>355000</v>
      </c>
      <c r="I49" s="1752">
        <f t="shared" si="2"/>
        <v>5265000</v>
      </c>
      <c r="J49" s="1752">
        <f t="shared" si="2"/>
        <v>4986512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3" t="s">
        <v>584</v>
      </c>
      <c r="C52" s="2204"/>
      <c r="D52" s="2204"/>
      <c r="E52" s="746" t="s">
        <v>845</v>
      </c>
      <c r="F52" s="2205"/>
      <c r="G52" s="2206"/>
      <c r="H52" s="733"/>
      <c r="I52" s="733"/>
      <c r="J52" s="743"/>
    </row>
    <row r="53" spans="1:11" ht="11.25" customHeight="1" x14ac:dyDescent="0.2">
      <c r="A53" s="747" t="s">
        <v>913</v>
      </c>
      <c r="B53" s="748" t="s">
        <v>951</v>
      </c>
      <c r="C53" s="743"/>
      <c r="D53" s="734"/>
      <c r="E53" s="746" t="s">
        <v>497</v>
      </c>
      <c r="F53" s="2207"/>
      <c r="G53" s="2208"/>
      <c r="H53" s="733"/>
      <c r="I53" s="733"/>
      <c r="J53" s="743"/>
    </row>
    <row r="54" spans="1:11" ht="11.25" customHeight="1" x14ac:dyDescent="0.2">
      <c r="A54" s="749" t="s">
        <v>914</v>
      </c>
      <c r="B54" s="744" t="s">
        <v>952</v>
      </c>
      <c r="C54" s="743"/>
      <c r="D54" s="734"/>
      <c r="E54" s="746" t="s">
        <v>498</v>
      </c>
      <c r="F54" s="2207"/>
      <c r="G54" s="220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6"/>
      <c r="I1" s="757"/>
      <c r="J1" s="433"/>
    </row>
    <row r="2" spans="1:11" ht="26.25" x14ac:dyDescent="0.2">
      <c r="A2" s="2251" t="s">
        <v>1677</v>
      </c>
      <c r="B2" s="2252"/>
      <c r="C2" s="2252"/>
      <c r="D2" s="2252"/>
      <c r="E2" s="2253"/>
      <c r="F2" s="758" t="s">
        <v>904</v>
      </c>
      <c r="G2" s="759" t="s">
        <v>1674</v>
      </c>
      <c r="H2" s="759" t="s">
        <v>410</v>
      </c>
      <c r="I2" s="759" t="s">
        <v>1158</v>
      </c>
      <c r="J2" s="759" t="s">
        <v>1812</v>
      </c>
      <c r="K2" s="759" t="s">
        <v>138</v>
      </c>
    </row>
    <row r="3" spans="1:11" x14ac:dyDescent="0.2">
      <c r="A3" s="2254" t="s">
        <v>1964</v>
      </c>
      <c r="B3" s="2255"/>
      <c r="C3" s="2255"/>
      <c r="D3" s="2255"/>
      <c r="E3" s="2256"/>
      <c r="F3" s="760"/>
      <c r="G3" s="761"/>
      <c r="H3" s="761"/>
      <c r="I3" s="761"/>
      <c r="J3" s="762">
        <v>3610</v>
      </c>
      <c r="K3" s="762">
        <v>7610</v>
      </c>
    </row>
    <row r="4" spans="1:11" x14ac:dyDescent="0.2">
      <c r="A4" s="2257" t="s">
        <v>369</v>
      </c>
      <c r="B4" s="2258"/>
      <c r="C4" s="2258"/>
      <c r="D4" s="2258"/>
      <c r="E4" s="2204"/>
      <c r="F4" s="763"/>
      <c r="G4" s="764"/>
      <c r="H4" s="765"/>
      <c r="I4" s="764"/>
      <c r="J4" s="766"/>
      <c r="K4" s="766"/>
    </row>
    <row r="5" spans="1:11" x14ac:dyDescent="0.2">
      <c r="A5" s="2235" t="s">
        <v>1069</v>
      </c>
      <c r="B5" s="2236"/>
      <c r="C5" s="2236"/>
      <c r="D5" s="2236"/>
      <c r="E5" s="2237"/>
      <c r="F5" s="767" t="s">
        <v>848</v>
      </c>
      <c r="G5" s="768"/>
      <c r="H5" s="761">
        <v>29502</v>
      </c>
      <c r="I5" s="769"/>
      <c r="J5" s="770"/>
      <c r="K5" s="770"/>
    </row>
    <row r="6" spans="1:11" x14ac:dyDescent="0.2">
      <c r="A6" s="771" t="s">
        <v>720</v>
      </c>
      <c r="B6" s="772"/>
      <c r="C6" s="772"/>
      <c r="D6" s="772"/>
      <c r="E6" s="773"/>
      <c r="F6" s="774" t="s">
        <v>849</v>
      </c>
      <c r="G6" s="761"/>
      <c r="H6" s="761">
        <v>24</v>
      </c>
      <c r="I6" s="761"/>
      <c r="J6" s="762">
        <v>1</v>
      </c>
      <c r="K6" s="762">
        <v>3</v>
      </c>
    </row>
    <row r="7" spans="1:11" x14ac:dyDescent="0.2">
      <c r="A7" s="775" t="s">
        <v>246</v>
      </c>
      <c r="B7" s="776"/>
      <c r="C7" s="776"/>
      <c r="D7" s="776"/>
      <c r="E7" s="777"/>
      <c r="F7" s="767" t="s">
        <v>850</v>
      </c>
      <c r="G7" s="764"/>
      <c r="H7" s="764"/>
      <c r="I7" s="764"/>
      <c r="J7" s="778"/>
      <c r="K7" s="762">
        <v>2000</v>
      </c>
    </row>
    <row r="8" spans="1:11" x14ac:dyDescent="0.2">
      <c r="A8" s="775" t="s">
        <v>345</v>
      </c>
      <c r="B8" s="776"/>
      <c r="C8" s="776"/>
      <c r="D8" s="776"/>
      <c r="E8" s="777"/>
      <c r="F8" s="767" t="s">
        <v>851</v>
      </c>
      <c r="G8" s="779"/>
      <c r="H8" s="779"/>
      <c r="I8" s="779"/>
      <c r="J8" s="762">
        <v>4150</v>
      </c>
      <c r="K8" s="766"/>
    </row>
    <row r="9" spans="1:11" x14ac:dyDescent="0.2">
      <c r="A9" s="775" t="s">
        <v>138</v>
      </c>
      <c r="B9" s="776"/>
      <c r="C9" s="776"/>
      <c r="D9" s="776"/>
      <c r="E9" s="777"/>
      <c r="F9" s="774" t="s">
        <v>853</v>
      </c>
      <c r="G9" s="779"/>
      <c r="H9" s="768"/>
      <c r="I9" s="768"/>
      <c r="J9" s="778"/>
      <c r="K9" s="762">
        <v>3063</v>
      </c>
    </row>
    <row r="10" spans="1:11" x14ac:dyDescent="0.2">
      <c r="A10" s="2235" t="s">
        <v>1813</v>
      </c>
      <c r="B10" s="2236"/>
      <c r="C10" s="2236"/>
      <c r="D10" s="2236"/>
      <c r="E10" s="2238"/>
      <c r="F10" s="780" t="s">
        <v>862</v>
      </c>
      <c r="G10" s="779"/>
      <c r="H10" s="781"/>
      <c r="I10" s="761"/>
      <c r="J10" s="762"/>
      <c r="K10" s="762"/>
    </row>
    <row r="11" spans="1:11" x14ac:dyDescent="0.2">
      <c r="A11" s="2235" t="s">
        <v>160</v>
      </c>
      <c r="B11" s="2236"/>
      <c r="C11" s="2236"/>
      <c r="D11" s="2236"/>
      <c r="E11" s="2237"/>
      <c r="F11" s="767" t="s">
        <v>852</v>
      </c>
      <c r="G11" s="768"/>
      <c r="H11" s="761"/>
      <c r="I11" s="761"/>
      <c r="J11" s="762"/>
      <c r="K11" s="770"/>
    </row>
    <row r="12" spans="1:11" ht="13.5" thickBot="1" x14ac:dyDescent="0.25">
      <c r="A12" s="2262" t="s">
        <v>905</v>
      </c>
      <c r="B12" s="2263"/>
      <c r="C12" s="2263"/>
      <c r="D12" s="2263"/>
      <c r="E12" s="2264"/>
      <c r="F12" s="1753"/>
      <c r="G12" s="1754">
        <f>SUM(G5:G11)</f>
        <v>0</v>
      </c>
      <c r="H12" s="1754">
        <f>SUM(H5:H11)</f>
        <v>29526</v>
      </c>
      <c r="I12" s="1754">
        <f>SUM(I5:I11)</f>
        <v>0</v>
      </c>
      <c r="J12" s="1754">
        <f>SUM(J5:J11)</f>
        <v>4151</v>
      </c>
      <c r="K12" s="1754">
        <f>SUM(K5:K11)</f>
        <v>5066</v>
      </c>
    </row>
    <row r="13" spans="1:11" ht="13.5" thickTop="1" x14ac:dyDescent="0.2">
      <c r="A13" s="2259" t="s">
        <v>370</v>
      </c>
      <c r="B13" s="2260"/>
      <c r="C13" s="2260"/>
      <c r="D13" s="2260"/>
      <c r="E13" s="2261"/>
      <c r="F13" s="782"/>
      <c r="G13" s="783"/>
      <c r="H13" s="784"/>
      <c r="I13" s="785"/>
      <c r="J13" s="785"/>
      <c r="K13" s="785"/>
    </row>
    <row r="14" spans="1:11" x14ac:dyDescent="0.2">
      <c r="A14" s="2242" t="s">
        <v>456</v>
      </c>
      <c r="B14" s="2242"/>
      <c r="C14" s="2242"/>
      <c r="D14" s="2242"/>
      <c r="E14" s="2243"/>
      <c r="F14" s="786" t="s">
        <v>854</v>
      </c>
      <c r="G14" s="779"/>
      <c r="H14" s="761">
        <v>29526</v>
      </c>
      <c r="I14" s="768"/>
      <c r="J14" s="770"/>
      <c r="K14" s="762">
        <v>7139</v>
      </c>
    </row>
    <row r="15" spans="1:11" x14ac:dyDescent="0.2">
      <c r="A15" s="2236" t="s">
        <v>4</v>
      </c>
      <c r="B15" s="2236"/>
      <c r="C15" s="2236"/>
      <c r="D15" s="2236"/>
      <c r="E15" s="2237"/>
      <c r="F15" s="786" t="s">
        <v>855</v>
      </c>
      <c r="G15" s="768"/>
      <c r="H15" s="761"/>
      <c r="I15" s="761"/>
      <c r="J15" s="762">
        <v>7761</v>
      </c>
      <c r="K15" s="762"/>
    </row>
    <row r="16" spans="1:11" x14ac:dyDescent="0.2">
      <c r="A16" s="2236" t="s">
        <v>298</v>
      </c>
      <c r="B16" s="2236"/>
      <c r="C16" s="2236"/>
      <c r="D16" s="2236"/>
      <c r="E16" s="2237"/>
      <c r="F16" s="786" t="s">
        <v>923</v>
      </c>
      <c r="G16" s="769"/>
      <c r="H16" s="764"/>
      <c r="I16" s="764"/>
      <c r="J16" s="766"/>
      <c r="K16" s="766"/>
    </row>
    <row r="17" spans="1:11" x14ac:dyDescent="0.2">
      <c r="A17" s="2267" t="s">
        <v>935</v>
      </c>
      <c r="B17" s="2267"/>
      <c r="C17" s="2267"/>
      <c r="D17" s="2267"/>
      <c r="E17" s="2268"/>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44" t="s">
        <v>1809</v>
      </c>
      <c r="B19" s="2244"/>
      <c r="C19" s="2244"/>
      <c r="D19" s="2244"/>
      <c r="E19" s="2245"/>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65" t="s">
        <v>638</v>
      </c>
      <c r="B21" s="2265"/>
      <c r="C21" s="2265"/>
      <c r="D21" s="2265"/>
      <c r="E21" s="2265"/>
      <c r="F21" s="1755"/>
      <c r="G21" s="789"/>
      <c r="H21" s="793"/>
      <c r="I21" s="793"/>
      <c r="J21" s="1756">
        <f>SUM(J18:J20)</f>
        <v>0</v>
      </c>
      <c r="K21" s="790"/>
    </row>
    <row r="22" spans="1:11" ht="13.5" thickTop="1" x14ac:dyDescent="0.2">
      <c r="A22" s="2236" t="s">
        <v>1815</v>
      </c>
      <c r="B22" s="2236"/>
      <c r="C22" s="2236"/>
      <c r="D22" s="2236"/>
      <c r="E22" s="2237"/>
      <c r="F22" s="786" t="s">
        <v>862</v>
      </c>
      <c r="G22" s="779"/>
      <c r="H22" s="761"/>
      <c r="I22" s="761"/>
      <c r="J22" s="794"/>
      <c r="K22" s="762"/>
    </row>
    <row r="23" spans="1:11" ht="13.5" thickBot="1" x14ac:dyDescent="0.25">
      <c r="A23" s="2266" t="s">
        <v>906</v>
      </c>
      <c r="B23" s="2265"/>
      <c r="C23" s="2265"/>
      <c r="D23" s="2265"/>
      <c r="E23" s="2265"/>
      <c r="F23" s="1757"/>
      <c r="G23" s="1754">
        <f>SUM(G14:G16,G21,G22)</f>
        <v>0</v>
      </c>
      <c r="H23" s="1754">
        <f>SUM(H14:H16,H21,H22)</f>
        <v>29526</v>
      </c>
      <c r="I23" s="1754">
        <f>SUM(I14:I16,I21,I22)</f>
        <v>0</v>
      </c>
      <c r="J23" s="1754">
        <f>SUM(J14:J16,J21,J22)</f>
        <v>7761</v>
      </c>
      <c r="K23" s="1754">
        <f>SUM(K14:K16,K21,K22)</f>
        <v>7139</v>
      </c>
    </row>
    <row r="24" spans="1:11" ht="14.25" thickTop="1" thickBot="1" x14ac:dyDescent="0.25">
      <c r="A24" s="2266" t="s">
        <v>1965</v>
      </c>
      <c r="B24" s="2265"/>
      <c r="C24" s="2265"/>
      <c r="D24" s="2265"/>
      <c r="E24" s="2265"/>
      <c r="F24" s="1758"/>
      <c r="G24" s="1759">
        <f>SUM(G3,G12)-G23</f>
        <v>0</v>
      </c>
      <c r="H24" s="1759">
        <f>SUM(H3,H12)-H23</f>
        <v>0</v>
      </c>
      <c r="I24" s="1759">
        <f>SUM(I3,I12)-I23</f>
        <v>0</v>
      </c>
      <c r="J24" s="1759">
        <f>SUM(J3,J12)-J23</f>
        <v>0</v>
      </c>
      <c r="K24" s="1759">
        <f>SUM(K3,K12)-K23</f>
        <v>5537</v>
      </c>
    </row>
    <row r="25" spans="1:11" ht="13.5" thickTop="1" x14ac:dyDescent="0.2">
      <c r="A25" s="795" t="s">
        <v>420</v>
      </c>
      <c r="B25" s="796"/>
      <c r="C25" s="796"/>
      <c r="D25" s="796"/>
      <c r="E25" s="797"/>
      <c r="F25" s="798">
        <v>714</v>
      </c>
      <c r="G25" s="799"/>
      <c r="H25" s="799"/>
      <c r="I25" s="799"/>
      <c r="J25" s="794"/>
      <c r="K25" s="794">
        <v>5537</v>
      </c>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9"/>
      <c r="I31" s="2240"/>
      <c r="J31" s="2240"/>
      <c r="K31" s="2240"/>
    </row>
    <row r="32" spans="1:11" x14ac:dyDescent="0.2">
      <c r="A32" s="806"/>
      <c r="B32" s="237"/>
      <c r="C32" s="237"/>
      <c r="D32" s="237"/>
      <c r="E32" s="802"/>
      <c r="F32" s="808" t="s">
        <v>540</v>
      </c>
      <c r="G32" s="761"/>
      <c r="H32" s="2241"/>
      <c r="I32" s="2240"/>
      <c r="J32" s="2240"/>
      <c r="K32" s="2240"/>
    </row>
    <row r="33" spans="1:11" ht="1.5" customHeight="1" x14ac:dyDescent="0.2">
      <c r="A33" s="809" t="s">
        <v>1169</v>
      </c>
      <c r="B33" s="364"/>
      <c r="C33" s="364"/>
      <c r="D33" s="364"/>
      <c r="E33" s="364"/>
      <c r="F33" s="364"/>
      <c r="G33" s="810"/>
      <c r="H33" s="2241"/>
      <c r="I33" s="2240"/>
      <c r="J33" s="2240"/>
      <c r="K33" s="224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6" t="s">
        <v>541</v>
      </c>
      <c r="B41" s="2249"/>
      <c r="C41" s="2249"/>
      <c r="D41" s="2249"/>
      <c r="E41" s="2249"/>
      <c r="F41" s="225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347082</v>
      </c>
      <c r="D5" s="838"/>
      <c r="E5" s="838"/>
      <c r="F5" s="1756">
        <f>(C5+D5)-E5</f>
        <v>347082</v>
      </c>
      <c r="G5" s="834"/>
      <c r="H5" s="839"/>
      <c r="I5" s="839"/>
      <c r="J5" s="839"/>
      <c r="K5" s="790"/>
      <c r="L5" s="1765">
        <f>F5-K5</f>
        <v>347082</v>
      </c>
    </row>
    <row r="6" spans="1:14" ht="14.25" thickTop="1" thickBot="1" x14ac:dyDescent="0.25">
      <c r="A6" s="775" t="s">
        <v>1117</v>
      </c>
      <c r="B6" s="837">
        <v>222</v>
      </c>
      <c r="C6" s="762">
        <v>0</v>
      </c>
      <c r="D6" s="762"/>
      <c r="E6" s="762"/>
      <c r="F6" s="1756">
        <f>(C6+D6)-E6</f>
        <v>0</v>
      </c>
      <c r="G6" s="834">
        <v>50</v>
      </c>
      <c r="H6" s="762">
        <v>0</v>
      </c>
      <c r="I6" s="762"/>
      <c r="J6" s="762"/>
      <c r="K6" s="1765">
        <f>(H6+I6)-J6</f>
        <v>0</v>
      </c>
      <c r="L6" s="1765">
        <f>F6-K6</f>
        <v>0</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12816952</v>
      </c>
      <c r="D8" s="841">
        <v>12650</v>
      </c>
      <c r="E8" s="841"/>
      <c r="F8" s="1756">
        <f>(C8+D8)-E8</f>
        <v>12829602</v>
      </c>
      <c r="G8" s="840">
        <v>50</v>
      </c>
      <c r="H8" s="762">
        <v>4583486</v>
      </c>
      <c r="I8" s="762">
        <v>256591</v>
      </c>
      <c r="J8" s="762"/>
      <c r="K8" s="1765">
        <f>(H8+I8)-J8</f>
        <v>4840077</v>
      </c>
      <c r="L8" s="1765">
        <f>F8-K8</f>
        <v>7989525</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695829</v>
      </c>
      <c r="D10" s="843">
        <v>176664</v>
      </c>
      <c r="E10" s="843"/>
      <c r="F10" s="1760">
        <f>(C10+D10)-E10</f>
        <v>872493</v>
      </c>
      <c r="G10" s="840">
        <v>20</v>
      </c>
      <c r="H10" s="844">
        <v>366701</v>
      </c>
      <c r="I10" s="844">
        <v>33701</v>
      </c>
      <c r="J10" s="844"/>
      <c r="K10" s="1765">
        <f>(H10+I10)-J10</f>
        <v>400402</v>
      </c>
      <c r="L10" s="1765">
        <f>F10-K10</f>
        <v>472091</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922111</v>
      </c>
      <c r="D12" s="841">
        <v>113041</v>
      </c>
      <c r="E12" s="841">
        <v>44695</v>
      </c>
      <c r="F12" s="1756">
        <f>(C12+D12)-E12</f>
        <v>990457</v>
      </c>
      <c r="G12" s="840">
        <v>10</v>
      </c>
      <c r="H12" s="762">
        <v>521414</v>
      </c>
      <c r="I12" s="762">
        <v>99043</v>
      </c>
      <c r="J12" s="762">
        <v>44695</v>
      </c>
      <c r="K12" s="1765">
        <f>(H12+I12)-J12</f>
        <v>575762</v>
      </c>
      <c r="L12" s="1765">
        <f>F12-K12</f>
        <v>414695</v>
      </c>
    </row>
    <row r="13" spans="1:14" ht="14.25" thickTop="1" thickBot="1" x14ac:dyDescent="0.25">
      <c r="A13" s="845" t="s">
        <v>1122</v>
      </c>
      <c r="B13" s="837">
        <v>252</v>
      </c>
      <c r="C13" s="841">
        <v>445030</v>
      </c>
      <c r="D13" s="841">
        <v>38798</v>
      </c>
      <c r="E13" s="841"/>
      <c r="F13" s="1756">
        <f>(C13+D13)-E13</f>
        <v>483828</v>
      </c>
      <c r="G13" s="840">
        <v>5</v>
      </c>
      <c r="H13" s="762">
        <v>435236</v>
      </c>
      <c r="I13" s="762">
        <v>11025</v>
      </c>
      <c r="J13" s="762"/>
      <c r="K13" s="1765">
        <f>(H13+I13)-J13</f>
        <v>446261</v>
      </c>
      <c r="L13" s="1765">
        <f>F13-K13</f>
        <v>37567</v>
      </c>
    </row>
    <row r="14" spans="1:14" ht="14.25" thickTop="1" thickBot="1" x14ac:dyDescent="0.25">
      <c r="A14" s="845" t="s">
        <v>1123</v>
      </c>
      <c r="B14" s="837">
        <v>253</v>
      </c>
      <c r="C14" s="762">
        <v>2573</v>
      </c>
      <c r="D14" s="762"/>
      <c r="E14" s="762"/>
      <c r="F14" s="1756">
        <f>(C14+D14)-E14</f>
        <v>2573</v>
      </c>
      <c r="G14" s="840">
        <v>3</v>
      </c>
      <c r="H14" s="762">
        <v>2573</v>
      </c>
      <c r="I14" s="762"/>
      <c r="J14" s="762"/>
      <c r="K14" s="1765">
        <f>(H14+I14)-J14</f>
        <v>2573</v>
      </c>
      <c r="L14" s="1765">
        <f>F14-K14</f>
        <v>0</v>
      </c>
    </row>
    <row r="15" spans="1:14" ht="15" customHeight="1" thickTop="1" thickBot="1" x14ac:dyDescent="0.25">
      <c r="A15" s="1627" t="s">
        <v>528</v>
      </c>
      <c r="B15" s="1626">
        <v>260</v>
      </c>
      <c r="C15" s="841">
        <v>0</v>
      </c>
      <c r="D15" s="841">
        <v>57380</v>
      </c>
      <c r="E15" s="841"/>
      <c r="F15" s="1756">
        <f>(C15+D15)-E15</f>
        <v>57380</v>
      </c>
      <c r="G15" s="846" t="s">
        <v>862</v>
      </c>
      <c r="H15" s="778"/>
      <c r="I15" s="778"/>
      <c r="J15" s="778"/>
      <c r="K15" s="778"/>
      <c r="L15" s="1765">
        <f>F15-K15</f>
        <v>57380</v>
      </c>
    </row>
    <row r="16" spans="1:14" ht="15" customHeight="1" thickTop="1" thickBot="1" x14ac:dyDescent="0.25">
      <c r="A16" s="1761" t="s">
        <v>643</v>
      </c>
      <c r="B16" s="1762">
        <v>200</v>
      </c>
      <c r="C16" s="1756">
        <f>SUM(C3,C5:C6,C8:C10,C12:C15)</f>
        <v>15229577</v>
      </c>
      <c r="D16" s="1756">
        <f>SUM(D3,D5:D6,D8:D10,D12:D15)</f>
        <v>398533</v>
      </c>
      <c r="E16" s="1756">
        <f>SUM(E3,E5:E6,E8:E10,E12:E15)</f>
        <v>44695</v>
      </c>
      <c r="F16" s="1756">
        <f>SUM(F3,F5:F6,F8:F10,F12:F15)</f>
        <v>15583415</v>
      </c>
      <c r="G16" s="840"/>
      <c r="H16" s="1756">
        <f>SUM(H3,H6,H8:H10,H12:H14,)</f>
        <v>5909410</v>
      </c>
      <c r="I16" s="1756">
        <f>SUM(I3,I6,I8:I10,I12:I14,)</f>
        <v>400360</v>
      </c>
      <c r="J16" s="1756">
        <f>SUM(J3,J6,J8:J10,J12:J14,)</f>
        <v>44695</v>
      </c>
      <c r="K16" s="1756">
        <f>(H16+I16)-J16</f>
        <v>6265075</v>
      </c>
      <c r="L16" s="1756">
        <f>F16-K16</f>
        <v>9318340</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400360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A51" activeCellId="1" sqref="J31 AA5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4621931</v>
      </c>
      <c r="G8" s="862"/>
    </row>
    <row r="9" spans="1:7" x14ac:dyDescent="0.2">
      <c r="A9" s="866" t="s">
        <v>460</v>
      </c>
      <c r="B9" s="867" t="s">
        <v>1877</v>
      </c>
      <c r="C9" s="868"/>
      <c r="D9" s="866" t="s">
        <v>501</v>
      </c>
      <c r="E9" s="865"/>
      <c r="F9" s="1905">
        <f>'Expenditures 15-22'!K151</f>
        <v>553561</v>
      </c>
      <c r="G9" s="869"/>
    </row>
    <row r="10" spans="1:7" x14ac:dyDescent="0.2">
      <c r="A10" s="866" t="s">
        <v>499</v>
      </c>
      <c r="B10" s="867" t="s">
        <v>1878</v>
      </c>
      <c r="C10" s="868"/>
      <c r="D10" s="866" t="s">
        <v>501</v>
      </c>
      <c r="E10" s="865"/>
      <c r="F10" s="1905">
        <f>'Expenditures 15-22'!K174</f>
        <v>643834</v>
      </c>
      <c r="G10" s="869"/>
    </row>
    <row r="11" spans="1:7" x14ac:dyDescent="0.2">
      <c r="A11" s="866" t="s">
        <v>461</v>
      </c>
      <c r="B11" s="867" t="s">
        <v>1879</v>
      </c>
      <c r="C11" s="868"/>
      <c r="D11" s="866" t="s">
        <v>501</v>
      </c>
      <c r="E11" s="865"/>
      <c r="F11" s="1905">
        <f>'Expenditures 15-22'!K210</f>
        <v>337104</v>
      </c>
      <c r="G11" s="869"/>
    </row>
    <row r="12" spans="1:7" x14ac:dyDescent="0.2">
      <c r="A12" s="866" t="s">
        <v>462</v>
      </c>
      <c r="B12" s="867" t="s">
        <v>1880</v>
      </c>
      <c r="C12" s="868"/>
      <c r="D12" s="866" t="s">
        <v>501</v>
      </c>
      <c r="E12" s="865"/>
      <c r="F12" s="1905">
        <f>'Expenditures 15-22'!K295</f>
        <v>185142</v>
      </c>
      <c r="G12" s="869"/>
    </row>
    <row r="13" spans="1:7" x14ac:dyDescent="0.2">
      <c r="A13" s="866" t="s">
        <v>106</v>
      </c>
      <c r="B13" s="867" t="s">
        <v>1881</v>
      </c>
      <c r="C13" s="868"/>
      <c r="D13" s="866" t="s">
        <v>501</v>
      </c>
      <c r="E13" s="865"/>
      <c r="F13" s="1905">
        <f>'Expenditures 15-22'!K342</f>
        <v>224509</v>
      </c>
      <c r="G13" s="870"/>
    </row>
    <row r="14" spans="1:7" ht="12" customHeight="1" thickBot="1" x14ac:dyDescent="0.25">
      <c r="A14" s="1766"/>
      <c r="B14" s="1767"/>
      <c r="C14" s="1768"/>
      <c r="D14" s="1769" t="s">
        <v>501</v>
      </c>
      <c r="E14" s="1770" t="s">
        <v>958</v>
      </c>
      <c r="F14" s="1771">
        <f>SUM(F8:F13)</f>
        <v>6566081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6688</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1394</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70125</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3115</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102732</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2813</v>
      </c>
      <c r="G52" s="862"/>
    </row>
    <row r="53" spans="1:7" x14ac:dyDescent="0.2">
      <c r="A53" s="866" t="s">
        <v>459</v>
      </c>
      <c r="B53" s="866" t="s">
        <v>1475</v>
      </c>
      <c r="C53" s="886">
        <f>'Expenditures 15-22'!B102</f>
        <v>4000</v>
      </c>
      <c r="D53" s="885" t="str">
        <f>'Expenditures 15-22'!A102</f>
        <v>Total Payments to Other Govt Units</v>
      </c>
      <c r="E53" s="865"/>
      <c r="F53" s="1909">
        <f>'Expenditures 15-22'!K102</f>
        <v>265680</v>
      </c>
      <c r="G53" s="862"/>
    </row>
    <row r="54" spans="1:7" x14ac:dyDescent="0.2">
      <c r="A54" s="866" t="s">
        <v>459</v>
      </c>
      <c r="B54" s="866" t="s">
        <v>1476</v>
      </c>
      <c r="C54" s="886" t="s">
        <v>982</v>
      </c>
      <c r="D54" s="882" t="s">
        <v>1095</v>
      </c>
      <c r="E54" s="865"/>
      <c r="F54" s="1909">
        <f>'Expenditures 15-22'!G114</f>
        <v>112378</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85604</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355000</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38798</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2282</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41</v>
      </c>
      <c r="G71" s="862"/>
    </row>
    <row r="72" spans="1:8" x14ac:dyDescent="0.2">
      <c r="A72" s="866" t="s">
        <v>462</v>
      </c>
      <c r="B72" s="866" t="s">
        <v>1896</v>
      </c>
      <c r="C72" s="883">
        <f>'Expenditures 15-22'!B280</f>
        <v>3000</v>
      </c>
      <c r="D72" s="873" t="s">
        <v>449</v>
      </c>
      <c r="E72" s="865"/>
      <c r="F72" s="1909">
        <f>'Expenditures 15-22'!K280</f>
        <v>443</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1047093</v>
      </c>
      <c r="G76" s="862"/>
    </row>
    <row r="77" spans="1:8" s="890" customFormat="1" ht="12" customHeight="1" thickTop="1" thickBot="1" x14ac:dyDescent="0.25">
      <c r="A77" s="1775"/>
      <c r="B77" s="1772"/>
      <c r="C77" s="1768"/>
      <c r="D77" s="1773" t="s">
        <v>1900</v>
      </c>
      <c r="E77" s="1770"/>
      <c r="F77" s="1776">
        <f>(F14-F76)</f>
        <v>5518988</v>
      </c>
      <c r="G77" s="866"/>
    </row>
    <row r="78" spans="1:8" s="890" customFormat="1" ht="12" customHeight="1" thickTop="1" x14ac:dyDescent="0.2">
      <c r="A78" s="1777"/>
      <c r="B78" s="1772"/>
      <c r="C78" s="1768"/>
      <c r="D78" s="1773" t="s">
        <v>2062</v>
      </c>
      <c r="E78" s="1770"/>
      <c r="F78" s="895">
        <v>431.8</v>
      </c>
      <c r="G78" s="896"/>
      <c r="H78" s="866"/>
    </row>
    <row r="79" spans="1:8" s="890" customFormat="1" ht="12" customHeight="1" thickBot="1" x14ac:dyDescent="0.25">
      <c r="A79" s="1778"/>
      <c r="B79" s="1772"/>
      <c r="C79" s="1768"/>
      <c r="D79" s="1773" t="s">
        <v>1901</v>
      </c>
      <c r="E79" s="1770" t="s">
        <v>958</v>
      </c>
      <c r="F79" s="1779">
        <f>IF(F78&gt;0,F77/F78," Complete Line 78")</f>
        <v>12781.352477999073</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79485</v>
      </c>
      <c r="G94" s="909"/>
    </row>
    <row r="95" spans="1:7" x14ac:dyDescent="0.2">
      <c r="A95" s="905" t="s">
        <v>140</v>
      </c>
      <c r="B95" s="905" t="s">
        <v>175</v>
      </c>
      <c r="C95" s="907">
        <v>1700</v>
      </c>
      <c r="D95" s="915" t="str">
        <f>'Revenues 9-14'!A82</f>
        <v>Total District/School Activity Income</v>
      </c>
      <c r="E95" s="903"/>
      <c r="F95" s="1785">
        <f>SUM('Revenues 9-14'!C82,'Revenues 9-14'!D82)</f>
        <v>17819</v>
      </c>
      <c r="G95" s="909"/>
    </row>
    <row r="96" spans="1:7" x14ac:dyDescent="0.2">
      <c r="A96" s="905" t="s">
        <v>459</v>
      </c>
      <c r="B96" s="905" t="s">
        <v>176</v>
      </c>
      <c r="C96" s="907">
        <f>'Revenues 9-14'!B84</f>
        <v>1811</v>
      </c>
      <c r="D96" s="908" t="str">
        <f>'Revenues 9-14'!A84</f>
        <v>Rentals - Regular Textbooks</v>
      </c>
      <c r="E96" s="903"/>
      <c r="F96" s="1785">
        <f>'Revenues 9-14'!C84</f>
        <v>32685</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5">
        <f>('Revenues 9-14'!C106)</f>
        <v>4378</v>
      </c>
      <c r="G104" s="909"/>
    </row>
    <row r="105" spans="1:7" x14ac:dyDescent="0.2">
      <c r="A105" s="905" t="s">
        <v>503</v>
      </c>
      <c r="B105" s="905" t="s">
        <v>2003</v>
      </c>
      <c r="C105" s="910">
        <v>3100</v>
      </c>
      <c r="D105" s="916" t="str">
        <f>'Revenues 9-14'!A132</f>
        <v>Total Special Education</v>
      </c>
      <c r="E105" s="903"/>
      <c r="F105" s="1785">
        <f>SUM('Revenues 9-14'!C132:D132,'Revenues 9-14'!F132)</f>
        <v>109492</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18929</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1291</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3063</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159458</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750</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0</v>
      </c>
      <c r="G123" s="927"/>
    </row>
    <row r="124" spans="1:7" x14ac:dyDescent="0.2">
      <c r="A124" s="924" t="s">
        <v>668</v>
      </c>
      <c r="B124" s="924" t="s">
        <v>2022</v>
      </c>
      <c r="C124" s="929">
        <v>4100</v>
      </c>
      <c r="D124" s="930" t="str">
        <f>'Revenues 9-14'!A188</f>
        <v>Total Title V</v>
      </c>
      <c r="E124" s="903"/>
      <c r="F124" s="1785">
        <f>SUM('Revenues 9-14'!C188,'Revenues 9-14'!D188,'Revenues 9-14'!F188,'Revenues 9-14'!G188)</f>
        <v>70814</v>
      </c>
      <c r="G124" s="927"/>
    </row>
    <row r="125" spans="1:7" x14ac:dyDescent="0.2">
      <c r="A125" s="924" t="s">
        <v>664</v>
      </c>
      <c r="B125" s="924" t="s">
        <v>2023</v>
      </c>
      <c r="C125" s="929">
        <v>4200</v>
      </c>
      <c r="D125" s="926" t="str">
        <f>'Revenues 9-14'!A198</f>
        <v>Total Food Service</v>
      </c>
      <c r="E125" s="903"/>
      <c r="F125" s="1785">
        <f>SUM('Revenues 9-14'!C198,'Revenues 9-14'!G198)</f>
        <v>81753</v>
      </c>
      <c r="G125" s="927"/>
    </row>
    <row r="126" spans="1:7" x14ac:dyDescent="0.2">
      <c r="A126" s="924" t="s">
        <v>668</v>
      </c>
      <c r="B126" s="924" t="s">
        <v>2024</v>
      </c>
      <c r="C126" s="929">
        <v>4300</v>
      </c>
      <c r="D126" s="930" t="str">
        <f>'Revenues 9-14'!A204</f>
        <v>Total Title I</v>
      </c>
      <c r="E126" s="903"/>
      <c r="F126" s="1785">
        <f>SUM('Revenues 9-14'!C204,'Revenues 9-14'!D204,'Revenues 9-14'!F204,'Revenues 9-14'!G204)</f>
        <v>75105</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12256</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117415</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53370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53370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19323</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18079</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11859</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210972.21</v>
      </c>
      <c r="G171" s="924"/>
    </row>
    <row r="172" spans="1:7" x14ac:dyDescent="0.2">
      <c r="A172" s="1914" t="s">
        <v>664</v>
      </c>
      <c r="B172" s="1915" t="s">
        <v>1920</v>
      </c>
      <c r="C172" s="1916">
        <v>3300</v>
      </c>
      <c r="D172" s="1917" t="s">
        <v>1923</v>
      </c>
      <c r="E172" s="903"/>
      <c r="F172" s="1902">
        <v>2199.9299999999998</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1100496.1399999999</v>
      </c>
    </row>
    <row r="175" spans="1:7" ht="12" customHeight="1" x14ac:dyDescent="0.2">
      <c r="A175" s="1766"/>
      <c r="B175" s="1780"/>
      <c r="C175" s="1781"/>
      <c r="D175" s="1782" t="s">
        <v>2057</v>
      </c>
      <c r="E175" s="1783"/>
      <c r="F175" s="1785">
        <f>'PCTC-OEPP 27-28'!F77-F174</f>
        <v>4418491.8600000003</v>
      </c>
    </row>
    <row r="176" spans="1:7" ht="12" customHeight="1" x14ac:dyDescent="0.2">
      <c r="A176" s="1766"/>
      <c r="B176" s="1780"/>
      <c r="C176" s="1781"/>
      <c r="D176" s="1782" t="s">
        <v>1817</v>
      </c>
      <c r="E176" s="1783"/>
      <c r="F176" s="1785">
        <f>'Cap Outlay Deprec 26'!I18</f>
        <v>400360</v>
      </c>
    </row>
    <row r="177" spans="1:7" ht="12" customHeight="1" x14ac:dyDescent="0.2">
      <c r="A177" s="1766"/>
      <c r="B177" s="1780"/>
      <c r="C177" s="1781"/>
      <c r="D177" s="1782" t="s">
        <v>2058</v>
      </c>
      <c r="E177" s="1783"/>
      <c r="F177" s="1785">
        <f>F175+F176</f>
        <v>4818851.8600000003</v>
      </c>
    </row>
    <row r="178" spans="1:7" ht="12" customHeight="1" x14ac:dyDescent="0.2">
      <c r="A178" s="1766"/>
      <c r="B178" s="1786"/>
      <c r="C178" s="1781"/>
      <c r="D178" s="1782" t="str">
        <f>D78</f>
        <v>9 Month ADA from District Average Daily Attendance/Prior General State Aid Inquiry 2018-2019</v>
      </c>
      <c r="E178" s="1783"/>
      <c r="F178" s="1787">
        <f>'PCTC-OEPP 27-28'!F78</f>
        <v>431.8</v>
      </c>
      <c r="G178" s="927"/>
    </row>
    <row r="179" spans="1:7" ht="12" customHeight="1" thickBot="1" x14ac:dyDescent="0.25">
      <c r="A179" s="1766"/>
      <c r="B179" s="1786"/>
      <c r="C179" s="1781"/>
      <c r="D179" s="1782" t="s">
        <v>2059</v>
      </c>
      <c r="E179" s="1783" t="s">
        <v>1545</v>
      </c>
      <c r="F179" s="1788">
        <f>F177/F178</f>
        <v>11159.916303844373</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0" t="s">
        <v>1819</v>
      </c>
      <c r="B6" s="1531"/>
      <c r="C6" s="1531"/>
      <c r="D6" s="1531"/>
      <c r="E6" s="1531"/>
      <c r="F6" s="1531"/>
      <c r="G6" s="1532"/>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3" t="s">
        <v>1820</v>
      </c>
      <c r="B10" s="1534"/>
      <c r="C10" s="1534"/>
      <c r="D10" s="1534"/>
      <c r="E10" s="1534"/>
      <c r="F10" s="1534"/>
      <c r="G10" s="1535"/>
    </row>
    <row r="11" spans="1:7" ht="17.25" customHeight="1" x14ac:dyDescent="0.25">
      <c r="A11" s="2294" t="s">
        <v>1934</v>
      </c>
      <c r="B11" s="2295"/>
      <c r="C11" s="2295"/>
      <c r="D11" s="2295"/>
      <c r="E11" s="2295"/>
      <c r="F11" s="2295"/>
      <c r="G11" s="2296"/>
    </row>
    <row r="12" spans="1:7" ht="15" customHeight="1" x14ac:dyDescent="0.25">
      <c r="A12" s="1533" t="s">
        <v>1825</v>
      </c>
      <c r="B12" s="1534"/>
      <c r="C12" s="1534"/>
      <c r="D12" s="1534"/>
      <c r="E12" s="1534"/>
      <c r="F12" s="1534"/>
      <c r="G12" s="1535"/>
    </row>
    <row r="13" spans="1:7" ht="32.25" customHeight="1" x14ac:dyDescent="0.25">
      <c r="A13" s="2285" t="s">
        <v>1976</v>
      </c>
      <c r="B13" s="2286"/>
      <c r="C13" s="2286"/>
      <c r="D13" s="2286"/>
      <c r="E13" s="2286"/>
      <c r="F13" s="2286"/>
      <c r="G13" s="2287"/>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56" t="s">
        <v>2127</v>
      </c>
      <c r="B17" s="1957" t="s">
        <v>2128</v>
      </c>
      <c r="C17" s="1958" t="s">
        <v>2129</v>
      </c>
      <c r="D17" s="1840">
        <v>600</v>
      </c>
      <c r="E17" s="1536">
        <f t="shared" ref="E17:E141" si="0">IF(D17&lt;=25000,D17,IF(D17&gt;25000,25000,0))</f>
        <v>600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600</v>
      </c>
      <c r="G17" s="1789">
        <f>IF(F17=0,0,D17-F17)</f>
        <v>0</v>
      </c>
      <c r="H17" s="1643"/>
    </row>
    <row r="18" spans="1:8" x14ac:dyDescent="0.25">
      <c r="A18" s="1956" t="s">
        <v>2130</v>
      </c>
      <c r="B18" s="1957" t="s">
        <v>1824</v>
      </c>
      <c r="C18" s="1958" t="s">
        <v>2131</v>
      </c>
      <c r="D18" s="1840">
        <v>65628</v>
      </c>
      <c r="E18" s="1536">
        <f t="shared" ref="E18:E140" si="2">IF(D18&lt;=25000,D18,IF(D18&gt;25000,25000,0))</f>
        <v>25000</v>
      </c>
      <c r="F18" s="1928">
        <f t="shared" si="1"/>
        <v>25000</v>
      </c>
      <c r="G18" s="1789">
        <f t="shared" ref="G18:G140" si="3">IF(F18=0,0,D18-F18)</f>
        <v>40628</v>
      </c>
    </row>
    <row r="19" spans="1:8" x14ac:dyDescent="0.25">
      <c r="A19" s="1956" t="s">
        <v>2130</v>
      </c>
      <c r="B19" s="1957" t="s">
        <v>1824</v>
      </c>
      <c r="C19" s="1958" t="s">
        <v>2132</v>
      </c>
      <c r="D19" s="1840">
        <v>37104</v>
      </c>
      <c r="E19" s="1536">
        <f t="shared" si="2"/>
        <v>25000</v>
      </c>
      <c r="F19" s="1928">
        <f t="shared" si="1"/>
        <v>25000</v>
      </c>
      <c r="G19" s="1789">
        <f t="shared" si="3"/>
        <v>12104</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103332</v>
      </c>
      <c r="E141" s="1537">
        <f t="shared" si="0"/>
        <v>25000</v>
      </c>
      <c r="F141" s="1929">
        <f>SUM(F17:F140)</f>
        <v>50600</v>
      </c>
      <c r="G141" s="1791">
        <f>SUM(G17:G140)</f>
        <v>52732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89753</v>
      </c>
      <c r="F10" s="971"/>
      <c r="G10" s="972"/>
      <c r="H10" s="162"/>
      <c r="I10" s="162"/>
    </row>
    <row r="11" spans="1:9" s="665" customFormat="1" ht="22.5" customHeight="1" x14ac:dyDescent="0.2">
      <c r="A11" s="2305" t="s">
        <v>1977</v>
      </c>
      <c r="B11" s="2306"/>
      <c r="C11" s="2306"/>
      <c r="D11" s="2307"/>
      <c r="E11" s="974">
        <v>10448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2824418</v>
      </c>
      <c r="F19" s="1795"/>
      <c r="G19" s="1797">
        <f>'Expenditures 15-22'!K33-SUM('Expenditures 15-22'!G33,'Expenditures 15-22'!I33)+'Expenditures 15-22'!D229</f>
        <v>2824418</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265635</v>
      </c>
      <c r="F21" s="1798"/>
      <c r="G21" s="1801">
        <f>'Expenditures 15-22'!K42-SUM('Expenditures 15-22'!G42,'Expenditures 15-22'!I42)+'Expenditures 15-22'!K120-SUM('Expenditures 15-22'!G120,'Expenditures 15-22'!I120)+'Expenditures 15-22'!K180-SUM('Expenditures 15-22'!G180,'Expenditures 15-22'!I180)+'Expenditures 15-22'!D238</f>
        <v>265635</v>
      </c>
      <c r="H21" s="984"/>
      <c r="I21" s="162"/>
    </row>
    <row r="22" spans="1:9" s="665" customFormat="1" ht="12" customHeight="1" x14ac:dyDescent="0.2">
      <c r="A22" s="991" t="s">
        <v>564</v>
      </c>
      <c r="B22" s="992"/>
      <c r="C22" s="990">
        <v>2200</v>
      </c>
      <c r="D22" s="1798"/>
      <c r="E22" s="1800">
        <f>'Expenditures 15-22'!K47-SUM('Expenditures 15-22'!G47,'Expenditures 15-22'!I47)+'Expenditures 15-22'!D243</f>
        <v>158235</v>
      </c>
      <c r="F22" s="1798"/>
      <c r="G22" s="1801">
        <f>'Expenditures 15-22'!K47-SUM('Expenditures 15-22'!G47,'Expenditures 15-22'!I47)+'Expenditures 15-22'!D243</f>
        <v>158235</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639220</v>
      </c>
      <c r="F23" s="1798"/>
      <c r="G23" s="1800">
        <f>'Expenditures 15-22'!K53-SUM('Expenditures 15-22'!G53,'Expenditures 15-22'!I53)+'Expenditures 15-22'!D257+'Expenditures 15-22'!K330-SUM('Expenditures 15-22'!G330,'Expenditures 15-22'!I330)</f>
        <v>639220</v>
      </c>
      <c r="H23" s="984"/>
      <c r="I23" s="162"/>
    </row>
    <row r="24" spans="1:9" s="665" customFormat="1" ht="12" customHeight="1" x14ac:dyDescent="0.2">
      <c r="A24" s="991" t="s">
        <v>566</v>
      </c>
      <c r="B24" s="992"/>
      <c r="C24" s="990">
        <v>2400</v>
      </c>
      <c r="D24" s="1798"/>
      <c r="E24" s="1800">
        <f>'Expenditures 15-22'!K57-SUM('Expenditures 15-22'!G57,'Expenditures 15-22'!I57)+'Expenditures 15-22'!D261</f>
        <v>319889</v>
      </c>
      <c r="F24" s="1798"/>
      <c r="G24" s="1801">
        <f>'Expenditures 15-22'!K57-SUM('Expenditures 15-22'!G57,'Expenditures 15-22'!I57)+'Expenditures 15-22'!D261</f>
        <v>319889</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66706</v>
      </c>
      <c r="E27" s="1800">
        <f>E8</f>
        <v>0</v>
      </c>
      <c r="F27" s="1800">
        <f>'Expenditures 15-22'!K60-SUM('Expenditures 15-22'!G60,'Expenditures 15-22'!I60)+'Expenditures 15-22'!D264-E8</f>
        <v>66706</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500675</v>
      </c>
      <c r="F28" s="1802">
        <f>'Expenditures 15-22'!K61-SUM('Expenditures 15-22'!G61,'Expenditures 15-22'!I61)+'Expenditures 15-22'!K124-SUM('Expenditures 15-22'!G124,'Expenditures 15-22'!I124)+'Expenditures 15-22'!D266-E9</f>
        <v>500675</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326019</v>
      </c>
      <c r="F29" s="1798"/>
      <c r="G29" s="1801">
        <f>'Expenditures 15-22'!K62-SUM('Expenditures 15-22'!G62,'Expenditures 15-22'!I62)+'Expenditures 15-22'!K125-SUM('Expenditures 15-22'!G125,'Expenditures 15-22'!I125)+'Expenditures 15-22'!K182-SUM('Expenditures 15-22'!G182,'Expenditures 15-22'!I182)+'Expenditures 15-22'!D267</f>
        <v>326019</v>
      </c>
      <c r="H29" s="982"/>
    </row>
    <row r="30" spans="1:9" ht="12" customHeight="1" x14ac:dyDescent="0.2">
      <c r="A30" s="991" t="s">
        <v>100</v>
      </c>
      <c r="B30" s="994"/>
      <c r="C30" s="990">
        <v>2560</v>
      </c>
      <c r="D30" s="1798"/>
      <c r="E30" s="1800">
        <f>'Expenditures 15-22'!K63-SUM('Expenditures 15-22'!G63,'Expenditures 15-22'!I63)+'Expenditures 15-22'!D268-E10</f>
        <v>91013</v>
      </c>
      <c r="F30" s="1798"/>
      <c r="G30" s="1800">
        <f>'Expenditures 15-22'!K63-SUM('Expenditures 15-22'!G63,'Expenditures 15-22'!I63)+'Expenditures 15-22'!D268-E10</f>
        <v>91013</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134968</v>
      </c>
      <c r="E37" s="1800">
        <f>E14</f>
        <v>0</v>
      </c>
      <c r="F37" s="1800">
        <f>'Expenditures 15-22'!K71-SUM('Expenditures 15-22'!G71,'Expenditures 15-22'!I71)+'Expenditures 15-22'!D276-E14</f>
        <v>134968</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3256</v>
      </c>
      <c r="F39" s="1798"/>
      <c r="G39" s="1800">
        <f>'Expenditures 15-22'!K75-SUM('Expenditures 15-22'!G75,'Expenditures 15-22'!I75)+'Expenditures 15-22'!K130-SUM('Expenditures 15-22'!G130,'Expenditures 15-22'!I130)+'Expenditures 15-22'!K185-SUM('Expenditures 15-22'!G185,'Expenditures 15-22'!I185)+'Expenditures 15-22'!D280</f>
        <v>3256</v>
      </c>
    </row>
    <row r="40" spans="1:7" ht="12" customHeight="1" x14ac:dyDescent="0.2">
      <c r="A40" s="987" t="s">
        <v>1823</v>
      </c>
      <c r="B40" s="988"/>
      <c r="C40" s="990"/>
      <c r="D40" s="1798"/>
      <c r="E40" s="1802">
        <f>-'Contracts Paid in CY 29'!G141</f>
        <v>-52732</v>
      </c>
      <c r="F40" s="1798"/>
      <c r="G40" s="1802">
        <f>-'Contracts Paid in CY 29'!G141</f>
        <v>-52732</v>
      </c>
    </row>
    <row r="41" spans="1:7" ht="12" customHeight="1" x14ac:dyDescent="0.2">
      <c r="A41" s="995" t="s">
        <v>156</v>
      </c>
      <c r="B41" s="996"/>
      <c r="C41" s="997"/>
      <c r="D41" s="1802">
        <f>SUM(D19:D39)</f>
        <v>201674</v>
      </c>
      <c r="E41" s="1802">
        <f>SUM(E19:E40)</f>
        <v>5075628</v>
      </c>
      <c r="F41" s="1802">
        <f>SUM(F19:F39)</f>
        <v>702349</v>
      </c>
      <c r="G41" s="1802">
        <f>SUM(G19:G40)</f>
        <v>4574953</v>
      </c>
    </row>
    <row r="42" spans="1:7" x14ac:dyDescent="0.2">
      <c r="A42" s="984"/>
      <c r="B42" s="162"/>
      <c r="C42" s="998"/>
      <c r="D42" s="2303" t="s">
        <v>522</v>
      </c>
      <c r="E42" s="2304"/>
      <c r="F42" s="999" t="s">
        <v>523</v>
      </c>
      <c r="G42" s="1000"/>
    </row>
    <row r="43" spans="1:7" ht="12" customHeight="1" x14ac:dyDescent="0.2">
      <c r="A43" s="984"/>
      <c r="B43" s="162"/>
      <c r="C43" s="998"/>
      <c r="D43" s="1803" t="s">
        <v>473</v>
      </c>
      <c r="E43" s="1804">
        <f>D41</f>
        <v>201674</v>
      </c>
      <c r="F43" s="1803" t="s">
        <v>473</v>
      </c>
      <c r="G43" s="1804">
        <f>F41</f>
        <v>702349</v>
      </c>
    </row>
    <row r="44" spans="1:7" ht="12" customHeight="1" x14ac:dyDescent="0.2">
      <c r="A44" s="984"/>
      <c r="B44" s="162"/>
      <c r="C44" s="998"/>
      <c r="D44" s="1803" t="s">
        <v>474</v>
      </c>
      <c r="E44" s="1804">
        <f>E41</f>
        <v>5075628</v>
      </c>
      <c r="F44" s="1803" t="s">
        <v>474</v>
      </c>
      <c r="G44" s="1804">
        <f>G41</f>
        <v>4574953</v>
      </c>
    </row>
    <row r="45" spans="1:7" ht="12" customHeight="1" x14ac:dyDescent="0.2">
      <c r="A45" s="984"/>
      <c r="B45" s="162"/>
      <c r="C45" s="162"/>
      <c r="D45" s="1805" t="s">
        <v>1006</v>
      </c>
      <c r="E45" s="1806">
        <f>(E43/E44)</f>
        <v>3.9733802398442125E-2</v>
      </c>
      <c r="F45" s="1805" t="s">
        <v>1006</v>
      </c>
      <c r="G45" s="1806">
        <f>(G43/G44)</f>
        <v>0.15352048425415518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A51" activeCellId="1" sqref="J31 AA51"/>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22" t="s">
        <v>1379</v>
      </c>
      <c r="B1" s="2322"/>
      <c r="C1" s="2322"/>
      <c r="D1" s="2322"/>
      <c r="E1" s="2322"/>
      <c r="F1" s="2322"/>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23" t="s">
        <v>1546</v>
      </c>
      <c r="B5" s="2324"/>
      <c r="C5" s="2325"/>
      <c r="D5" s="2325"/>
      <c r="E5" s="2325"/>
      <c r="F5" s="2325"/>
    </row>
    <row r="6" spans="1:10" ht="12" customHeight="1" x14ac:dyDescent="0.25">
      <c r="A6" s="1846"/>
      <c r="B6" s="1847"/>
      <c r="C6" s="2326" t="str">
        <f>COVER!A17</f>
        <v>Hiawatha CUSD 426</v>
      </c>
      <c r="D6" s="2326"/>
      <c r="E6" s="2326"/>
      <c r="F6" s="1848"/>
    </row>
    <row r="7" spans="1:10" ht="11.25" customHeight="1" thickBot="1" x14ac:dyDescent="0.3">
      <c r="A7" s="1846"/>
      <c r="B7" s="1847"/>
      <c r="C7" s="2327">
        <f>COVER!A13</f>
        <v>16019426026</v>
      </c>
      <c r="D7" s="2327"/>
      <c r="E7" s="2327"/>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t="s">
        <v>2070</v>
      </c>
      <c r="D15" s="1861" t="s">
        <v>2070</v>
      </c>
      <c r="E15" s="1864"/>
      <c r="F15" s="1863" t="s">
        <v>2094</v>
      </c>
      <c r="H15" s="1874">
        <f t="shared" si="0"/>
        <v>5</v>
      </c>
      <c r="I15" s="1874">
        <f t="shared" si="1"/>
        <v>5</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t="s">
        <v>2070</v>
      </c>
      <c r="D19" s="1861" t="s">
        <v>2070</v>
      </c>
      <c r="E19" s="1864"/>
      <c r="F19" s="1863" t="s">
        <v>2093</v>
      </c>
      <c r="H19" s="1874">
        <f t="shared" si="0"/>
        <v>5</v>
      </c>
      <c r="I19" s="1874">
        <f t="shared" si="1"/>
        <v>5</v>
      </c>
      <c r="J19" s="1874">
        <f t="shared" si="2"/>
        <v>0</v>
      </c>
    </row>
    <row r="20" spans="1:12" ht="12" customHeight="1" x14ac:dyDescent="0.2">
      <c r="A20" s="1859" t="s">
        <v>1528</v>
      </c>
      <c r="B20" s="1860"/>
      <c r="C20" s="1861" t="s">
        <v>2070</v>
      </c>
      <c r="D20" s="1861" t="s">
        <v>2070</v>
      </c>
      <c r="E20" s="1864"/>
      <c r="F20" s="1863" t="s">
        <v>2092</v>
      </c>
      <c r="H20" s="1874">
        <f t="shared" si="0"/>
        <v>5</v>
      </c>
      <c r="I20" s="1874">
        <f t="shared" si="1"/>
        <v>5</v>
      </c>
      <c r="J20" s="1874">
        <f t="shared" si="2"/>
        <v>0</v>
      </c>
    </row>
    <row r="21" spans="1:12" ht="12" customHeight="1" x14ac:dyDescent="0.2">
      <c r="A21" s="1859" t="s">
        <v>1529</v>
      </c>
      <c r="B21" s="1860"/>
      <c r="C21" s="1861" t="s">
        <v>2070</v>
      </c>
      <c r="D21" s="1861" t="s">
        <v>2070</v>
      </c>
      <c r="E21" s="1864"/>
      <c r="F21" s="1863" t="s">
        <v>2091</v>
      </c>
      <c r="H21" s="1874">
        <f t="shared" si="0"/>
        <v>5</v>
      </c>
      <c r="I21" s="1874">
        <f t="shared" si="1"/>
        <v>5</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t="s">
        <v>2070</v>
      </c>
      <c r="D23" s="1861" t="s">
        <v>2070</v>
      </c>
      <c r="E23" s="1864"/>
      <c r="F23" s="1863" t="s">
        <v>2090</v>
      </c>
      <c r="H23" s="1874">
        <f t="shared" si="0"/>
        <v>5</v>
      </c>
      <c r="I23" s="1874">
        <f t="shared" si="1"/>
        <v>5</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t="s">
        <v>2070</v>
      </c>
      <c r="D25" s="1861" t="s">
        <v>2070</v>
      </c>
      <c r="E25" s="1864"/>
      <c r="F25" s="1863" t="s">
        <v>2095</v>
      </c>
      <c r="H25" s="1874">
        <f t="shared" si="0"/>
        <v>5</v>
      </c>
      <c r="I25" s="1874">
        <f t="shared" si="1"/>
        <v>5</v>
      </c>
      <c r="J25" s="1874">
        <f t="shared" si="2"/>
        <v>0</v>
      </c>
    </row>
    <row r="26" spans="1:12" ht="12" customHeight="1" x14ac:dyDescent="0.2">
      <c r="A26" s="1859" t="s">
        <v>1534</v>
      </c>
      <c r="B26" s="1860"/>
      <c r="C26" s="1861" t="s">
        <v>2070</v>
      </c>
      <c r="D26" s="1861" t="s">
        <v>2070</v>
      </c>
      <c r="E26" s="1864"/>
      <c r="F26" s="1863" t="s">
        <v>2089</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2070</v>
      </c>
      <c r="D28" s="1861" t="s">
        <v>2070</v>
      </c>
      <c r="E28" s="1864"/>
      <c r="F28" s="1863" t="s">
        <v>2088</v>
      </c>
      <c r="H28" s="1874">
        <f t="shared" si="0"/>
        <v>5</v>
      </c>
      <c r="I28" s="1874">
        <f t="shared" si="1"/>
        <v>5</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t="s">
        <v>2070</v>
      </c>
      <c r="D31" s="1861" t="s">
        <v>2070</v>
      </c>
      <c r="E31" s="1864"/>
      <c r="F31" s="1863" t="s">
        <v>2087</v>
      </c>
      <c r="H31" s="1874">
        <f t="shared" si="0"/>
        <v>5</v>
      </c>
      <c r="I31" s="1874">
        <f t="shared" si="1"/>
        <v>5</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45</v>
      </c>
      <c r="I34" s="1874">
        <f>SUM(I11:I32)</f>
        <v>45</v>
      </c>
      <c r="J34" s="1874">
        <f>SUM(J11:J32)</f>
        <v>0</v>
      </c>
      <c r="K34" s="1874">
        <f>SUM(H34:J34)</f>
        <v>90</v>
      </c>
    </row>
    <row r="35" spans="1:11" ht="12" customHeight="1" x14ac:dyDescent="0.2">
      <c r="A35" s="1867" t="s">
        <v>1392</v>
      </c>
      <c r="B35" s="1868"/>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69"/>
      <c r="B39" s="1869"/>
      <c r="C39" s="1869"/>
      <c r="D39" s="1869"/>
      <c r="E39" s="1869"/>
      <c r="F39" s="1869"/>
    </row>
    <row r="40" spans="1:11" s="1866" customFormat="1" ht="12" customHeight="1" x14ac:dyDescent="0.25">
      <c r="A40" s="1870" t="s">
        <v>1391</v>
      </c>
      <c r="B40" s="1871"/>
      <c r="C40" s="2317"/>
      <c r="D40" s="2317"/>
      <c r="E40" s="2317"/>
      <c r="F40" s="2318"/>
      <c r="H40" s="1875"/>
      <c r="I40" s="1875"/>
      <c r="J40" s="1875"/>
      <c r="K40" s="1875"/>
    </row>
    <row r="41" spans="1:11" s="1866" customFormat="1" ht="12" customHeight="1" x14ac:dyDescent="0.25">
      <c r="A41" s="2319"/>
      <c r="B41" s="2320"/>
      <c r="C41" s="2320"/>
      <c r="D41" s="2320"/>
      <c r="E41" s="2320"/>
      <c r="F41" s="2321"/>
      <c r="H41" s="1875"/>
      <c r="I41" s="1875"/>
      <c r="J41" s="1875"/>
      <c r="K41" s="1875"/>
    </row>
    <row r="42" spans="1:11" s="1866" customFormat="1" ht="12" customHeight="1" x14ac:dyDescent="0.25">
      <c r="A42" s="2319"/>
      <c r="B42" s="2320"/>
      <c r="C42" s="2320"/>
      <c r="D42" s="2320"/>
      <c r="E42" s="2320"/>
      <c r="F42" s="2321"/>
      <c r="H42" s="1875"/>
      <c r="I42" s="1875"/>
      <c r="J42" s="1875"/>
      <c r="K42" s="1875"/>
    </row>
    <row r="43" spans="1:11" s="1866" customFormat="1" ht="15" x14ac:dyDescent="0.25">
      <c r="A43" s="2308"/>
      <c r="B43" s="2309"/>
      <c r="C43" s="2309"/>
      <c r="D43" s="2309"/>
      <c r="E43" s="2309"/>
      <c r="F43" s="2310"/>
      <c r="H43" s="1875"/>
      <c r="I43" s="1875"/>
      <c r="J43" s="1875"/>
      <c r="K43" s="1875"/>
    </row>
    <row r="44" spans="1:11" s="1866" customFormat="1" ht="12" hidden="1" customHeight="1" x14ac:dyDescent="0.25">
      <c r="A44" s="2308"/>
      <c r="B44" s="2309"/>
      <c r="C44" s="2309"/>
      <c r="D44" s="2309"/>
      <c r="E44" s="2309"/>
      <c r="F44" s="2310"/>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35" t="str">
        <f>COVER!A17</f>
        <v>Hiawatha CUSD 426</v>
      </c>
      <c r="J6" s="2336"/>
      <c r="Q6" s="1660"/>
    </row>
    <row r="7" spans="1:17" x14ac:dyDescent="0.2">
      <c r="A7" s="2337" t="s">
        <v>869</v>
      </c>
      <c r="B7" s="2338"/>
      <c r="C7" s="2338"/>
      <c r="D7" s="2338"/>
      <c r="E7" s="2339"/>
      <c r="F7" s="1014"/>
      <c r="G7" s="1006"/>
      <c r="H7" s="1013" t="s">
        <v>372</v>
      </c>
      <c r="I7" s="2340">
        <f>COVER!A13</f>
        <v>16019426026</v>
      </c>
      <c r="J7" s="2340"/>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236512</v>
      </c>
      <c r="F12" s="1036"/>
      <c r="G12" s="1807">
        <f t="shared" ref="G12:G18" si="0">SUM(E12:F12)</f>
        <v>236512</v>
      </c>
      <c r="H12" s="1037">
        <v>238756</v>
      </c>
      <c r="I12" s="1036"/>
      <c r="J12" s="1807">
        <f t="shared" ref="J12:J18" si="1">SUM(H12:I12)</f>
        <v>238756</v>
      </c>
    </row>
    <row r="13" spans="1:17" ht="15" customHeight="1" x14ac:dyDescent="0.2">
      <c r="A13" s="1032">
        <v>2</v>
      </c>
      <c r="B13" s="1033" t="s">
        <v>42</v>
      </c>
      <c r="C13" s="1034"/>
      <c r="D13" s="1035">
        <v>2330</v>
      </c>
      <c r="E13" s="1807">
        <f>'Expenditures 15-22'!K51</f>
        <v>118548</v>
      </c>
      <c r="F13" s="1036"/>
      <c r="G13" s="1807">
        <f t="shared" si="0"/>
        <v>118548</v>
      </c>
      <c r="H13" s="1037">
        <v>125570</v>
      </c>
      <c r="I13" s="1036"/>
      <c r="J13" s="1807">
        <f t="shared" si="1"/>
        <v>125570</v>
      </c>
    </row>
    <row r="14" spans="1:17" ht="15" customHeight="1" x14ac:dyDescent="0.2">
      <c r="A14" s="1032">
        <v>3</v>
      </c>
      <c r="B14" s="1033" t="s">
        <v>43</v>
      </c>
      <c r="C14" s="1034"/>
      <c r="D14" s="1038">
        <v>2490</v>
      </c>
      <c r="E14" s="1807">
        <f>'Expenditures 15-22'!K56</f>
        <v>36490</v>
      </c>
      <c r="F14" s="1036"/>
      <c r="G14" s="1807">
        <f t="shared" si="0"/>
        <v>36490</v>
      </c>
      <c r="H14" s="1037">
        <v>37512</v>
      </c>
      <c r="I14" s="1036"/>
      <c r="J14" s="1807">
        <f t="shared" si="1"/>
        <v>37512</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44" t="s">
        <v>7</v>
      </c>
      <c r="C18" s="2345"/>
      <c r="D18" s="2346"/>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391550</v>
      </c>
      <c r="F19" s="1809">
        <f t="shared" si="2"/>
        <v>0</v>
      </c>
      <c r="G19" s="1809">
        <f t="shared" si="2"/>
        <v>391550</v>
      </c>
      <c r="H19" s="1809">
        <f t="shared" si="2"/>
        <v>401838</v>
      </c>
      <c r="I19" s="1809">
        <f t="shared" si="2"/>
        <v>0</v>
      </c>
      <c r="J19" s="1809">
        <f t="shared" si="2"/>
        <v>401838</v>
      </c>
    </row>
    <row r="20" spans="1:10" ht="13.5" thickTop="1" x14ac:dyDescent="0.2">
      <c r="A20" s="1032">
        <v>9</v>
      </c>
      <c r="B20" s="2347" t="s">
        <v>1981</v>
      </c>
      <c r="C20" s="2347"/>
      <c r="D20" s="2348"/>
      <c r="E20" s="1043"/>
      <c r="F20" s="1043"/>
      <c r="G20" s="1043"/>
      <c r="H20" s="1043"/>
      <c r="I20" s="1043"/>
      <c r="J20" s="1810">
        <f>IF(AND(G19&gt;0,J19&gt;0),(((J19-G19)/G19)),"Enter Budget Data")</f>
        <v>2.6275060656365725E-2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2133</v>
      </c>
    </row>
    <row r="6" spans="1:2" x14ac:dyDescent="0.2">
      <c r="A6" s="1065">
        <v>2</v>
      </c>
      <c r="B6" s="329" t="s">
        <v>2134</v>
      </c>
    </row>
    <row r="7" spans="1:2" x14ac:dyDescent="0.2">
      <c r="A7" s="1065"/>
      <c r="B7" s="329" t="s">
        <v>2140</v>
      </c>
    </row>
    <row r="8" spans="1:2" x14ac:dyDescent="0.2">
      <c r="A8" s="1065">
        <v>3</v>
      </c>
      <c r="B8" s="329" t="s">
        <v>2135</v>
      </c>
    </row>
    <row r="9" spans="1:2" x14ac:dyDescent="0.2">
      <c r="A9" s="1065">
        <v>4</v>
      </c>
      <c r="B9" s="329" t="s">
        <v>2136</v>
      </c>
    </row>
    <row r="10" spans="1:2" x14ac:dyDescent="0.2">
      <c r="A10" s="1065">
        <v>5</v>
      </c>
      <c r="B10" s="329" t="s">
        <v>2137</v>
      </c>
    </row>
    <row r="11" spans="1:2" x14ac:dyDescent="0.2">
      <c r="A11" s="1065">
        <v>6</v>
      </c>
      <c r="B11" s="329" t="s">
        <v>2138</v>
      </c>
    </row>
    <row r="12" spans="1:2" x14ac:dyDescent="0.2">
      <c r="A12" s="1065">
        <v>7</v>
      </c>
      <c r="B12" s="329" t="s">
        <v>2139</v>
      </c>
    </row>
    <row r="13" spans="1:2" x14ac:dyDescent="0.2">
      <c r="A13" s="1065"/>
    </row>
    <row r="14" spans="1:2" x14ac:dyDescent="0.2">
      <c r="A14" s="1065"/>
    </row>
    <row r="15" spans="1:2" x14ac:dyDescent="0.2">
      <c r="A15" s="1065"/>
    </row>
    <row r="16" spans="1:2" x14ac:dyDescent="0.2">
      <c r="A16" s="1065"/>
    </row>
    <row r="17" spans="1:1" x14ac:dyDescent="0.2">
      <c r="A17" s="1065"/>
    </row>
    <row r="18" spans="1:1" x14ac:dyDescent="0.2">
      <c r="A18" s="1065"/>
    </row>
    <row r="19" spans="1:1" x14ac:dyDescent="0.2">
      <c r="A19" s="1065"/>
    </row>
    <row r="20" spans="1:1" x14ac:dyDescent="0.2">
      <c r="A20" s="1065"/>
    </row>
    <row r="21" spans="1:1" x14ac:dyDescent="0.2">
      <c r="A21" s="1065"/>
    </row>
    <row r="22" spans="1:1" x14ac:dyDescent="0.2">
      <c r="A22" s="1065"/>
    </row>
    <row r="23" spans="1:1" x14ac:dyDescent="0.2">
      <c r="A23" s="1065"/>
    </row>
    <row r="24" spans="1:1" x14ac:dyDescent="0.2">
      <c r="A24" s="1065"/>
    </row>
    <row r="25" spans="1:1" x14ac:dyDescent="0.2">
      <c r="A25" s="1065"/>
    </row>
    <row r="26" spans="1:1" x14ac:dyDescent="0.2">
      <c r="A26" s="1065"/>
    </row>
    <row r="27" spans="1:1" x14ac:dyDescent="0.2">
      <c r="A27" s="1065"/>
    </row>
    <row r="28" spans="1:1" x14ac:dyDescent="0.2">
      <c r="A28" s="1065"/>
    </row>
    <row r="29" spans="1:1" x14ac:dyDescent="0.2">
      <c r="A29" s="1065"/>
    </row>
    <row r="30" spans="1:1" x14ac:dyDescent="0.2">
      <c r="A30" s="1065"/>
    </row>
    <row r="31" spans="1:1" x14ac:dyDescent="0.2">
      <c r="A31" s="1065"/>
    </row>
    <row r="32" spans="1:1"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Hiawatha CUSD 426</v>
      </c>
    </row>
    <row r="65" spans="2:2" x14ac:dyDescent="0.2">
      <c r="B65" s="1066">
        <f>COVER!A13</f>
        <v>16019426026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54" t="s">
        <v>1685</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1" r:id="rId4">
          <objectPr defaultSize="0" r:id="rId5">
            <anchor moveWithCells="1">
              <from>
                <xdr:col>1</xdr:col>
                <xdr:colOff>581025</xdr:colOff>
                <xdr:row>4</xdr:row>
                <xdr:rowOff>47625</xdr:rowOff>
              </from>
              <to>
                <xdr:col>1</xdr:col>
                <xdr:colOff>1495425</xdr:colOff>
                <xdr:row>8</xdr:row>
                <xdr:rowOff>85725</xdr:rowOff>
              </to>
            </anchor>
          </objectPr>
        </oleObject>
      </mc:Choice>
      <mc:Fallback>
        <oleObject progId="Acrobat Document" dvAspect="DVASPECT_ICON" shapeId="37891" r:id="rId4"/>
      </mc:Fallback>
    </mc:AlternateContent>
    <mc:AlternateContent xmlns:mc="http://schemas.openxmlformats.org/markup-compatibility/2006">
      <mc:Choice Requires="x14">
        <oleObject progId="Acrobat Document" dvAspect="DVASPECT_ICON" shapeId="37892" r:id="rId6">
          <objectPr defaultSize="0" r:id="rId7">
            <anchor moveWithCells="1">
              <from>
                <xdr:col>1</xdr:col>
                <xdr:colOff>1628775</xdr:colOff>
                <xdr:row>4</xdr:row>
                <xdr:rowOff>47625</xdr:rowOff>
              </from>
              <to>
                <xdr:col>1</xdr:col>
                <xdr:colOff>2543175</xdr:colOff>
                <xdr:row>8</xdr:row>
                <xdr:rowOff>85725</xdr:rowOff>
              </to>
            </anchor>
          </objectPr>
        </oleObject>
      </mc:Choice>
      <mc:Fallback>
        <oleObject progId="Acrobat Document" dvAspect="DVASPECT_ICON" shapeId="3789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0"/>
      <c r="H2" s="1070"/>
    </row>
    <row r="3" spans="1:8" ht="57" customHeight="1" x14ac:dyDescent="0.2">
      <c r="A3" s="2368" t="s">
        <v>1686</v>
      </c>
      <c r="B3" s="2369"/>
      <c r="C3" s="2369"/>
      <c r="D3" s="2369"/>
      <c r="E3" s="2369"/>
      <c r="F3" s="2370"/>
      <c r="G3" s="1070"/>
      <c r="H3" s="1070"/>
    </row>
    <row r="4" spans="1:8" ht="14.25" customHeight="1" x14ac:dyDescent="0.2">
      <c r="A4" s="2374" t="s">
        <v>1988</v>
      </c>
      <c r="B4" s="2375"/>
      <c r="C4" s="2375"/>
      <c r="D4" s="2375"/>
      <c r="E4" s="2375"/>
      <c r="F4" s="2376"/>
      <c r="G4" s="1070"/>
      <c r="H4" s="1070"/>
    </row>
    <row r="5" spans="1:8" ht="14.25" customHeight="1" x14ac:dyDescent="0.2">
      <c r="A5" s="2377" t="s">
        <v>1984</v>
      </c>
      <c r="B5" s="2378"/>
      <c r="C5" s="2378"/>
      <c r="D5" s="2378"/>
      <c r="E5" s="2378"/>
      <c r="F5" s="2379"/>
      <c r="G5" s="1070"/>
      <c r="H5" s="1070"/>
    </row>
    <row r="6" spans="1:8" s="1071" customFormat="1" ht="41.25" customHeight="1" x14ac:dyDescent="0.2">
      <c r="A6" s="2371" t="s">
        <v>1691</v>
      </c>
      <c r="B6" s="2372"/>
      <c r="C6" s="2372"/>
      <c r="D6" s="2372"/>
      <c r="E6" s="2372"/>
      <c r="F6" s="2373"/>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5360454</v>
      </c>
      <c r="C8" s="1811">
        <f>'Acct Summary 7-8'!D8</f>
        <v>560534</v>
      </c>
      <c r="D8" s="1811">
        <f>'Acct Summary 7-8'!F8</f>
        <v>320836</v>
      </c>
      <c r="E8" s="1811">
        <f>'Acct Summary 7-8'!I8</f>
        <v>47080</v>
      </c>
      <c r="F8" s="1811">
        <f>SUM(B8:E8)</f>
        <v>6288904</v>
      </c>
    </row>
    <row r="9" spans="1:8" s="1075" customFormat="1" ht="14.25" customHeight="1" thickBot="1" x14ac:dyDescent="0.25">
      <c r="A9" s="1074" t="s">
        <v>1369</v>
      </c>
      <c r="B9" s="1812">
        <f>'Acct Summary 7-8'!C17</f>
        <v>4621931</v>
      </c>
      <c r="C9" s="1812">
        <f>'Acct Summary 7-8'!D17</f>
        <v>553561</v>
      </c>
      <c r="D9" s="1812">
        <f>'Acct Summary 7-8'!F17</f>
        <v>337104</v>
      </c>
      <c r="E9" s="1811"/>
      <c r="F9" s="1811">
        <f>SUM(B9:E9)</f>
        <v>5512596</v>
      </c>
    </row>
    <row r="10" spans="1:8" s="1075" customFormat="1" ht="14.25" thickTop="1" thickBot="1" x14ac:dyDescent="0.25">
      <c r="A10" s="1076" t="s">
        <v>1370</v>
      </c>
      <c r="B10" s="1813">
        <f>(B8-B9)</f>
        <v>738523</v>
      </c>
      <c r="C10" s="1813">
        <f>(C8-C9)</f>
        <v>6973</v>
      </c>
      <c r="D10" s="1813">
        <f>(D8-D9)</f>
        <v>-16268</v>
      </c>
      <c r="E10" s="1812">
        <f>(E8-E9)</f>
        <v>47080</v>
      </c>
      <c r="F10" s="1814">
        <f>SUM(F8-F9)</f>
        <v>776308</v>
      </c>
    </row>
    <row r="11" spans="1:8" s="1075" customFormat="1" ht="14.25" thickTop="1" thickBot="1" x14ac:dyDescent="0.25">
      <c r="A11" s="1077" t="s">
        <v>1985</v>
      </c>
      <c r="B11" s="1815">
        <f>'Acct Summary 7-8'!C81</f>
        <v>3945479</v>
      </c>
      <c r="C11" s="1815">
        <f>'Acct Summary 7-8'!D81</f>
        <v>573504</v>
      </c>
      <c r="D11" s="1815">
        <f>'Acct Summary 7-8'!F81</f>
        <v>366760</v>
      </c>
      <c r="E11" s="1815">
        <f>'Acct Summary 7-8'!I81</f>
        <v>526391</v>
      </c>
      <c r="F11" s="1816">
        <f>SUM(B11:E11)</f>
        <v>5412134</v>
      </c>
    </row>
    <row r="12" spans="1:8" ht="16.5" customHeight="1" thickTop="1" x14ac:dyDescent="0.2">
      <c r="A12" s="1078"/>
      <c r="B12" s="1079"/>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0"/>
      <c r="B13" s="1081"/>
      <c r="C13" s="2359"/>
      <c r="D13" s="2360"/>
      <c r="E13" s="2360"/>
      <c r="F13" s="2361"/>
      <c r="H13" s="1070"/>
    </row>
    <row r="14" spans="1:8" ht="19.5" customHeight="1" x14ac:dyDescent="0.2">
      <c r="A14" s="1080"/>
      <c r="B14" s="1081"/>
      <c r="C14" s="2359"/>
      <c r="D14" s="2360"/>
      <c r="E14" s="2360"/>
      <c r="F14" s="2361"/>
      <c r="H14" s="1070"/>
    </row>
    <row r="15" spans="1:8" ht="17.25" customHeight="1" x14ac:dyDescent="0.2">
      <c r="A15" s="1080"/>
      <c r="B15" s="1081"/>
      <c r="C15" s="2362"/>
      <c r="D15" s="2363"/>
      <c r="E15" s="2363"/>
      <c r="F15" s="2364"/>
      <c r="H15" s="1070"/>
    </row>
    <row r="16" spans="1:8" s="310" customFormat="1" ht="51.75" hidden="1" customHeight="1" x14ac:dyDescent="0.2">
      <c r="A16" s="2358" t="s">
        <v>1687</v>
      </c>
      <c r="B16" s="2358"/>
      <c r="C16" s="2358"/>
      <c r="D16" s="2358"/>
      <c r="E16" s="2358"/>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80" t="s">
        <v>665</v>
      </c>
      <c r="B3" s="2381"/>
      <c r="C3" s="2381"/>
      <c r="D3" s="2382"/>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91" t="s">
        <v>1504</v>
      </c>
      <c r="D7" s="2392"/>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95" t="s">
        <v>314</v>
      </c>
      <c r="D21" s="2396"/>
    </row>
    <row r="22" spans="1:10" ht="12.75" x14ac:dyDescent="0.2">
      <c r="A22" s="1135"/>
      <c r="B22" s="1136">
        <v>2</v>
      </c>
      <c r="C22" s="2393" t="s">
        <v>1524</v>
      </c>
      <c r="D22" s="2394"/>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97" t="s">
        <v>536</v>
      </c>
      <c r="D43" s="2398"/>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89" t="s">
        <v>784</v>
      </c>
      <c r="D56" s="2390"/>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89" t="s">
        <v>1696</v>
      </c>
      <c r="D70" s="2390"/>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OK</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16019426026</v>
      </c>
    </row>
    <row r="3" spans="1:2" x14ac:dyDescent="0.2">
      <c r="A3" t="s">
        <v>956</v>
      </c>
      <c r="B3" s="138" t="str">
        <f>COVER!A15</f>
        <v>DeKalb</v>
      </c>
    </row>
    <row r="4" spans="1:2" x14ac:dyDescent="0.2">
      <c r="A4" t="s">
        <v>1007</v>
      </c>
      <c r="B4" s="138" t="str">
        <f>COVER!A17</f>
        <v>Hiawatha CUSD 426</v>
      </c>
    </row>
    <row r="5" spans="1:2" x14ac:dyDescent="0.2">
      <c r="A5" t="s">
        <v>704</v>
      </c>
      <c r="B5" s="138" t="str">
        <f>COVER!A38</f>
        <v>Jared Poynter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2921200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3945479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3931568</v>
      </c>
      <c r="D92" s="2" t="str">
        <f t="shared" si="0"/>
        <v>Error?</v>
      </c>
    </row>
    <row r="93" spans="1:4" x14ac:dyDescent="0.2">
      <c r="A93" s="5">
        <v>32</v>
      </c>
      <c r="B93" s="138">
        <f>'Assets-Liab 5-6'!C41</f>
        <v>3945479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573504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573504</v>
      </c>
      <c r="D123" s="2" t="str">
        <f t="shared" si="0"/>
        <v>Error?</v>
      </c>
    </row>
    <row r="124" spans="1:4" x14ac:dyDescent="0.2">
      <c r="A124" s="5">
        <v>63</v>
      </c>
      <c r="B124" s="138">
        <f>'Assets-Liab 5-6'!D41</f>
        <v>573504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250000</v>
      </c>
      <c r="D129" s="2" t="str">
        <f t="shared" si="1"/>
        <v>Error?</v>
      </c>
    </row>
    <row r="130" spans="1:4" x14ac:dyDescent="0.2">
      <c r="A130" s="5">
        <v>69</v>
      </c>
      <c r="B130" s="138">
        <f>'Assets-Liab 5-6'!E12</f>
        <v>0</v>
      </c>
      <c r="D130" s="2" t="str">
        <f t="shared" si="1"/>
        <v>Error?</v>
      </c>
    </row>
    <row r="131" spans="1:4" x14ac:dyDescent="0.2">
      <c r="A131" s="5">
        <v>70</v>
      </c>
      <c r="B131" s="138">
        <f>'Assets-Liab 5-6'!E13</f>
        <v>278488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278488</v>
      </c>
      <c r="D140" s="2" t="str">
        <f t="shared" si="1"/>
        <v>Error?</v>
      </c>
    </row>
    <row r="141" spans="1:4" x14ac:dyDescent="0.2">
      <c r="A141" s="5">
        <v>80</v>
      </c>
      <c r="B141" s="138">
        <f>'Assets-Liab 5-6'!E41</f>
        <v>278488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223800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366760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366760</v>
      </c>
      <c r="D170" s="2" t="str">
        <f t="shared" si="1"/>
        <v>Error?</v>
      </c>
    </row>
    <row r="171" spans="1:4" x14ac:dyDescent="0.2">
      <c r="A171" s="5">
        <v>110</v>
      </c>
      <c r="B171" s="138">
        <f>'Assets-Liab 5-6'!F41</f>
        <v>366760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260000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315290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145267</v>
      </c>
      <c r="D189" s="2" t="str">
        <f t="shared" si="1"/>
        <v>Error?</v>
      </c>
    </row>
    <row r="190" spans="1:4" x14ac:dyDescent="0.2">
      <c r="A190" s="5">
        <v>129</v>
      </c>
      <c r="B190" s="138">
        <f>'Assets-Liab 5-6'!G41</f>
        <v>315290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131586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131586</v>
      </c>
      <c r="D212" s="2" t="str">
        <f t="shared" si="2"/>
        <v>Error?</v>
      </c>
    </row>
    <row r="213" spans="1:4" x14ac:dyDescent="0.2">
      <c r="A213" s="12">
        <v>152</v>
      </c>
      <c r="B213" s="138">
        <f>'Assets-Liab 5-6'!H41</f>
        <v>131586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347082</v>
      </c>
      <c r="D273" s="2" t="str">
        <f t="shared" si="3"/>
        <v>Error?</v>
      </c>
    </row>
    <row r="274" spans="1:4" x14ac:dyDescent="0.2">
      <c r="A274" s="5">
        <v>213</v>
      </c>
      <c r="B274" s="138">
        <f>'Assets-Liab 5-6'!M17</f>
        <v>12829602</v>
      </c>
      <c r="D274" s="2" t="str">
        <f t="shared" si="3"/>
        <v>Error?</v>
      </c>
    </row>
    <row r="275" spans="1:4" x14ac:dyDescent="0.2">
      <c r="A275" s="5">
        <v>214</v>
      </c>
      <c r="B275" s="138">
        <f>'Assets-Liab 5-6'!M18</f>
        <v>872493</v>
      </c>
      <c r="D275" s="2" t="str">
        <f t="shared" si="3"/>
        <v>Error?</v>
      </c>
    </row>
    <row r="276" spans="1:4" x14ac:dyDescent="0.2">
      <c r="A276" s="5">
        <v>215</v>
      </c>
      <c r="B276" s="138">
        <f>'Assets-Liab 5-6'!M19</f>
        <v>1476858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15583415</v>
      </c>
      <c r="C279" s="2" t="s">
        <v>573</v>
      </c>
      <c r="D279" s="2" t="str">
        <f t="shared" si="3"/>
        <v>Error?</v>
      </c>
    </row>
    <row r="280" spans="1:4" x14ac:dyDescent="0.2">
      <c r="A280" s="5">
        <v>219</v>
      </c>
      <c r="B280" s="138">
        <f>'Assets-Liab 5-6'!M40</f>
        <v>15583415</v>
      </c>
      <c r="D280" s="2" t="str">
        <f t="shared" si="3"/>
        <v>Error?</v>
      </c>
    </row>
    <row r="281" spans="1:4" x14ac:dyDescent="0.2">
      <c r="A281" s="5">
        <v>220</v>
      </c>
      <c r="B281" s="138">
        <f>'Assets-Liab 5-6'!M41</f>
        <v>15583415</v>
      </c>
      <c r="C281" s="2" t="s">
        <v>573</v>
      </c>
      <c r="D281" s="2" t="str">
        <f t="shared" si="3"/>
        <v>Error?</v>
      </c>
    </row>
    <row r="282" spans="1:4" x14ac:dyDescent="0.2">
      <c r="A282" s="5">
        <v>221</v>
      </c>
      <c r="B282" s="138">
        <f>'Assets-Liab 5-6'!N21</f>
        <v>278488</v>
      </c>
      <c r="D282" s="2" t="str">
        <f t="shared" si="3"/>
        <v>Error?</v>
      </c>
    </row>
    <row r="283" spans="1:4" x14ac:dyDescent="0.2">
      <c r="A283" s="5">
        <v>222</v>
      </c>
      <c r="B283" s="138">
        <f>'Assets-Liab 5-6'!N22</f>
        <v>4986512</v>
      </c>
      <c r="D283" s="2" t="str">
        <f t="shared" si="3"/>
        <v>Error?</v>
      </c>
    </row>
    <row r="284" spans="1:4" x14ac:dyDescent="0.2">
      <c r="A284" s="5">
        <v>223</v>
      </c>
      <c r="B284" s="138">
        <f>'Assets-Liab 5-6'!N23</f>
        <v>5265000</v>
      </c>
      <c r="C284" s="2" t="s">
        <v>573</v>
      </c>
      <c r="D284" s="2" t="str">
        <f t="shared" si="3"/>
        <v>Error?</v>
      </c>
    </row>
    <row r="285" spans="1:4" x14ac:dyDescent="0.2">
      <c r="A285" s="5">
        <v>224</v>
      </c>
      <c r="B285" s="138">
        <f>'Assets-Liab 5-6'!N36</f>
        <v>5265000</v>
      </c>
      <c r="D285" s="2" t="str">
        <f t="shared" si="3"/>
        <v>Error?</v>
      </c>
    </row>
    <row r="286" spans="1:4" x14ac:dyDescent="0.2">
      <c r="A286" s="10">
        <v>225</v>
      </c>
      <c r="D286" s="2" t="str">
        <f t="shared" si="3"/>
        <v>OK</v>
      </c>
    </row>
    <row r="287" spans="1:4" x14ac:dyDescent="0.2">
      <c r="A287" s="5">
        <v>226</v>
      </c>
      <c r="B287" s="138">
        <f>'Assets-Liab 5-6'!N37</f>
        <v>5265000</v>
      </c>
      <c r="C287" s="2" t="s">
        <v>573</v>
      </c>
      <c r="D287" s="2" t="str">
        <f t="shared" si="3"/>
        <v>Error?</v>
      </c>
    </row>
    <row r="288" spans="1:4" x14ac:dyDescent="0.2">
      <c r="A288" s="5">
        <v>227</v>
      </c>
      <c r="B288" s="138">
        <f>'Assets-Liab 5-6'!N41</f>
        <v>5265000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1363694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41424</v>
      </c>
      <c r="D717" s="2" t="str">
        <f t="shared" si="10"/>
        <v>Error?</v>
      </c>
    </row>
    <row r="718" spans="1:4" x14ac:dyDescent="0.2">
      <c r="A718" s="5">
        <v>657</v>
      </c>
      <c r="B718" s="138">
        <f>'Expenditures 15-22'!C14</f>
        <v>179312</v>
      </c>
      <c r="D718" s="2" t="str">
        <f t="shared" si="10"/>
        <v>Error?</v>
      </c>
    </row>
    <row r="719" spans="1:4" x14ac:dyDescent="0.2">
      <c r="A719" s="5">
        <v>658</v>
      </c>
      <c r="B719" s="138">
        <f>'Expenditures 15-22'!C15</f>
        <v>2794</v>
      </c>
      <c r="D719" s="2" t="str">
        <f t="shared" si="10"/>
        <v>Error?</v>
      </c>
    </row>
    <row r="720" spans="1:4" x14ac:dyDescent="0.2">
      <c r="A720" s="5">
        <v>659</v>
      </c>
      <c r="B720" s="138">
        <f>'Expenditures 15-22'!C33</f>
        <v>2004892</v>
      </c>
      <c r="C720" s="2" t="s">
        <v>573</v>
      </c>
      <c r="D720" s="2" t="str">
        <f t="shared" si="10"/>
        <v>Error?</v>
      </c>
    </row>
    <row r="721" spans="1:4" x14ac:dyDescent="0.2">
      <c r="A721" s="5">
        <v>660</v>
      </c>
      <c r="B721" s="138">
        <f>'Expenditures 15-22'!C36</f>
        <v>32723</v>
      </c>
      <c r="D721" s="2" t="str">
        <f t="shared" si="10"/>
        <v>Error?</v>
      </c>
    </row>
    <row r="722" spans="1:4" x14ac:dyDescent="0.2">
      <c r="A722" s="5">
        <v>661</v>
      </c>
      <c r="B722" s="138">
        <f>'Expenditures 15-22'!C37</f>
        <v>77210</v>
      </c>
      <c r="D722" s="2" t="str">
        <f t="shared" si="10"/>
        <v>Error?</v>
      </c>
    </row>
    <row r="723" spans="1:4" x14ac:dyDescent="0.2">
      <c r="A723" s="5">
        <v>662</v>
      </c>
      <c r="B723" s="138">
        <f>'Expenditures 15-22'!C38</f>
        <v>39294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48447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197674</v>
      </c>
      <c r="C727" s="2" t="s">
        <v>573</v>
      </c>
      <c r="D727" s="2" t="str">
        <f t="shared" si="10"/>
        <v>Error?</v>
      </c>
    </row>
    <row r="728" spans="1:4" x14ac:dyDescent="0.2">
      <c r="A728" s="5">
        <v>667</v>
      </c>
      <c r="B728" s="138">
        <f>'Expenditures 15-22'!C44</f>
        <v>3585</v>
      </c>
      <c r="D728" s="2" t="str">
        <f t="shared" si="10"/>
        <v>Error?</v>
      </c>
    </row>
    <row r="729" spans="1:4" x14ac:dyDescent="0.2">
      <c r="A729" s="5">
        <v>668</v>
      </c>
      <c r="B729" s="138">
        <f>'Expenditures 15-22'!C45</f>
        <v>94901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98486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174943</v>
      </c>
      <c r="D733" s="2" t="str">
        <f t="shared" si="10"/>
        <v>Error?</v>
      </c>
    </row>
    <row r="734" spans="1:4" x14ac:dyDescent="0.2">
      <c r="A734" s="5">
        <v>673</v>
      </c>
      <c r="B734" s="138">
        <f>'Expenditures 15-22'!C53</f>
        <v>270209</v>
      </c>
      <c r="C734" s="2" t="s">
        <v>573</v>
      </c>
      <c r="D734" s="2" t="str">
        <f t="shared" si="10"/>
        <v>Error?</v>
      </c>
    </row>
    <row r="735" spans="1:4" x14ac:dyDescent="0.2">
      <c r="A735" s="5">
        <v>674</v>
      </c>
      <c r="B735" s="138">
        <f>'Expenditures 15-22'!C55</f>
        <v>224327</v>
      </c>
      <c r="D735" s="2" t="str">
        <f t="shared" si="10"/>
        <v>Error?</v>
      </c>
    </row>
    <row r="736" spans="1:4" x14ac:dyDescent="0.2">
      <c r="A736" s="5">
        <v>675</v>
      </c>
      <c r="B736" s="138">
        <f>'Expenditures 15-22'!C56</f>
        <v>32475</v>
      </c>
      <c r="D736" s="2" t="str">
        <f t="shared" si="10"/>
        <v>Error?</v>
      </c>
    </row>
    <row r="737" spans="1:4" x14ac:dyDescent="0.2">
      <c r="A737" s="5">
        <v>676</v>
      </c>
      <c r="B737" s="138">
        <f>'Expenditures 15-22'!C57</f>
        <v>256802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44366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69072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113438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40375</v>
      </c>
      <c r="D751" s="2" t="str">
        <f t="shared" si="10"/>
        <v>Error?</v>
      </c>
    </row>
    <row r="752" spans="1:4" x14ac:dyDescent="0.2">
      <c r="A752" s="10">
        <v>691</v>
      </c>
      <c r="D752" s="2" t="str">
        <f t="shared" si="10"/>
        <v>OK</v>
      </c>
    </row>
    <row r="753" spans="1:4" x14ac:dyDescent="0.2">
      <c r="A753" s="5">
        <v>692</v>
      </c>
      <c r="B753" s="138">
        <f>'Expenditures 15-22'!C72</f>
        <v>40375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976984</v>
      </c>
      <c r="C755" s="2" t="s">
        <v>573</v>
      </c>
      <c r="D755" s="2" t="str">
        <f t="shared" si="10"/>
        <v>Error?</v>
      </c>
    </row>
    <row r="756" spans="1:4" x14ac:dyDescent="0.2">
      <c r="A756" s="5">
        <v>695</v>
      </c>
      <c r="B756" s="138">
        <f>'Expenditures 15-22'!C75</f>
        <v>2813</v>
      </c>
      <c r="D756" s="2" t="str">
        <f t="shared" si="10"/>
        <v>Error?</v>
      </c>
    </row>
    <row r="757" spans="1:4" x14ac:dyDescent="0.2">
      <c r="A757" s="5">
        <v>696</v>
      </c>
      <c r="B757" s="138">
        <f>'Expenditures 15-22'!C114</f>
        <v>2984689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348108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13678</v>
      </c>
      <c r="D775" s="2" t="str">
        <f t="shared" si="11"/>
        <v>Error?</v>
      </c>
    </row>
    <row r="776" spans="1:4" x14ac:dyDescent="0.2">
      <c r="A776" s="5">
        <v>715</v>
      </c>
      <c r="B776" s="138">
        <f>'Expenditures 15-22'!D14</f>
        <v>22754</v>
      </c>
      <c r="D776" s="2" t="str">
        <f t="shared" si="11"/>
        <v>Error?</v>
      </c>
    </row>
    <row r="777" spans="1:4" x14ac:dyDescent="0.2">
      <c r="A777" s="5">
        <v>716</v>
      </c>
      <c r="B777" s="138">
        <f>'Expenditures 15-22'!D15</f>
        <v>321</v>
      </c>
      <c r="D777" s="2" t="str">
        <f t="shared" si="11"/>
        <v>Error?</v>
      </c>
    </row>
    <row r="778" spans="1:4" x14ac:dyDescent="0.2">
      <c r="A778" s="5">
        <v>717</v>
      </c>
      <c r="B778" s="138">
        <f>'Expenditures 15-22'!D33</f>
        <v>496917</v>
      </c>
      <c r="C778" s="2" t="s">
        <v>573</v>
      </c>
      <c r="D778" s="2" t="str">
        <f t="shared" si="11"/>
        <v>Error?</v>
      </c>
    </row>
    <row r="779" spans="1:4" x14ac:dyDescent="0.2">
      <c r="A779" s="5">
        <v>718</v>
      </c>
      <c r="B779" s="138">
        <f>'Expenditures 15-22'!D36</f>
        <v>11929</v>
      </c>
      <c r="D779" s="2" t="str">
        <f t="shared" si="11"/>
        <v>Error?</v>
      </c>
    </row>
    <row r="780" spans="1:4" x14ac:dyDescent="0.2">
      <c r="A780" s="5">
        <v>719</v>
      </c>
      <c r="B780" s="138">
        <f>'Expenditures 15-22'!D37</f>
        <v>16385</v>
      </c>
      <c r="D780" s="2" t="str">
        <f t="shared" si="11"/>
        <v>Error?</v>
      </c>
    </row>
    <row r="781" spans="1:4" x14ac:dyDescent="0.2">
      <c r="A781" s="5">
        <v>720</v>
      </c>
      <c r="B781" s="138">
        <f>'Expenditures 15-22'!D38</f>
        <v>2375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6978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37667</v>
      </c>
      <c r="C785" s="2" t="s">
        <v>573</v>
      </c>
      <c r="D785" s="2" t="str">
        <f t="shared" si="11"/>
        <v>Error?</v>
      </c>
    </row>
    <row r="786" spans="1:4" x14ac:dyDescent="0.2">
      <c r="A786" s="5">
        <v>725</v>
      </c>
      <c r="B786" s="138">
        <f>'Expenditures 15-22'!D44</f>
        <v>321</v>
      </c>
      <c r="D786" s="2" t="str">
        <f t="shared" si="11"/>
        <v>Error?</v>
      </c>
    </row>
    <row r="787" spans="1:4" x14ac:dyDescent="0.2">
      <c r="A787" s="5">
        <v>726</v>
      </c>
      <c r="B787" s="138">
        <f>'Expenditures 15-22'!D45</f>
        <v>27310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27631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57081</v>
      </c>
      <c r="D791" s="2" t="str">
        <f t="shared" si="11"/>
        <v>Error?</v>
      </c>
    </row>
    <row r="792" spans="1:4" x14ac:dyDescent="0.2">
      <c r="A792" s="5">
        <v>731</v>
      </c>
      <c r="B792" s="138">
        <f>'Expenditures 15-22'!D53</f>
        <v>79732</v>
      </c>
      <c r="C792" s="2" t="s">
        <v>573</v>
      </c>
      <c r="D792" s="2" t="str">
        <f t="shared" si="11"/>
        <v>Error?</v>
      </c>
    </row>
    <row r="793" spans="1:4" x14ac:dyDescent="0.2">
      <c r="A793" s="5">
        <v>732</v>
      </c>
      <c r="B793" s="138">
        <f>'Expenditures 15-22'!D55</f>
        <v>47144</v>
      </c>
      <c r="D793" s="2" t="str">
        <f t="shared" si="11"/>
        <v>Error?</v>
      </c>
    </row>
    <row r="794" spans="1:4" x14ac:dyDescent="0.2">
      <c r="A794" s="5">
        <v>733</v>
      </c>
      <c r="B794" s="138">
        <f>'Expenditures 15-22'!D56</f>
        <v>3766</v>
      </c>
      <c r="D794" s="2" t="str">
        <f t="shared" si="11"/>
        <v>Error?</v>
      </c>
    </row>
    <row r="795" spans="1:4" x14ac:dyDescent="0.2">
      <c r="A795" s="5">
        <v>734</v>
      </c>
      <c r="B795" s="138">
        <f>'Expenditures 15-22'!D57</f>
        <v>50910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8848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8483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17331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6742</v>
      </c>
      <c r="D809" s="2" t="str">
        <f t="shared" si="11"/>
        <v>Error?</v>
      </c>
    </row>
    <row r="810" spans="1:4" x14ac:dyDescent="0.2">
      <c r="A810" s="10">
        <v>749</v>
      </c>
      <c r="D810" s="2" t="str">
        <f t="shared" si="11"/>
        <v>OK</v>
      </c>
    </row>
    <row r="811" spans="1:4" x14ac:dyDescent="0.2">
      <c r="A811" s="5">
        <v>750</v>
      </c>
      <c r="B811" s="138">
        <f>'Expenditures 15-22'!D72</f>
        <v>6742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220013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716930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43399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17584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89959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87</v>
      </c>
      <c r="D838" s="2" t="str">
        <f t="shared" si="12"/>
        <v>Error?</v>
      </c>
    </row>
    <row r="839" spans="1:4" x14ac:dyDescent="0.2">
      <c r="A839" s="5">
        <v>778</v>
      </c>
      <c r="B839" s="138">
        <f>'Expenditures 15-22'!E38</f>
        <v>352</v>
      </c>
      <c r="D839" s="2" t="str">
        <f t="shared" si="12"/>
        <v>Error?</v>
      </c>
    </row>
    <row r="840" spans="1:4" x14ac:dyDescent="0.2">
      <c r="A840" s="5">
        <v>779</v>
      </c>
      <c r="B840" s="138">
        <f>'Expenditures 15-22'!E39</f>
        <v>4200</v>
      </c>
      <c r="D840" s="2" t="str">
        <f t="shared" si="12"/>
        <v>Error?</v>
      </c>
    </row>
    <row r="841" spans="1:4" x14ac:dyDescent="0.2">
      <c r="A841" s="5">
        <v>780</v>
      </c>
      <c r="B841" s="138">
        <f>'Expenditures 15-22'!E40</f>
        <v>15633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20272</v>
      </c>
      <c r="C843" s="2" t="s">
        <v>573</v>
      </c>
      <c r="D843" s="2" t="str">
        <f t="shared" si="12"/>
        <v>Error?</v>
      </c>
    </row>
    <row r="844" spans="1:4" x14ac:dyDescent="0.2">
      <c r="A844" s="5">
        <v>783</v>
      </c>
      <c r="B844" s="138">
        <f>'Expenditures 15-22'!E44</f>
        <v>10209</v>
      </c>
      <c r="D844" s="2" t="str">
        <f t="shared" si="12"/>
        <v>Error?</v>
      </c>
    </row>
    <row r="845" spans="1:4" x14ac:dyDescent="0.2">
      <c r="A845" s="5">
        <v>784</v>
      </c>
      <c r="B845" s="138">
        <f>'Expenditures 15-22'!E45</f>
        <v>279</v>
      </c>
      <c r="D845" s="2" t="str">
        <f t="shared" si="12"/>
        <v>Error?</v>
      </c>
    </row>
    <row r="846" spans="1:4" x14ac:dyDescent="0.2">
      <c r="A846" s="5">
        <v>785</v>
      </c>
      <c r="B846" s="138">
        <f>'Expenditures 15-22'!E46</f>
        <v>5363</v>
      </c>
      <c r="D846" s="2" t="str">
        <f t="shared" si="12"/>
        <v>Error?</v>
      </c>
    </row>
    <row r="847" spans="1:4" x14ac:dyDescent="0.2">
      <c r="A847" s="5">
        <v>786</v>
      </c>
      <c r="B847" s="138">
        <f>'Expenditures 15-22'!E47</f>
        <v>15851</v>
      </c>
      <c r="C847" s="2" t="s">
        <v>573</v>
      </c>
      <c r="D847" s="2" t="str">
        <f t="shared" si="12"/>
        <v>Error?</v>
      </c>
    </row>
    <row r="848" spans="1:4" x14ac:dyDescent="0.2">
      <c r="A848" s="5">
        <v>787</v>
      </c>
      <c r="B848" s="138">
        <f>'Expenditures 15-22'!E49</f>
        <v>37179</v>
      </c>
      <c r="D848" s="2" t="str">
        <f t="shared" si="12"/>
        <v>Error?</v>
      </c>
    </row>
    <row r="849" spans="1:4" x14ac:dyDescent="0.2">
      <c r="A849" s="5">
        <v>788</v>
      </c>
      <c r="B849" s="138">
        <f>'Expenditures 15-22'!E50</f>
        <v>1214</v>
      </c>
      <c r="D849" s="2" t="str">
        <f t="shared" si="12"/>
        <v>Error?</v>
      </c>
    </row>
    <row r="850" spans="1:4" x14ac:dyDescent="0.2">
      <c r="A850" s="5">
        <v>789</v>
      </c>
      <c r="B850" s="138">
        <f>'Expenditures 15-22'!E53</f>
        <v>39024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249</v>
      </c>
      <c r="D852" s="2" t="str">
        <f t="shared" si="12"/>
        <v>Error?</v>
      </c>
    </row>
    <row r="853" spans="1:4" x14ac:dyDescent="0.2">
      <c r="A853" s="5">
        <v>792</v>
      </c>
      <c r="B853" s="138">
        <f>'Expenditures 15-22'!E57</f>
        <v>249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4345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69542</v>
      </c>
      <c r="D867" s="2" t="str">
        <f t="shared" si="12"/>
        <v>Error?</v>
      </c>
    </row>
    <row r="868" spans="1:4" x14ac:dyDescent="0.2">
      <c r="A868" s="10">
        <v>807</v>
      </c>
      <c r="D868" s="2" t="str">
        <f t="shared" si="12"/>
        <v>OK</v>
      </c>
    </row>
    <row r="869" spans="1:4" x14ac:dyDescent="0.2">
      <c r="A869" s="5">
        <v>808</v>
      </c>
      <c r="B869" s="138">
        <f>'Expenditures 15-22'!E72</f>
        <v>69542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149283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383387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25759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3610</v>
      </c>
      <c r="D891" s="2" t="str">
        <f t="shared" si="12"/>
        <v>Error?</v>
      </c>
    </row>
    <row r="892" spans="1:4" x14ac:dyDescent="0.2">
      <c r="A892" s="5">
        <v>831</v>
      </c>
      <c r="B892" s="138">
        <f>'Expenditures 15-22'!F14</f>
        <v>13398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68846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200</v>
      </c>
      <c r="D896" s="2" t="str">
        <f t="shared" si="13"/>
        <v>Error?</v>
      </c>
    </row>
    <row r="897" spans="1:4" x14ac:dyDescent="0.2">
      <c r="A897" s="5">
        <v>836</v>
      </c>
      <c r="B897" s="138">
        <f>'Expenditures 15-22'!F38</f>
        <v>723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923</v>
      </c>
      <c r="C901" s="2" t="s">
        <v>573</v>
      </c>
      <c r="D901" s="2" t="str">
        <f t="shared" si="13"/>
        <v>Error?</v>
      </c>
    </row>
    <row r="902" spans="1:4" x14ac:dyDescent="0.2">
      <c r="A902" s="5">
        <v>841</v>
      </c>
      <c r="B902" s="138">
        <f>'Expenditures 15-22'!F44</f>
        <v>8690</v>
      </c>
      <c r="D902" s="2" t="str">
        <f t="shared" si="13"/>
        <v>Error?</v>
      </c>
    </row>
    <row r="903" spans="1:4" x14ac:dyDescent="0.2">
      <c r="A903" s="5">
        <v>842</v>
      </c>
      <c r="B903" s="138">
        <f>'Expenditures 15-22'!F45</f>
        <v>1568</v>
      </c>
      <c r="D903" s="2" t="str">
        <f t="shared" si="13"/>
        <v>Error?</v>
      </c>
    </row>
    <row r="904" spans="1:4" x14ac:dyDescent="0.2">
      <c r="A904" s="5">
        <v>843</v>
      </c>
      <c r="B904" s="138">
        <f>'Expenditures 15-22'!F46</f>
        <v>89</v>
      </c>
      <c r="D904" s="2" t="str">
        <f t="shared" si="13"/>
        <v>Error?</v>
      </c>
    </row>
    <row r="905" spans="1:4" x14ac:dyDescent="0.2">
      <c r="A905" s="5">
        <v>844</v>
      </c>
      <c r="B905" s="138">
        <f>'Expenditures 15-22'!F47</f>
        <v>10347</v>
      </c>
      <c r="C905" s="2" t="s">
        <v>573</v>
      </c>
      <c r="D905" s="2" t="str">
        <f t="shared" si="13"/>
        <v>Error?</v>
      </c>
    </row>
    <row r="906" spans="1:4" x14ac:dyDescent="0.2">
      <c r="A906" s="5">
        <v>845</v>
      </c>
      <c r="B906" s="138">
        <f>'Expenditures 15-22'!F49</f>
        <v>2508</v>
      </c>
      <c r="D906" s="2" t="str">
        <f t="shared" si="13"/>
        <v>Error?</v>
      </c>
    </row>
    <row r="907" spans="1:4" x14ac:dyDescent="0.2">
      <c r="A907" s="5">
        <v>846</v>
      </c>
      <c r="B907" s="138">
        <f>'Expenditures 15-22'!F50</f>
        <v>972</v>
      </c>
      <c r="D907" s="2" t="str">
        <f t="shared" si="13"/>
        <v>Error?</v>
      </c>
    </row>
    <row r="908" spans="1:4" x14ac:dyDescent="0.2">
      <c r="A908" s="5">
        <v>847</v>
      </c>
      <c r="B908" s="138">
        <f>'Expenditures 15-22'!F53</f>
        <v>3480</v>
      </c>
      <c r="C908" s="2" t="s">
        <v>573</v>
      </c>
      <c r="D908" s="2" t="str">
        <f t="shared" si="13"/>
        <v>Error?</v>
      </c>
    </row>
    <row r="909" spans="1:4" x14ac:dyDescent="0.2">
      <c r="A909" s="5">
        <v>848</v>
      </c>
      <c r="B909" s="138">
        <f>'Expenditures 15-22'!F55</f>
        <v>928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928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89878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91122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11496</v>
      </c>
      <c r="D925" s="2" t="str">
        <f t="shared" si="13"/>
        <v>Error?</v>
      </c>
    </row>
    <row r="926" spans="1:4" x14ac:dyDescent="0.2">
      <c r="A926" s="10">
        <v>865</v>
      </c>
      <c r="D926" s="2" t="str">
        <f t="shared" si="13"/>
        <v>OK</v>
      </c>
    </row>
    <row r="927" spans="1:4" x14ac:dyDescent="0.2">
      <c r="A927" s="5">
        <v>866</v>
      </c>
      <c r="B927" s="138">
        <f>'Expenditures 15-22'!F72</f>
        <v>11496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118296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187142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62600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4828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67428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44950</v>
      </c>
      <c r="D983" s="2" t="str">
        <f t="shared" si="14"/>
        <v>Error?</v>
      </c>
    </row>
    <row r="984" spans="1:4" x14ac:dyDescent="0.2">
      <c r="A984" s="10">
        <v>923</v>
      </c>
      <c r="D984" s="2" t="str">
        <f t="shared" si="14"/>
        <v>OK</v>
      </c>
    </row>
    <row r="985" spans="1:4" x14ac:dyDescent="0.2">
      <c r="A985" s="5">
        <v>924</v>
      </c>
      <c r="B985" s="138">
        <f>'Expenditures 15-22'!G72</f>
        <v>44950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44950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112378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107333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246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3657</v>
      </c>
      <c r="D1022" s="2" t="str">
        <f t="shared" si="14"/>
        <v>Error?</v>
      </c>
    </row>
    <row r="1023" spans="1:4" x14ac:dyDescent="0.2">
      <c r="A1023" s="5">
        <v>962</v>
      </c>
      <c r="B1023" s="138">
        <f>'Expenditures 15-22'!H50</f>
        <v>2302</v>
      </c>
      <c r="D1023" s="2" t="str">
        <f t="shared" ref="D1023:D1086" si="15">IF(ISBLANK(B1023),"OK",IF(A1023-B1023=0,"OK","Error?"))</f>
        <v>Error?</v>
      </c>
    </row>
    <row r="1024" spans="1:4" x14ac:dyDescent="0.2">
      <c r="A1024" s="5">
        <v>963</v>
      </c>
      <c r="B1024" s="138">
        <f>'Expenditures 15-22'!H53</f>
        <v>5959</v>
      </c>
      <c r="C1024" s="2" t="s">
        <v>573</v>
      </c>
      <c r="D1024" s="2" t="str">
        <f t="shared" si="15"/>
        <v>Error?</v>
      </c>
    </row>
    <row r="1025" spans="1:4" x14ac:dyDescent="0.2">
      <c r="A1025" s="5">
        <v>964</v>
      </c>
      <c r="B1025" s="138">
        <f>'Expenditures 15-22'!H55</f>
        <v>306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8537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121535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237405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1845301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58712</v>
      </c>
      <c r="C1105" s="2" t="s">
        <v>573</v>
      </c>
      <c r="D1105" s="2" t="str">
        <f t="shared" si="16"/>
        <v>Error?</v>
      </c>
    </row>
    <row r="1106" spans="1:4" x14ac:dyDescent="0.2">
      <c r="A1106" s="5">
        <v>1045</v>
      </c>
      <c r="B1106" s="138">
        <f>'Expenditures 15-22'!K14</f>
        <v>240736</v>
      </c>
      <c r="C1106" s="2" t="s">
        <v>573</v>
      </c>
      <c r="D1106" s="2" t="str">
        <f t="shared" si="16"/>
        <v>Error?</v>
      </c>
    </row>
    <row r="1107" spans="1:4" x14ac:dyDescent="0.2">
      <c r="A1107" s="5">
        <v>1046</v>
      </c>
      <c r="B1107" s="138">
        <f>'Expenditures 15-22'!K15</f>
        <v>3115</v>
      </c>
      <c r="C1107" s="2" t="s">
        <v>573</v>
      </c>
      <c r="D1107" s="2" t="str">
        <f t="shared" si="16"/>
        <v>Error?</v>
      </c>
    </row>
    <row r="1108" spans="1:4" x14ac:dyDescent="0.2">
      <c r="A1108" s="5">
        <v>1047</v>
      </c>
      <c r="B1108" s="138">
        <f>'Expenditures 15-22'!K33</f>
        <v>2835375</v>
      </c>
      <c r="C1108" s="2" t="s">
        <v>573</v>
      </c>
      <c r="D1108" s="2" t="str">
        <f t="shared" si="16"/>
        <v>Error?</v>
      </c>
    </row>
    <row r="1109" spans="1:4" x14ac:dyDescent="0.2">
      <c r="A1109" s="5">
        <v>1048</v>
      </c>
      <c r="B1109" s="138">
        <f>'Expenditures 15-22'!K36</f>
        <v>44652</v>
      </c>
      <c r="C1109" s="2" t="s">
        <v>573</v>
      </c>
      <c r="D1109" s="2" t="str">
        <f t="shared" si="16"/>
        <v>Error?</v>
      </c>
    </row>
    <row r="1110" spans="1:4" x14ac:dyDescent="0.2">
      <c r="A1110" s="5">
        <v>1049</v>
      </c>
      <c r="B1110" s="138">
        <f>'Expenditures 15-22'!K37</f>
        <v>93882</v>
      </c>
      <c r="C1110" s="2" t="s">
        <v>573</v>
      </c>
      <c r="D1110" s="2" t="str">
        <f t="shared" si="16"/>
        <v>Error?</v>
      </c>
    </row>
    <row r="1111" spans="1:4" x14ac:dyDescent="0.2">
      <c r="A1111" s="5">
        <v>1050</v>
      </c>
      <c r="B1111" s="138">
        <f>'Expenditures 15-22'!K38</f>
        <v>42990</v>
      </c>
      <c r="C1111" s="2" t="s">
        <v>573</v>
      </c>
      <c r="D1111" s="2" t="str">
        <f t="shared" si="16"/>
        <v>Error?</v>
      </c>
    </row>
    <row r="1112" spans="1:4" x14ac:dyDescent="0.2">
      <c r="A1112" s="5">
        <v>1051</v>
      </c>
      <c r="B1112" s="138">
        <f>'Expenditures 15-22'!K39</f>
        <v>4200</v>
      </c>
      <c r="C1112" s="2" t="s">
        <v>573</v>
      </c>
      <c r="D1112" s="2" t="str">
        <f t="shared" si="16"/>
        <v>Error?</v>
      </c>
    </row>
    <row r="1113" spans="1:4" x14ac:dyDescent="0.2">
      <c r="A1113" s="5">
        <v>1052</v>
      </c>
      <c r="B1113" s="138">
        <f>'Expenditures 15-22'!K40</f>
        <v>71058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256782</v>
      </c>
      <c r="C1115" s="2" t="s">
        <v>573</v>
      </c>
      <c r="D1115" s="2" t="str">
        <f t="shared" si="16"/>
        <v>Error?</v>
      </c>
    </row>
    <row r="1116" spans="1:4" x14ac:dyDescent="0.2">
      <c r="A1116" s="5">
        <v>1055</v>
      </c>
      <c r="B1116" s="138">
        <f>'Expenditures 15-22'!K44</f>
        <v>22805</v>
      </c>
      <c r="C1116" s="2" t="s">
        <v>573</v>
      </c>
      <c r="D1116" s="2" t="str">
        <f t="shared" si="16"/>
        <v>Error?</v>
      </c>
    </row>
    <row r="1117" spans="1:4" x14ac:dyDescent="0.2">
      <c r="A1117" s="5">
        <v>1056</v>
      </c>
      <c r="B1117" s="138">
        <f>'Expenditures 15-22'!K45</f>
        <v>124058</v>
      </c>
      <c r="C1117" s="2" t="s">
        <v>573</v>
      </c>
      <c r="D1117" s="2" t="str">
        <f t="shared" si="16"/>
        <v>Error?</v>
      </c>
    </row>
    <row r="1118" spans="1:4" x14ac:dyDescent="0.2">
      <c r="A1118" s="5">
        <v>1057</v>
      </c>
      <c r="B1118" s="138">
        <f>'Expenditures 15-22'!K46</f>
        <v>5452</v>
      </c>
      <c r="C1118" s="2" t="s">
        <v>573</v>
      </c>
      <c r="D1118" s="2" t="str">
        <f t="shared" si="16"/>
        <v>Error?</v>
      </c>
    </row>
    <row r="1119" spans="1:4" x14ac:dyDescent="0.2">
      <c r="A1119" s="5">
        <v>1058</v>
      </c>
      <c r="B1119" s="138">
        <f>'Expenditures 15-22'!K47</f>
        <v>152315</v>
      </c>
      <c r="C1119" s="2" t="s">
        <v>573</v>
      </c>
      <c r="D1119" s="2" t="str">
        <f t="shared" si="16"/>
        <v>Error?</v>
      </c>
    </row>
    <row r="1120" spans="1:4" x14ac:dyDescent="0.2">
      <c r="A1120" s="5">
        <v>1059</v>
      </c>
      <c r="B1120" s="138">
        <f>'Expenditures 15-22'!K49</f>
        <v>43344</v>
      </c>
      <c r="C1120" s="2" t="s">
        <v>573</v>
      </c>
      <c r="D1120" s="2" t="str">
        <f t="shared" si="16"/>
        <v>Error?</v>
      </c>
    </row>
    <row r="1121" spans="1:4" x14ac:dyDescent="0.2">
      <c r="A1121" s="5">
        <v>1060</v>
      </c>
      <c r="B1121" s="138">
        <f>'Expenditures 15-22'!K50</f>
        <v>236512</v>
      </c>
      <c r="C1121" s="2" t="s">
        <v>573</v>
      </c>
      <c r="D1121" s="2" t="str">
        <f t="shared" si="16"/>
        <v>Error?</v>
      </c>
    </row>
    <row r="1122" spans="1:4" x14ac:dyDescent="0.2">
      <c r="A1122" s="5">
        <v>1061</v>
      </c>
      <c r="B1122" s="138">
        <f>'Expenditures 15-22'!K53</f>
        <v>398404</v>
      </c>
      <c r="C1122" s="2" t="s">
        <v>573</v>
      </c>
      <c r="D1122" s="2" t="str">
        <f t="shared" si="16"/>
        <v>Error?</v>
      </c>
    </row>
    <row r="1123" spans="1:4" x14ac:dyDescent="0.2">
      <c r="A1123" s="5">
        <v>1062</v>
      </c>
      <c r="B1123" s="138">
        <f>'Expenditures 15-22'!K55</f>
        <v>272705</v>
      </c>
      <c r="C1123" s="2" t="s">
        <v>573</v>
      </c>
      <c r="D1123" s="2" t="str">
        <f t="shared" si="16"/>
        <v>Error?</v>
      </c>
    </row>
    <row r="1124" spans="1:4" x14ac:dyDescent="0.2">
      <c r="A1124" s="5">
        <v>1063</v>
      </c>
      <c r="B1124" s="138">
        <f>'Expenditures 15-22'!K56</f>
        <v>36490</v>
      </c>
      <c r="C1124" s="2" t="s">
        <v>573</v>
      </c>
      <c r="D1124" s="2" t="str">
        <f t="shared" si="16"/>
        <v>Error?</v>
      </c>
    </row>
    <row r="1125" spans="1:4" x14ac:dyDescent="0.2">
      <c r="A1125" s="5">
        <v>1064</v>
      </c>
      <c r="B1125" s="138">
        <f>'Expenditures 15-22'!K57</f>
        <v>309195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59183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169079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228262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173105</v>
      </c>
      <c r="C1139" s="2" t="s">
        <v>573</v>
      </c>
      <c r="D1139" s="2" t="str">
        <f t="shared" si="16"/>
        <v>Error?</v>
      </c>
    </row>
    <row r="1140" spans="1:4" x14ac:dyDescent="0.2">
      <c r="A1140" s="10">
        <v>1079</v>
      </c>
      <c r="D1140" s="2" t="str">
        <f t="shared" si="16"/>
        <v>OK</v>
      </c>
    </row>
    <row r="1141" spans="1:4" x14ac:dyDescent="0.2">
      <c r="A1141" s="5">
        <v>1080</v>
      </c>
      <c r="B1141" s="138">
        <f>'Expenditures 15-22'!K72</f>
        <v>173105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1518063</v>
      </c>
      <c r="C1143" s="2" t="s">
        <v>573</v>
      </c>
      <c r="D1143" s="2" t="str">
        <f t="shared" si="16"/>
        <v>Error?</v>
      </c>
    </row>
    <row r="1144" spans="1:4" x14ac:dyDescent="0.2">
      <c r="A1144" s="5">
        <v>1083</v>
      </c>
      <c r="B1144" s="138">
        <f>'Expenditures 15-22'!K75</f>
        <v>2813</v>
      </c>
      <c r="C1144" s="2" t="s">
        <v>573</v>
      </c>
      <c r="D1144" s="2" t="str">
        <f t="shared" si="16"/>
        <v>Error?</v>
      </c>
    </row>
    <row r="1145" spans="1:4" x14ac:dyDescent="0.2">
      <c r="A1145" s="5">
        <v>1084</v>
      </c>
      <c r="B1145" s="138">
        <f>'Expenditures 15-22'!K102</f>
        <v>265680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4621931</v>
      </c>
      <c r="C1152" s="2" t="s">
        <v>573</v>
      </c>
      <c r="D1152" s="2" t="str">
        <f t="shared" si="17"/>
        <v>Error?</v>
      </c>
    </row>
    <row r="1153" spans="1:4" x14ac:dyDescent="0.2">
      <c r="A1153" s="5">
        <v>1092</v>
      </c>
      <c r="B1153" s="138">
        <f>'Expenditures 15-22'!K115</f>
        <v>738523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197053</v>
      </c>
      <c r="D1221" s="2" t="str">
        <f t="shared" si="18"/>
        <v>Error?</v>
      </c>
    </row>
    <row r="1222" spans="1:4" x14ac:dyDescent="0.2">
      <c r="A1222" s="10">
        <v>1161</v>
      </c>
      <c r="D1222" s="2" t="str">
        <f t="shared" si="18"/>
        <v>OK</v>
      </c>
    </row>
    <row r="1223" spans="1:4" x14ac:dyDescent="0.2">
      <c r="A1223" s="5">
        <v>1162</v>
      </c>
      <c r="B1223" s="138">
        <f>'Expenditures 15-22'!C127</f>
        <v>197053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197053</v>
      </c>
      <c r="C1225" s="2" t="s">
        <v>573</v>
      </c>
      <c r="D1225" s="2" t="str">
        <f t="shared" si="18"/>
        <v>Error?</v>
      </c>
    </row>
    <row r="1226" spans="1:4" x14ac:dyDescent="0.2">
      <c r="A1226" s="5">
        <v>1165</v>
      </c>
      <c r="B1226" s="138">
        <f>'Expenditures 15-22'!C151</f>
        <v>197053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56997</v>
      </c>
      <c r="D1229" s="2" t="str">
        <f t="shared" si="18"/>
        <v>Error?</v>
      </c>
    </row>
    <row r="1230" spans="1:4" x14ac:dyDescent="0.2">
      <c r="A1230" s="10">
        <v>1169</v>
      </c>
      <c r="D1230" s="2" t="str">
        <f t="shared" si="18"/>
        <v>OK</v>
      </c>
    </row>
    <row r="1231" spans="1:4" x14ac:dyDescent="0.2">
      <c r="A1231" s="5">
        <v>1170</v>
      </c>
      <c r="B1231" s="138">
        <f>'Expenditures 15-22'!D127</f>
        <v>56997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56997</v>
      </c>
      <c r="C1233" s="2" t="s">
        <v>573</v>
      </c>
      <c r="D1233" s="2" t="str">
        <f t="shared" si="18"/>
        <v>Error?</v>
      </c>
    </row>
    <row r="1234" spans="1:4" x14ac:dyDescent="0.2">
      <c r="A1234" s="5">
        <v>1173</v>
      </c>
      <c r="B1234" s="138">
        <f>'Expenditures 15-22'!D151</f>
        <v>56997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79484</v>
      </c>
      <c r="D1237" s="2" t="str">
        <f t="shared" si="18"/>
        <v>Error?</v>
      </c>
    </row>
    <row r="1238" spans="1:4" x14ac:dyDescent="0.2">
      <c r="A1238" s="10">
        <v>1177</v>
      </c>
      <c r="D1238" s="2" t="str">
        <f t="shared" si="18"/>
        <v>OK</v>
      </c>
    </row>
    <row r="1239" spans="1:4" x14ac:dyDescent="0.2">
      <c r="A1239" s="5">
        <v>1178</v>
      </c>
      <c r="B1239" s="138">
        <f>'Expenditures 15-22'!E127</f>
        <v>79484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79484</v>
      </c>
      <c r="C1241" s="2" t="s">
        <v>573</v>
      </c>
      <c r="D1241" s="2" t="str">
        <f t="shared" si="18"/>
        <v>Error?</v>
      </c>
    </row>
    <row r="1242" spans="1:4" x14ac:dyDescent="0.2">
      <c r="A1242" s="5">
        <v>1181</v>
      </c>
      <c r="B1242" s="138">
        <f>'Expenditures 15-22'!E151</f>
        <v>79484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134423</v>
      </c>
      <c r="D1245" s="2" t="str">
        <f t="shared" si="18"/>
        <v>Error?</v>
      </c>
    </row>
    <row r="1246" spans="1:4" x14ac:dyDescent="0.2">
      <c r="A1246" s="10">
        <v>1185</v>
      </c>
      <c r="D1246" s="2" t="str">
        <f t="shared" si="18"/>
        <v>OK</v>
      </c>
    </row>
    <row r="1247" spans="1:4" x14ac:dyDescent="0.2">
      <c r="A1247" s="5">
        <v>1186</v>
      </c>
      <c r="B1247" s="138">
        <f>'Expenditures 15-22'!F127</f>
        <v>134423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134423</v>
      </c>
      <c r="C1249" s="2" t="s">
        <v>573</v>
      </c>
      <c r="D1249" s="2" t="str">
        <f t="shared" si="18"/>
        <v>Error?</v>
      </c>
    </row>
    <row r="1250" spans="1:4" x14ac:dyDescent="0.2">
      <c r="A1250" s="5">
        <v>1189</v>
      </c>
      <c r="B1250" s="138">
        <f>'Expenditures 15-22'!F151</f>
        <v>134423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85604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85604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85604</v>
      </c>
      <c r="C1258" s="2" t="s">
        <v>573</v>
      </c>
      <c r="D1258" s="2" t="str">
        <f t="shared" si="18"/>
        <v>Error?</v>
      </c>
    </row>
    <row r="1259" spans="1:4" x14ac:dyDescent="0.2">
      <c r="A1259" s="5">
        <v>1198</v>
      </c>
      <c r="B1259" s="138">
        <f>'Expenditures 15-22'!G151</f>
        <v>85604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553561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553561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553561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553561</v>
      </c>
      <c r="C1288" s="2" t="s">
        <v>573</v>
      </c>
      <c r="D1288" s="2" t="str">
        <f t="shared" si="19"/>
        <v>Error?</v>
      </c>
    </row>
    <row r="1289" spans="1:4" x14ac:dyDescent="0.2">
      <c r="A1289" s="5">
        <v>1228</v>
      </c>
      <c r="B1289" s="138">
        <f>'Expenditures 15-22'!K152</f>
        <v>6973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800</v>
      </c>
      <c r="D1307" s="2" t="str">
        <f t="shared" si="19"/>
        <v>Error?</v>
      </c>
    </row>
    <row r="1308" spans="1:4" x14ac:dyDescent="0.2">
      <c r="A1308" s="5">
        <v>1247</v>
      </c>
      <c r="B1308" s="138">
        <f>'Expenditures 15-22'!E172</f>
        <v>800</v>
      </c>
      <c r="C1308" s="2" t="s">
        <v>573</v>
      </c>
      <c r="D1308" s="2" t="str">
        <f t="shared" si="19"/>
        <v>Error?</v>
      </c>
    </row>
    <row r="1309" spans="1:4" x14ac:dyDescent="0.2">
      <c r="A1309" s="5">
        <v>1248</v>
      </c>
      <c r="B1309" s="138">
        <f>'Expenditures 15-22'!E174</f>
        <v>800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288034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643034</v>
      </c>
      <c r="C1317" s="2" t="s">
        <v>573</v>
      </c>
      <c r="D1317" s="2" t="str">
        <f t="shared" si="19"/>
        <v>Error?</v>
      </c>
    </row>
    <row r="1318" spans="1:4" x14ac:dyDescent="0.2">
      <c r="A1318" s="5">
        <v>1257</v>
      </c>
      <c r="B1318" s="138">
        <f>'Expenditures 15-22'!H174</f>
        <v>643034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288034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355000</v>
      </c>
      <c r="C1329" s="2" t="s">
        <v>573</v>
      </c>
      <c r="D1329" s="2" t="str">
        <f t="shared" si="19"/>
        <v>Error?</v>
      </c>
    </row>
    <row r="1330" spans="1:4" x14ac:dyDescent="0.2">
      <c r="A1330" s="5">
        <v>1269</v>
      </c>
      <c r="B1330" s="138">
        <f>'Expenditures 15-22'!K171</f>
        <v>800</v>
      </c>
      <c r="C1330" s="2" t="s">
        <v>573</v>
      </c>
      <c r="D1330" s="2" t="str">
        <f t="shared" si="19"/>
        <v>Error?</v>
      </c>
    </row>
    <row r="1331" spans="1:4" x14ac:dyDescent="0.2">
      <c r="A1331" s="5">
        <v>1270</v>
      </c>
      <c r="B1331" s="138">
        <f>'Expenditures 15-22'!K172</f>
        <v>643834</v>
      </c>
      <c r="C1331" s="2" t="s">
        <v>573</v>
      </c>
      <c r="D1331" s="2" t="str">
        <f t="shared" si="19"/>
        <v>Error?</v>
      </c>
    </row>
    <row r="1332" spans="1:4" x14ac:dyDescent="0.2">
      <c r="A1332" s="5">
        <v>1271</v>
      </c>
      <c r="B1332" s="138">
        <f>'Expenditures 15-22'!K174</f>
        <v>643834</v>
      </c>
      <c r="C1332" s="2" t="s">
        <v>573</v>
      </c>
      <c r="D1332" s="2" t="str">
        <f t="shared" si="19"/>
        <v>Error?</v>
      </c>
    </row>
    <row r="1333" spans="1:4" x14ac:dyDescent="0.2">
      <c r="A1333" s="5">
        <v>1272</v>
      </c>
      <c r="B1333" s="138">
        <f>'Expenditures 15-22'!K175</f>
        <v>24746</v>
      </c>
      <c r="C1333" s="2" t="s">
        <v>573</v>
      </c>
      <c r="D1333" s="2" t="str">
        <f t="shared" si="19"/>
        <v>Error?</v>
      </c>
    </row>
    <row r="1334" spans="1:4" x14ac:dyDescent="0.2">
      <c r="A1334" s="10">
        <v>1273</v>
      </c>
      <c r="D1334" s="2" t="str">
        <f t="shared" si="19"/>
        <v>OK</v>
      </c>
    </row>
    <row r="1335" spans="1:4" x14ac:dyDescent="0.2">
      <c r="A1335" s="5">
        <v>1274</v>
      </c>
      <c r="B1335" s="138">
        <f>'Expenditures 15-22'!C182</f>
        <v>176086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176086</v>
      </c>
      <c r="C1339" s="2" t="s">
        <v>573</v>
      </c>
      <c r="D1339" s="2" t="str">
        <f t="shared" si="19"/>
        <v>Error?</v>
      </c>
    </row>
    <row r="1340" spans="1:4" x14ac:dyDescent="0.2">
      <c r="A1340" s="5">
        <v>1279</v>
      </c>
      <c r="B1340" s="138">
        <f>'Expenditures 15-22'!C210</f>
        <v>176086</v>
      </c>
      <c r="C1340" s="2" t="s">
        <v>573</v>
      </c>
      <c r="D1340" s="2" t="str">
        <f t="shared" si="19"/>
        <v>Error?</v>
      </c>
    </row>
    <row r="1341" spans="1:4" x14ac:dyDescent="0.2">
      <c r="A1341" s="5">
        <v>1280</v>
      </c>
      <c r="B1341" s="138">
        <f>'Expenditures 15-22'!D182</f>
        <v>23683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23683</v>
      </c>
      <c r="C1345" s="2" t="s">
        <v>573</v>
      </c>
      <c r="D1345" s="2" t="str">
        <f t="shared" si="20"/>
        <v>Error?</v>
      </c>
    </row>
    <row r="1346" spans="1:4" x14ac:dyDescent="0.2">
      <c r="A1346" s="5">
        <v>1285</v>
      </c>
      <c r="B1346" s="138">
        <f>'Expenditures 15-22'!D210</f>
        <v>23683</v>
      </c>
      <c r="C1346" s="2" t="s">
        <v>573</v>
      </c>
      <c r="D1346" s="2" t="str">
        <f t="shared" si="20"/>
        <v>Error?</v>
      </c>
    </row>
    <row r="1347" spans="1:4" x14ac:dyDescent="0.2">
      <c r="A1347" s="5">
        <v>1286</v>
      </c>
      <c r="B1347" s="138">
        <f>'Expenditures 15-22'!E182</f>
        <v>54849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54849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54849</v>
      </c>
      <c r="C1353" s="2" t="s">
        <v>573</v>
      </c>
      <c r="D1353" s="2" t="str">
        <f t="shared" si="20"/>
        <v>Error?</v>
      </c>
    </row>
    <row r="1354" spans="1:4" x14ac:dyDescent="0.2">
      <c r="A1354" s="5">
        <v>1293</v>
      </c>
      <c r="B1354" s="138">
        <f>'Expenditures 15-22'!F182</f>
        <v>40659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40659</v>
      </c>
      <c r="C1358" s="2" t="s">
        <v>573</v>
      </c>
      <c r="D1358" s="2" t="str">
        <f t="shared" si="20"/>
        <v>Error?</v>
      </c>
    </row>
    <row r="1359" spans="1:4" x14ac:dyDescent="0.2">
      <c r="A1359" s="5">
        <v>1298</v>
      </c>
      <c r="B1359" s="138">
        <f>'Expenditures 15-22'!F210</f>
        <v>40659</v>
      </c>
      <c r="C1359" s="2" t="s">
        <v>573</v>
      </c>
      <c r="D1359" s="2" t="str">
        <f t="shared" si="20"/>
        <v>Error?</v>
      </c>
    </row>
    <row r="1360" spans="1:4" x14ac:dyDescent="0.2">
      <c r="A1360" s="5">
        <v>1299</v>
      </c>
      <c r="B1360" s="138">
        <f>'Expenditures 15-22'!G182</f>
        <v>38798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38798</v>
      </c>
      <c r="C1364" s="2" t="s">
        <v>573</v>
      </c>
      <c r="D1364" s="2" t="str">
        <f t="shared" si="20"/>
        <v>Error?</v>
      </c>
    </row>
    <row r="1365" spans="1:4" x14ac:dyDescent="0.2">
      <c r="A1365" s="5">
        <v>1304</v>
      </c>
      <c r="B1365" s="138">
        <f>'Expenditures 15-22'!G210</f>
        <v>38798</v>
      </c>
      <c r="C1365" s="2" t="s">
        <v>573</v>
      </c>
      <c r="D1365" s="2" t="str">
        <f t="shared" si="20"/>
        <v>Error?</v>
      </c>
    </row>
    <row r="1366" spans="1:4" x14ac:dyDescent="0.2">
      <c r="A1366" s="5">
        <v>1305</v>
      </c>
      <c r="B1366" s="138">
        <f>'Expenditures 15-22'!H182</f>
        <v>3029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3029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3029</v>
      </c>
      <c r="C1376" s="2" t="s">
        <v>573</v>
      </c>
      <c r="D1376" s="2" t="str">
        <f t="shared" si="20"/>
        <v>Error?</v>
      </c>
    </row>
    <row r="1377" spans="1:4" x14ac:dyDescent="0.2">
      <c r="A1377" s="5">
        <v>1316</v>
      </c>
      <c r="B1377" s="138">
        <f>'Expenditures 15-22'!K182</f>
        <v>337104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337104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337104</v>
      </c>
      <c r="C1388" s="2" t="s">
        <v>573</v>
      </c>
      <c r="D1388" s="2" t="str">
        <f t="shared" si="20"/>
        <v>Error?</v>
      </c>
    </row>
    <row r="1389" spans="1:4" x14ac:dyDescent="0.2">
      <c r="A1389" s="5">
        <v>1328</v>
      </c>
      <c r="B1389" s="138">
        <f>'Expenditures 15-22'!K211</f>
        <v>-16268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584</v>
      </c>
      <c r="D1407" s="2" t="str">
        <f t="shared" ref="D1407:D1470" si="21">IF(ISBLANK(B1407),"OK",IF(A1407-B1407=0,"OK","Error?"))</f>
        <v>Error?</v>
      </c>
    </row>
    <row r="1408" spans="1:4" x14ac:dyDescent="0.2">
      <c r="A1408" s="5">
        <v>1347</v>
      </c>
      <c r="B1408" s="138">
        <f>'Expenditures 15-22'!D223</f>
        <v>11263</v>
      </c>
      <c r="D1408" s="2" t="str">
        <f t="shared" si="21"/>
        <v>Error?</v>
      </c>
    </row>
    <row r="1409" spans="1:4" x14ac:dyDescent="0.2">
      <c r="A1409" s="5">
        <v>1348</v>
      </c>
      <c r="B1409" s="138">
        <f>'Expenditures 15-22'!D224</f>
        <v>41</v>
      </c>
      <c r="D1409" s="2" t="str">
        <f t="shared" si="21"/>
        <v>Error?</v>
      </c>
    </row>
    <row r="1410" spans="1:4" x14ac:dyDescent="0.2">
      <c r="A1410" s="5">
        <v>1349</v>
      </c>
      <c r="B1410" s="138">
        <f>'Expenditures 15-22'!D229</f>
        <v>56471</v>
      </c>
      <c r="C1410" s="2" t="s">
        <v>573</v>
      </c>
      <c r="D1410" s="2" t="str">
        <f t="shared" si="21"/>
        <v>Error?</v>
      </c>
    </row>
    <row r="1411" spans="1:4" x14ac:dyDescent="0.2">
      <c r="A1411" s="5">
        <v>1350</v>
      </c>
      <c r="B1411" s="138">
        <f>'Expenditures 15-22'!D232</f>
        <v>474</v>
      </c>
      <c r="D1411" s="2" t="str">
        <f t="shared" si="21"/>
        <v>Error?</v>
      </c>
    </row>
    <row r="1412" spans="1:4" x14ac:dyDescent="0.2">
      <c r="A1412" s="5">
        <v>1351</v>
      </c>
      <c r="B1412" s="138">
        <f>'Expenditures 15-22'!D233</f>
        <v>1065</v>
      </c>
      <c r="D1412" s="2" t="str">
        <f t="shared" si="21"/>
        <v>Error?</v>
      </c>
    </row>
    <row r="1413" spans="1:4" x14ac:dyDescent="0.2">
      <c r="A1413" s="5">
        <v>1352</v>
      </c>
      <c r="B1413" s="138">
        <f>'Expenditures 15-22'!D234</f>
        <v>6612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702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8853</v>
      </c>
      <c r="C1417" s="2" t="s">
        <v>573</v>
      </c>
      <c r="D1417" s="2" t="str">
        <f t="shared" si="21"/>
        <v>Error?</v>
      </c>
    </row>
    <row r="1418" spans="1:4" x14ac:dyDescent="0.2">
      <c r="A1418" s="5">
        <v>1357</v>
      </c>
      <c r="B1418" s="138">
        <f>'Expenditures 15-22'!D240</f>
        <v>52</v>
      </c>
      <c r="D1418" s="2" t="str">
        <f t="shared" si="21"/>
        <v>Error?</v>
      </c>
    </row>
    <row r="1419" spans="1:4" x14ac:dyDescent="0.2">
      <c r="A1419" s="5">
        <v>1358</v>
      </c>
      <c r="B1419" s="138">
        <f>'Expenditures 15-22'!D241</f>
        <v>5868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5920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10709</v>
      </c>
      <c r="D1423" s="2" t="str">
        <f t="shared" si="21"/>
        <v>Error?</v>
      </c>
    </row>
    <row r="1424" spans="1:4" x14ac:dyDescent="0.2">
      <c r="A1424" s="5">
        <v>1363</v>
      </c>
      <c r="B1424" s="138">
        <f>'Expenditures 15-22'!D257</f>
        <v>16307</v>
      </c>
      <c r="C1424" s="2" t="s">
        <v>573</v>
      </c>
      <c r="D1424" s="2" t="str">
        <f t="shared" si="21"/>
        <v>Error?</v>
      </c>
    </row>
    <row r="1425" spans="1:4" x14ac:dyDescent="0.2">
      <c r="A1425" s="5">
        <v>1364</v>
      </c>
      <c r="B1425" s="138">
        <f>'Expenditures 15-22'!D259</f>
        <v>10223</v>
      </c>
      <c r="D1425" s="2" t="str">
        <f t="shared" si="21"/>
        <v>Error?</v>
      </c>
    </row>
    <row r="1426" spans="1:4" x14ac:dyDescent="0.2">
      <c r="A1426" s="5">
        <v>1365</v>
      </c>
      <c r="B1426" s="138">
        <f>'Expenditures 15-22'!D260</f>
        <v>471</v>
      </c>
      <c r="D1426" s="2" t="str">
        <f t="shared" si="21"/>
        <v>Error?</v>
      </c>
    </row>
    <row r="1427" spans="1:4" x14ac:dyDescent="0.2">
      <c r="A1427" s="5">
        <v>1366</v>
      </c>
      <c r="B1427" s="138">
        <f>'Expenditures 15-22'!D261</f>
        <v>10694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32718</v>
      </c>
      <c r="D1431" s="2" t="str">
        <f t="shared" si="21"/>
        <v>Error?</v>
      </c>
    </row>
    <row r="1432" spans="1:4" x14ac:dyDescent="0.2">
      <c r="A1432" s="5">
        <v>1371</v>
      </c>
      <c r="B1432" s="138">
        <f>'Expenditures 15-22'!D267</f>
        <v>27713</v>
      </c>
      <c r="D1432" s="2" t="str">
        <f t="shared" si="21"/>
        <v>Error?</v>
      </c>
    </row>
    <row r="1433" spans="1:4" x14ac:dyDescent="0.2">
      <c r="A1433" s="5">
        <v>1372</v>
      </c>
      <c r="B1433" s="138">
        <f>'Expenditures 15-22'!D268</f>
        <v>11687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79641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6813</v>
      </c>
      <c r="D1442" s="2" t="str">
        <f t="shared" si="21"/>
        <v>Error?</v>
      </c>
    </row>
    <row r="1443" spans="1:4" x14ac:dyDescent="0.2">
      <c r="A1443" s="10">
        <v>1382</v>
      </c>
      <c r="D1443" s="2" t="str">
        <f t="shared" si="21"/>
        <v>OK</v>
      </c>
    </row>
    <row r="1444" spans="1:4" x14ac:dyDescent="0.2">
      <c r="A1444" s="5">
        <v>1383</v>
      </c>
      <c r="B1444" s="138">
        <f>'Expenditures 15-22'!D277</f>
        <v>6813</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128228</v>
      </c>
      <c r="C1446" s="2" t="s">
        <v>573</v>
      </c>
      <c r="D1446" s="2" t="str">
        <f t="shared" si="21"/>
        <v>Error?</v>
      </c>
    </row>
    <row r="1447" spans="1:4" x14ac:dyDescent="0.2">
      <c r="A1447" s="5">
        <v>1386</v>
      </c>
      <c r="B1447" s="138">
        <f>'Expenditures 15-22'!D280</f>
        <v>443</v>
      </c>
      <c r="D1447" s="2" t="str">
        <f t="shared" si="21"/>
        <v>Error?</v>
      </c>
    </row>
    <row r="1448" spans="1:4" x14ac:dyDescent="0.2">
      <c r="A1448" s="5">
        <v>1387</v>
      </c>
      <c r="B1448" s="138">
        <f>'Expenditures 15-22'!D295</f>
        <v>185142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584</v>
      </c>
      <c r="C1471" s="2" t="s">
        <v>573</v>
      </c>
      <c r="D1471" s="2" t="str">
        <f t="shared" ref="D1471:D1534" si="22">IF(ISBLANK(B1471),"OK",IF(A1471-B1471=0,"OK","Error?"))</f>
        <v>Error?</v>
      </c>
    </row>
    <row r="1472" spans="1:4" x14ac:dyDescent="0.2">
      <c r="A1472" s="5">
        <v>1411</v>
      </c>
      <c r="B1472" s="138">
        <f>'Expenditures 15-22'!K223</f>
        <v>11263</v>
      </c>
      <c r="C1472" s="2" t="s">
        <v>573</v>
      </c>
      <c r="D1472" s="2" t="str">
        <f t="shared" si="22"/>
        <v>Error?</v>
      </c>
    </row>
    <row r="1473" spans="1:4" x14ac:dyDescent="0.2">
      <c r="A1473" s="5">
        <v>1412</v>
      </c>
      <c r="B1473" s="138">
        <f>'Expenditures 15-22'!K224</f>
        <v>41</v>
      </c>
      <c r="C1473" s="2" t="s">
        <v>573</v>
      </c>
      <c r="D1473" s="2" t="str">
        <f t="shared" si="22"/>
        <v>Error?</v>
      </c>
    </row>
    <row r="1474" spans="1:4" x14ac:dyDescent="0.2">
      <c r="A1474" s="5">
        <v>1413</v>
      </c>
      <c r="B1474" s="138">
        <f>'Expenditures 15-22'!K229</f>
        <v>56471</v>
      </c>
      <c r="C1474" s="2" t="s">
        <v>573</v>
      </c>
      <c r="D1474" s="2" t="str">
        <f t="shared" si="22"/>
        <v>Error?</v>
      </c>
    </row>
    <row r="1475" spans="1:4" x14ac:dyDescent="0.2">
      <c r="A1475" s="5">
        <v>1414</v>
      </c>
      <c r="B1475" s="138">
        <f>'Expenditures 15-22'!K232</f>
        <v>474</v>
      </c>
      <c r="C1475" s="2" t="s">
        <v>573</v>
      </c>
      <c r="D1475" s="2" t="str">
        <f t="shared" si="22"/>
        <v>Error?</v>
      </c>
    </row>
    <row r="1476" spans="1:4" x14ac:dyDescent="0.2">
      <c r="A1476" s="5">
        <v>1415</v>
      </c>
      <c r="B1476" s="138">
        <f>'Expenditures 15-22'!K233</f>
        <v>1065</v>
      </c>
      <c r="C1476" s="2" t="s">
        <v>573</v>
      </c>
      <c r="D1476" s="2" t="str">
        <f t="shared" si="22"/>
        <v>Error?</v>
      </c>
    </row>
    <row r="1477" spans="1:4" x14ac:dyDescent="0.2">
      <c r="A1477" s="5">
        <v>1416</v>
      </c>
      <c r="B1477" s="138">
        <f>'Expenditures 15-22'!K234</f>
        <v>6612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702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8853</v>
      </c>
      <c r="C1481" s="2" t="s">
        <v>573</v>
      </c>
      <c r="D1481" s="2" t="str">
        <f t="shared" si="22"/>
        <v>Error?</v>
      </c>
    </row>
    <row r="1482" spans="1:4" x14ac:dyDescent="0.2">
      <c r="A1482" s="5">
        <v>1421</v>
      </c>
      <c r="B1482" s="138">
        <f>'Expenditures 15-22'!K240</f>
        <v>52</v>
      </c>
      <c r="C1482" s="2" t="s">
        <v>573</v>
      </c>
      <c r="D1482" s="2" t="str">
        <f t="shared" si="22"/>
        <v>Error?</v>
      </c>
    </row>
    <row r="1483" spans="1:4" x14ac:dyDescent="0.2">
      <c r="A1483" s="5">
        <v>1422</v>
      </c>
      <c r="B1483" s="138">
        <f>'Expenditures 15-22'!K241</f>
        <v>5868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5920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10709</v>
      </c>
      <c r="C1487" s="2" t="s">
        <v>573</v>
      </c>
      <c r="D1487" s="2" t="str">
        <f t="shared" si="22"/>
        <v>Error?</v>
      </c>
    </row>
    <row r="1488" spans="1:4" x14ac:dyDescent="0.2">
      <c r="A1488" s="5">
        <v>1427</v>
      </c>
      <c r="B1488" s="138">
        <f>'Expenditures 15-22'!K257</f>
        <v>16307</v>
      </c>
      <c r="C1488" s="2" t="s">
        <v>573</v>
      </c>
      <c r="D1488" s="2" t="str">
        <f t="shared" si="22"/>
        <v>Error?</v>
      </c>
    </row>
    <row r="1489" spans="1:4" x14ac:dyDescent="0.2">
      <c r="A1489" s="5">
        <v>1428</v>
      </c>
      <c r="B1489" s="138">
        <f>'Expenditures 15-22'!K259</f>
        <v>10223</v>
      </c>
      <c r="C1489" s="2" t="s">
        <v>573</v>
      </c>
      <c r="D1489" s="2" t="str">
        <f t="shared" si="22"/>
        <v>Error?</v>
      </c>
    </row>
    <row r="1490" spans="1:4" x14ac:dyDescent="0.2">
      <c r="A1490" s="5">
        <v>1429</v>
      </c>
      <c r="B1490" s="138">
        <f>'Expenditures 15-22'!K260</f>
        <v>471</v>
      </c>
      <c r="C1490" s="2" t="s">
        <v>573</v>
      </c>
      <c r="D1490" s="2" t="str">
        <f t="shared" si="22"/>
        <v>Error?</v>
      </c>
    </row>
    <row r="1491" spans="1:4" x14ac:dyDescent="0.2">
      <c r="A1491" s="5">
        <v>1430</v>
      </c>
      <c r="B1491" s="138">
        <f>'Expenditures 15-22'!K261</f>
        <v>10694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7523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32718</v>
      </c>
      <c r="C1495" s="2" t="s">
        <v>573</v>
      </c>
      <c r="D1495" s="2" t="str">
        <f t="shared" si="22"/>
        <v>Error?</v>
      </c>
    </row>
    <row r="1496" spans="1:4" x14ac:dyDescent="0.2">
      <c r="A1496" s="5">
        <v>1435</v>
      </c>
      <c r="B1496" s="138">
        <f>'Expenditures 15-22'!K267</f>
        <v>27713</v>
      </c>
      <c r="C1496" s="2" t="s">
        <v>573</v>
      </c>
      <c r="D1496" s="2" t="str">
        <f t="shared" si="22"/>
        <v>Error?</v>
      </c>
    </row>
    <row r="1497" spans="1:4" x14ac:dyDescent="0.2">
      <c r="A1497" s="5">
        <v>1436</v>
      </c>
      <c r="B1497" s="138">
        <f>'Expenditures 15-22'!K268</f>
        <v>11687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79641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6813</v>
      </c>
      <c r="C1506" s="2" t="s">
        <v>573</v>
      </c>
      <c r="D1506" s="2" t="str">
        <f t="shared" si="22"/>
        <v>Error?</v>
      </c>
    </row>
    <row r="1507" spans="1:4" x14ac:dyDescent="0.2">
      <c r="A1507" s="10">
        <v>1446</v>
      </c>
      <c r="D1507" s="2" t="str">
        <f t="shared" si="22"/>
        <v>OK</v>
      </c>
    </row>
    <row r="1508" spans="1:4" x14ac:dyDescent="0.2">
      <c r="A1508" s="5">
        <v>1447</v>
      </c>
      <c r="B1508" s="138">
        <f>'Expenditures 15-22'!K277</f>
        <v>6813</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128228</v>
      </c>
      <c r="C1510" s="2" t="s">
        <v>573</v>
      </c>
      <c r="D1510" s="2" t="str">
        <f t="shared" si="22"/>
        <v>Error?</v>
      </c>
    </row>
    <row r="1511" spans="1:4" x14ac:dyDescent="0.2">
      <c r="A1511" s="5">
        <v>1450</v>
      </c>
      <c r="B1511" s="138">
        <f>'Expenditures 15-22'!K280</f>
        <v>443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185142</v>
      </c>
      <c r="C1517" s="2" t="s">
        <v>573</v>
      </c>
      <c r="D1517" s="2" t="str">
        <f t="shared" si="22"/>
        <v>Error?</v>
      </c>
    </row>
    <row r="1518" spans="1:4" x14ac:dyDescent="0.2">
      <c r="A1518" s="5">
        <v>1457</v>
      </c>
      <c r="B1518" s="138">
        <f>'Expenditures 15-22'!K296</f>
        <v>11032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161753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161753</v>
      </c>
      <c r="C1547" s="2" t="s">
        <v>573</v>
      </c>
      <c r="D1547" s="2" t="str">
        <f t="shared" si="23"/>
        <v>Error?</v>
      </c>
    </row>
    <row r="1548" spans="1:4" x14ac:dyDescent="0.2">
      <c r="A1548" s="5">
        <v>1487</v>
      </c>
      <c r="B1548" s="138">
        <f>'Expenditures 15-22'!G312</f>
        <v>161753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161753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161753</v>
      </c>
      <c r="C1559" s="2" t="s">
        <v>573</v>
      </c>
      <c r="D1559" s="2" t="str">
        <f t="shared" si="23"/>
        <v>Error?</v>
      </c>
    </row>
    <row r="1560" spans="1:4" x14ac:dyDescent="0.2">
      <c r="A1560" s="5">
        <v>1499</v>
      </c>
      <c r="B1560" s="138">
        <f>'Expenditures 15-22'!K312</f>
        <v>161753</v>
      </c>
      <c r="C1560" s="2" t="s">
        <v>573</v>
      </c>
      <c r="D1560" s="2" t="str">
        <f t="shared" si="23"/>
        <v>Error?</v>
      </c>
    </row>
    <row r="1561" spans="1:4" x14ac:dyDescent="0.2">
      <c r="A1561" s="5">
        <v>1500</v>
      </c>
      <c r="B1561" s="138">
        <f>'Expenditures 15-22'!K313</f>
        <v>-46849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3206956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3945479</v>
      </c>
      <c r="C1630" s="2" t="s">
        <v>573</v>
      </c>
      <c r="D1630" s="2" t="str">
        <f t="shared" si="24"/>
        <v>Error?</v>
      </c>
    </row>
    <row r="1631" spans="1:4" x14ac:dyDescent="0.2">
      <c r="A1631" s="5">
        <v>1570</v>
      </c>
      <c r="B1631" s="138">
        <f>'Acct Summary 7-8'!D79</f>
        <v>554572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573504</v>
      </c>
      <c r="C1644" s="2" t="s">
        <v>573</v>
      </c>
      <c r="D1644" s="2" t="str">
        <f t="shared" si="24"/>
        <v>Error?</v>
      </c>
    </row>
    <row r="1645" spans="1:4" x14ac:dyDescent="0.2">
      <c r="A1645" s="5">
        <v>1584</v>
      </c>
      <c r="B1645" s="138">
        <f>'Acct Summary 7-8'!E79</f>
        <v>253742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278488</v>
      </c>
      <c r="C1658" s="2" t="s">
        <v>573</v>
      </c>
      <c r="D1658" s="2" t="str">
        <f t="shared" si="24"/>
        <v>Error?</v>
      </c>
    </row>
    <row r="1659" spans="1:4" x14ac:dyDescent="0.2">
      <c r="A1659" s="5">
        <v>1598</v>
      </c>
      <c r="B1659" s="138">
        <f>'Acct Summary 7-8'!F79</f>
        <v>379674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366760</v>
      </c>
      <c r="C1672" s="2" t="s">
        <v>573</v>
      </c>
      <c r="D1672" s="2" t="str">
        <f t="shared" si="25"/>
        <v>Error?</v>
      </c>
    </row>
    <row r="1673" spans="1:4" x14ac:dyDescent="0.2">
      <c r="A1673" s="5">
        <v>1612</v>
      </c>
      <c r="B1673" s="138">
        <f>'Acct Summary 7-8'!G79</f>
        <v>304258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315290</v>
      </c>
      <c r="C1686" s="2" t="s">
        <v>573</v>
      </c>
      <c r="D1686" s="2" t="str">
        <f t="shared" si="25"/>
        <v>Error?</v>
      </c>
    </row>
    <row r="1687" spans="1:4" x14ac:dyDescent="0.2">
      <c r="A1687" s="5">
        <v>1626</v>
      </c>
      <c r="B1687" s="138">
        <f>'Acct Summary 7-8'!H79</f>
        <v>153608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131586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2751059</v>
      </c>
      <c r="C1744" s="2" t="s">
        <v>573</v>
      </c>
      <c r="D1744" s="2" t="str">
        <f t="shared" si="26"/>
        <v>Error?</v>
      </c>
    </row>
    <row r="1745" spans="1:5" x14ac:dyDescent="0.2">
      <c r="A1745" s="5">
        <v>1684</v>
      </c>
      <c r="B1745" s="138">
        <f>'Tax Sched 23'!B5</f>
        <v>549474</v>
      </c>
      <c r="C1745" s="2" t="s">
        <v>573</v>
      </c>
      <c r="D1745" s="2" t="str">
        <f t="shared" si="26"/>
        <v>Error?</v>
      </c>
    </row>
    <row r="1746" spans="1:5" x14ac:dyDescent="0.2">
      <c r="A1746" s="5">
        <v>1685</v>
      </c>
      <c r="B1746" s="138">
        <f>'Tax Sched 23'!B6</f>
        <v>663431</v>
      </c>
      <c r="C1746" s="2" t="s">
        <v>573</v>
      </c>
      <c r="D1746" s="2" t="str">
        <f t="shared" si="26"/>
        <v>Error?</v>
      </c>
    </row>
    <row r="1747" spans="1:5" x14ac:dyDescent="0.2">
      <c r="A1747" s="5">
        <v>1686</v>
      </c>
      <c r="B1747" s="138">
        <f>'Tax Sched 23'!B7</f>
        <v>147510</v>
      </c>
      <c r="C1747" s="2" t="s">
        <v>573</v>
      </c>
      <c r="D1747" s="2" t="str">
        <f t="shared" si="26"/>
        <v>Error?</v>
      </c>
    </row>
    <row r="1748" spans="1:5" x14ac:dyDescent="0.2">
      <c r="A1748" s="5">
        <v>1687</v>
      </c>
      <c r="B1748" s="138">
        <f>'Tax Sched 23'!B8</f>
        <v>75661</v>
      </c>
      <c r="C1748" s="2" t="s">
        <v>573</v>
      </c>
      <c r="D1748" s="2" t="str">
        <f t="shared" si="26"/>
        <v>Error?</v>
      </c>
    </row>
    <row r="1749" spans="1:5" x14ac:dyDescent="0.2">
      <c r="A1749" s="5">
        <v>1688</v>
      </c>
      <c r="B1749" s="138">
        <f>'Tax Sched 23'!B10</f>
        <v>36878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238644</v>
      </c>
      <c r="C1752" s="2" t="s">
        <v>573</v>
      </c>
      <c r="D1752" s="2" t="str">
        <f t="shared" si="26"/>
        <v>Error?</v>
      </c>
    </row>
    <row r="1753" spans="1:5" x14ac:dyDescent="0.2">
      <c r="A1753" s="5">
        <v>1692</v>
      </c>
      <c r="B1753" s="138">
        <f>'Tax Sched 23'!B12</f>
        <v>36878</v>
      </c>
      <c r="C1753" s="2" t="s">
        <v>573</v>
      </c>
      <c r="D1753" s="2" t="str">
        <f t="shared" si="26"/>
        <v>Error?</v>
      </c>
    </row>
    <row r="1754" spans="1:5" x14ac:dyDescent="0.2">
      <c r="A1754" s="5">
        <v>1693</v>
      </c>
      <c r="B1754" s="138">
        <f>'Tax Sched 23'!B14</f>
        <v>29502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4670677</v>
      </c>
      <c r="C1759" s="2" t="s">
        <v>573</v>
      </c>
      <c r="D1759" s="2" t="str">
        <f t="shared" si="26"/>
        <v>Error?</v>
      </c>
    </row>
    <row r="1760" spans="1:5" x14ac:dyDescent="0.2">
      <c r="A1760" s="5">
        <v>1699</v>
      </c>
      <c r="B1760" s="138">
        <f>'Tax Sched 23'!D4</f>
        <v>1236248</v>
      </c>
      <c r="C1760" s="2" t="s">
        <v>573</v>
      </c>
      <c r="D1760" s="2" t="str">
        <f t="shared" si="26"/>
        <v>Error?</v>
      </c>
    </row>
    <row r="1761" spans="1:5" x14ac:dyDescent="0.2">
      <c r="A1761" s="5">
        <v>1700</v>
      </c>
      <c r="B1761" s="138">
        <f>'Tax Sched 23'!D5</f>
        <v>246918</v>
      </c>
      <c r="C1761" s="2" t="s">
        <v>573</v>
      </c>
      <c r="D1761" s="2" t="str">
        <f t="shared" si="26"/>
        <v>Error?</v>
      </c>
    </row>
    <row r="1762" spans="1:5" s="8" customFormat="1" x14ac:dyDescent="0.2">
      <c r="A1762" s="5">
        <v>1701</v>
      </c>
      <c r="B1762" s="138">
        <f>'Tax Sched 23'!D6</f>
        <v>302329</v>
      </c>
      <c r="C1762" s="2" t="s">
        <v>573</v>
      </c>
      <c r="D1762" s="2" t="str">
        <f t="shared" si="26"/>
        <v>Error?</v>
      </c>
      <c r="E1762" s="9"/>
    </row>
    <row r="1763" spans="1:5" x14ac:dyDescent="0.2">
      <c r="A1763" s="5">
        <v>1702</v>
      </c>
      <c r="B1763" s="138">
        <f>'Tax Sched 23'!D7</f>
        <v>66287</v>
      </c>
      <c r="C1763" s="2" t="s">
        <v>573</v>
      </c>
      <c r="D1763" s="2" t="str">
        <f t="shared" si="26"/>
        <v>Error?</v>
      </c>
    </row>
    <row r="1764" spans="1:5" x14ac:dyDescent="0.2">
      <c r="A1764" s="5">
        <v>1703</v>
      </c>
      <c r="B1764" s="138">
        <f>'Tax Sched 23'!D8</f>
        <v>40528</v>
      </c>
      <c r="C1764" s="2" t="s">
        <v>573</v>
      </c>
      <c r="D1764" s="2" t="str">
        <f t="shared" si="26"/>
        <v>Error?</v>
      </c>
    </row>
    <row r="1765" spans="1:5" x14ac:dyDescent="0.2">
      <c r="A1765" s="5">
        <v>1704</v>
      </c>
      <c r="B1765" s="138">
        <f>'Tax Sched 23'!D10</f>
        <v>16572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85258</v>
      </c>
      <c r="C1768" s="2" t="s">
        <v>573</v>
      </c>
      <c r="D1768" s="2" t="str">
        <f t="shared" si="26"/>
        <v>Error?</v>
      </c>
    </row>
    <row r="1769" spans="1:5" x14ac:dyDescent="0.2">
      <c r="A1769" s="5">
        <v>1708</v>
      </c>
      <c r="B1769" s="138">
        <f>'Tax Sched 23'!D12</f>
        <v>16572</v>
      </c>
      <c r="C1769" s="2" t="s">
        <v>573</v>
      </c>
      <c r="D1769" s="2" t="str">
        <f t="shared" si="26"/>
        <v>Error?</v>
      </c>
    </row>
    <row r="1770" spans="1:5" x14ac:dyDescent="0.2">
      <c r="A1770" s="5">
        <v>1709</v>
      </c>
      <c r="B1770" s="138">
        <f>'Tax Sched 23'!D14</f>
        <v>13257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2091253</v>
      </c>
      <c r="C1775" s="2" t="s">
        <v>573</v>
      </c>
      <c r="D1775" s="2" t="str">
        <f t="shared" si="26"/>
        <v>Error?</v>
      </c>
    </row>
    <row r="1776" spans="1:5" x14ac:dyDescent="0.2">
      <c r="A1776" s="5">
        <v>1715</v>
      </c>
      <c r="B1776" s="138">
        <f>'Tax Sched 23'!C4</f>
        <v>1514811</v>
      </c>
      <c r="D1776" s="2" t="str">
        <f t="shared" si="26"/>
        <v>Error?</v>
      </c>
    </row>
    <row r="1777" spans="1:4" x14ac:dyDescent="0.2">
      <c r="A1777" s="5">
        <v>1716</v>
      </c>
      <c r="B1777" s="138">
        <f>'Tax Sched 23'!C5</f>
        <v>302556</v>
      </c>
      <c r="D1777" s="2" t="str">
        <f t="shared" si="26"/>
        <v>Error?</v>
      </c>
    </row>
    <row r="1778" spans="1:4" x14ac:dyDescent="0.2">
      <c r="A1778" s="5">
        <v>1717</v>
      </c>
      <c r="B1778" s="138">
        <f>'Tax Sched 23'!C6</f>
        <v>361102</v>
      </c>
      <c r="D1778" s="2" t="str">
        <f t="shared" si="26"/>
        <v>Error?</v>
      </c>
    </row>
    <row r="1779" spans="1:4" x14ac:dyDescent="0.2">
      <c r="A1779" s="5">
        <v>1718</v>
      </c>
      <c r="B1779" s="138">
        <f>'Tax Sched 23'!C7</f>
        <v>81223</v>
      </c>
      <c r="D1779" s="2" t="str">
        <f t="shared" si="26"/>
        <v>Error?</v>
      </c>
    </row>
    <row r="1780" spans="1:4" x14ac:dyDescent="0.2">
      <c r="A1780" s="5">
        <v>1719</v>
      </c>
      <c r="B1780" s="138">
        <f>'Tax Sched 23'!C8</f>
        <v>35133</v>
      </c>
      <c r="D1780" s="2" t="str">
        <f t="shared" si="26"/>
        <v>Error?</v>
      </c>
    </row>
    <row r="1781" spans="1:4" x14ac:dyDescent="0.2">
      <c r="A1781" s="5">
        <v>1720</v>
      </c>
      <c r="B1781" s="138">
        <f>'Tax Sched 23'!C10</f>
        <v>20306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153386</v>
      </c>
      <c r="D1784" s="2" t="str">
        <f t="shared" si="26"/>
        <v>Error?</v>
      </c>
    </row>
    <row r="1785" spans="1:4" x14ac:dyDescent="0.2">
      <c r="A1785" s="5">
        <v>1724</v>
      </c>
      <c r="B1785" s="138">
        <f>'Tax Sched 23'!C12</f>
        <v>20306</v>
      </c>
      <c r="D1785" s="2" t="str">
        <f t="shared" si="26"/>
        <v>Error?</v>
      </c>
    </row>
    <row r="1786" spans="1:4" x14ac:dyDescent="0.2">
      <c r="A1786" s="5">
        <v>1725</v>
      </c>
      <c r="B1786" s="138">
        <f>'Tax Sched 23'!C14</f>
        <v>16245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2579424</v>
      </c>
      <c r="C1791" s="2" t="s">
        <v>573</v>
      </c>
      <c r="D1791" s="2" t="str">
        <f t="shared" ref="D1791:D1854" si="27">IF(ISBLANK(B1791),"OK",IF(A1791-B1791=0,"OK","Error?"))</f>
        <v>Error?</v>
      </c>
    </row>
    <row r="1792" spans="1:4" x14ac:dyDescent="0.2">
      <c r="A1792" s="5">
        <v>1731</v>
      </c>
      <c r="B1792" s="138">
        <f>'Tax Sched 23'!F4</f>
        <v>1287545</v>
      </c>
      <c r="C1792" s="2" t="s">
        <v>573</v>
      </c>
      <c r="D1792" s="2" t="str">
        <f t="shared" si="27"/>
        <v>Error?</v>
      </c>
    </row>
    <row r="1793" spans="1:4" x14ac:dyDescent="0.2">
      <c r="A1793" s="5">
        <v>1732</v>
      </c>
      <c r="B1793" s="138">
        <f>'Tax Sched 23'!F5</f>
        <v>257164</v>
      </c>
      <c r="C1793" s="2" t="s">
        <v>573</v>
      </c>
      <c r="D1793" s="2" t="str">
        <f t="shared" si="27"/>
        <v>Error?</v>
      </c>
    </row>
    <row r="1794" spans="1:4" x14ac:dyDescent="0.2">
      <c r="A1794" s="5">
        <v>1733</v>
      </c>
      <c r="B1794" s="138">
        <f>'Tax Sched 23'!F6</f>
        <v>306926</v>
      </c>
      <c r="C1794" s="2" t="s">
        <v>573</v>
      </c>
      <c r="D1794" s="2" t="str">
        <f t="shared" si="27"/>
        <v>Error?</v>
      </c>
    </row>
    <row r="1795" spans="1:4" x14ac:dyDescent="0.2">
      <c r="A1795" s="5">
        <v>1734</v>
      </c>
      <c r="B1795" s="138">
        <f>'Tax Sched 23'!F7</f>
        <v>69037</v>
      </c>
      <c r="C1795" s="2" t="s">
        <v>573</v>
      </c>
      <c r="D1795" s="2" t="str">
        <f t="shared" si="27"/>
        <v>Error?</v>
      </c>
    </row>
    <row r="1796" spans="1:4" x14ac:dyDescent="0.2">
      <c r="A1796" s="5">
        <v>1735</v>
      </c>
      <c r="B1796" s="138">
        <f>'Tax Sched 23'!F8</f>
        <v>29862</v>
      </c>
      <c r="C1796" s="2" t="s">
        <v>573</v>
      </c>
      <c r="D1796" s="2" t="str">
        <f t="shared" si="27"/>
        <v>Error?</v>
      </c>
    </row>
    <row r="1797" spans="1:4" x14ac:dyDescent="0.2">
      <c r="A1797" s="5">
        <v>1736</v>
      </c>
      <c r="B1797" s="138">
        <f>'Tax Sched 23'!F10</f>
        <v>17259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130373</v>
      </c>
      <c r="C1800" s="2" t="s">
        <v>573</v>
      </c>
      <c r="D1800" s="2" t="str">
        <f t="shared" si="27"/>
        <v>Error?</v>
      </c>
    </row>
    <row r="1801" spans="1:4" x14ac:dyDescent="0.2">
      <c r="A1801" s="5">
        <v>1740</v>
      </c>
      <c r="B1801" s="138">
        <f>'Tax Sched 23'!F12</f>
        <v>17259</v>
      </c>
      <c r="C1801" s="2" t="s">
        <v>573</v>
      </c>
      <c r="D1801" s="2" t="str">
        <f t="shared" si="27"/>
        <v>Error?</v>
      </c>
    </row>
    <row r="1802" spans="1:4" x14ac:dyDescent="0.2">
      <c r="A1802" s="5">
        <v>1741</v>
      </c>
      <c r="B1802" s="138">
        <f>'Tax Sched 23'!F14</f>
        <v>13807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2192432</v>
      </c>
      <c r="C1807" s="2" t="s">
        <v>573</v>
      </c>
      <c r="D1807" s="2" t="str">
        <f t="shared" si="27"/>
        <v>Error?</v>
      </c>
    </row>
    <row r="1808" spans="1:4" x14ac:dyDescent="0.2">
      <c r="A1808" s="5">
        <v>1747</v>
      </c>
      <c r="B1808" s="138">
        <f>'Tax Sched 23'!E4</f>
        <v>2802356</v>
      </c>
      <c r="D1808" s="2" t="str">
        <f t="shared" si="27"/>
        <v>Error?</v>
      </c>
    </row>
    <row r="1809" spans="1:4" x14ac:dyDescent="0.2">
      <c r="A1809" s="5">
        <v>1748</v>
      </c>
      <c r="B1809" s="138">
        <f>'Tax Sched 23'!E5</f>
        <v>559720</v>
      </c>
      <c r="D1809" s="2" t="str">
        <f t="shared" si="27"/>
        <v>Error?</v>
      </c>
    </row>
    <row r="1810" spans="1:4" x14ac:dyDescent="0.2">
      <c r="A1810" s="5">
        <v>1749</v>
      </c>
      <c r="B1810" s="138">
        <f>'Tax Sched 23'!E6</f>
        <v>668028</v>
      </c>
      <c r="D1810" s="2" t="str">
        <f t="shared" si="27"/>
        <v>Error?</v>
      </c>
    </row>
    <row r="1811" spans="1:4" x14ac:dyDescent="0.2">
      <c r="A1811" s="5">
        <v>1750</v>
      </c>
      <c r="B1811" s="138">
        <f>'Tax Sched 23'!E7</f>
        <v>150260</v>
      </c>
      <c r="D1811" s="2" t="str">
        <f t="shared" si="27"/>
        <v>Error?</v>
      </c>
    </row>
    <row r="1812" spans="1:4" x14ac:dyDescent="0.2">
      <c r="A1812" s="5">
        <v>1751</v>
      </c>
      <c r="B1812" s="138">
        <f>'Tax Sched 23'!E8</f>
        <v>64995</v>
      </c>
      <c r="D1812" s="2" t="str">
        <f t="shared" si="27"/>
        <v>Error?</v>
      </c>
    </row>
    <row r="1813" spans="1:4" x14ac:dyDescent="0.2">
      <c r="A1813" s="5">
        <v>1752</v>
      </c>
      <c r="B1813" s="138">
        <f>'Tax Sched 23'!E10</f>
        <v>37565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283759</v>
      </c>
      <c r="D1816" s="2" t="str">
        <f t="shared" si="27"/>
        <v>Error?</v>
      </c>
    </row>
    <row r="1817" spans="1:4" x14ac:dyDescent="0.2">
      <c r="A1817" s="5">
        <v>1756</v>
      </c>
      <c r="B1817" s="138">
        <f>'Tax Sched 23'!E12</f>
        <v>37565</v>
      </c>
      <c r="D1817" s="2" t="str">
        <f t="shared" si="27"/>
        <v>Error?</v>
      </c>
    </row>
    <row r="1818" spans="1:4" x14ac:dyDescent="0.2">
      <c r="A1818" s="5">
        <v>1757</v>
      </c>
      <c r="B1818" s="138">
        <f>'Tax Sched 23'!E14</f>
        <v>30052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4771856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5620000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29502</v>
      </c>
      <c r="D1972" s="2" t="str">
        <f t="shared" si="29"/>
        <v>Error?</v>
      </c>
    </row>
    <row r="1973" spans="1:5" x14ac:dyDescent="0.2">
      <c r="A1973" s="5">
        <v>1912</v>
      </c>
      <c r="B1973" s="138">
        <f>'Rest Tax Levies-Tort Im 25'!H6</f>
        <v>24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29526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29526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347082</v>
      </c>
      <c r="D2008" s="2" t="str">
        <f t="shared" si="30"/>
        <v>Error?</v>
      </c>
    </row>
    <row r="2009" spans="1:4" x14ac:dyDescent="0.2">
      <c r="A2009" s="5">
        <v>1948</v>
      </c>
      <c r="B2009" s="138">
        <f>'Cap Outlay Deprec 26'!C8</f>
        <v>12816952</v>
      </c>
      <c r="D2009" s="2" t="str">
        <f t="shared" si="30"/>
        <v>Error?</v>
      </c>
    </row>
    <row r="2010" spans="1:4" x14ac:dyDescent="0.2">
      <c r="A2010" s="5">
        <v>1949</v>
      </c>
      <c r="B2010" s="138">
        <f>'Cap Outlay Deprec 26'!C10</f>
        <v>695829</v>
      </c>
      <c r="D2010" s="2" t="str">
        <f t="shared" si="30"/>
        <v>Error?</v>
      </c>
    </row>
    <row r="2011" spans="1:4" x14ac:dyDescent="0.2">
      <c r="A2011" s="5">
        <v>1950</v>
      </c>
      <c r="B2011" s="138">
        <f>'Cap Outlay Deprec 26'!C12</f>
        <v>922111</v>
      </c>
      <c r="D2011" s="2" t="str">
        <f t="shared" si="30"/>
        <v>Error?</v>
      </c>
    </row>
    <row r="2012" spans="1:4" x14ac:dyDescent="0.2">
      <c r="A2012" s="5">
        <v>1951</v>
      </c>
      <c r="B2012" s="138">
        <f>'Cap Outlay Deprec 26'!C13</f>
        <v>445030</v>
      </c>
      <c r="D2012" s="2" t="str">
        <f t="shared" si="30"/>
        <v>Error?</v>
      </c>
    </row>
    <row r="2013" spans="1:4" x14ac:dyDescent="0.2">
      <c r="A2013" s="5">
        <v>1952</v>
      </c>
      <c r="B2013" s="138">
        <f>'Cap Outlay Deprec 26'!C16</f>
        <v>15229577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12650</v>
      </c>
      <c r="D2015" s="2" t="str">
        <f t="shared" si="30"/>
        <v>Error?</v>
      </c>
    </row>
    <row r="2016" spans="1:4" x14ac:dyDescent="0.2">
      <c r="A2016" s="5">
        <v>1955</v>
      </c>
      <c r="B2016" s="138">
        <f>'Cap Outlay Deprec 26'!D10</f>
        <v>176664</v>
      </c>
      <c r="D2016" s="2" t="str">
        <f t="shared" si="30"/>
        <v>Error?</v>
      </c>
    </row>
    <row r="2017" spans="1:4" x14ac:dyDescent="0.2">
      <c r="A2017" s="5">
        <v>1956</v>
      </c>
      <c r="B2017" s="138">
        <f>'Cap Outlay Deprec 26'!D12</f>
        <v>113041</v>
      </c>
      <c r="D2017" s="2" t="str">
        <f t="shared" si="30"/>
        <v>Error?</v>
      </c>
    </row>
    <row r="2018" spans="1:4" x14ac:dyDescent="0.2">
      <c r="A2018" s="5">
        <v>1957</v>
      </c>
      <c r="B2018" s="138">
        <f>'Cap Outlay Deprec 26'!D13</f>
        <v>38798</v>
      </c>
      <c r="D2018" s="2" t="str">
        <f t="shared" si="30"/>
        <v>Error?</v>
      </c>
    </row>
    <row r="2019" spans="1:4" x14ac:dyDescent="0.2">
      <c r="A2019" s="5">
        <v>1958</v>
      </c>
      <c r="B2019" s="138">
        <f>'Cap Outlay Deprec 26'!D16</f>
        <v>398533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44695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44695</v>
      </c>
      <c r="C2025" s="2" t="s">
        <v>573</v>
      </c>
      <c r="D2025" s="2" t="str">
        <f t="shared" si="30"/>
        <v>Error?</v>
      </c>
    </row>
    <row r="2026" spans="1:4" x14ac:dyDescent="0.2">
      <c r="A2026" s="5">
        <v>1965</v>
      </c>
      <c r="B2026" s="138">
        <f>'Cap Outlay Deprec 26'!F5</f>
        <v>347082</v>
      </c>
      <c r="C2026" s="2" t="s">
        <v>573</v>
      </c>
      <c r="D2026" s="2" t="str">
        <f t="shared" si="30"/>
        <v>Error?</v>
      </c>
    </row>
    <row r="2027" spans="1:4" x14ac:dyDescent="0.2">
      <c r="A2027" s="5">
        <v>1966</v>
      </c>
      <c r="B2027" s="138">
        <f>'Cap Outlay Deprec 26'!F8</f>
        <v>12829602</v>
      </c>
      <c r="C2027" s="2" t="s">
        <v>573</v>
      </c>
      <c r="D2027" s="2" t="str">
        <f t="shared" si="30"/>
        <v>Error?</v>
      </c>
    </row>
    <row r="2028" spans="1:4" x14ac:dyDescent="0.2">
      <c r="A2028" s="5">
        <v>1967</v>
      </c>
      <c r="B2028" s="138">
        <f>'Cap Outlay Deprec 26'!F10</f>
        <v>872493</v>
      </c>
      <c r="C2028" s="2" t="s">
        <v>573</v>
      </c>
      <c r="D2028" s="2" t="str">
        <f t="shared" si="30"/>
        <v>Error?</v>
      </c>
    </row>
    <row r="2029" spans="1:4" x14ac:dyDescent="0.2">
      <c r="A2029" s="5">
        <v>1968</v>
      </c>
      <c r="B2029" s="138">
        <f>'Cap Outlay Deprec 26'!F12</f>
        <v>990457</v>
      </c>
      <c r="C2029" s="2" t="s">
        <v>573</v>
      </c>
      <c r="D2029" s="2" t="str">
        <f t="shared" si="30"/>
        <v>Error?</v>
      </c>
    </row>
    <row r="2030" spans="1:4" x14ac:dyDescent="0.2">
      <c r="A2030" s="5">
        <v>1969</v>
      </c>
      <c r="B2030" s="138">
        <f>'Cap Outlay Deprec 26'!F13</f>
        <v>483828</v>
      </c>
      <c r="C2030" s="2" t="s">
        <v>573</v>
      </c>
      <c r="D2030" s="2" t="str">
        <f t="shared" si="30"/>
        <v>Error?</v>
      </c>
    </row>
    <row r="2031" spans="1:4" x14ac:dyDescent="0.2">
      <c r="A2031" s="5">
        <v>1970</v>
      </c>
      <c r="B2031" s="138">
        <f>'Cap Outlay Deprec 26'!F16</f>
        <v>15583415</v>
      </c>
      <c r="C2031" s="2" t="s">
        <v>573</v>
      </c>
      <c r="D2031" s="2" t="str">
        <f t="shared" si="30"/>
        <v>Error?</v>
      </c>
    </row>
    <row r="2032" spans="1:4" x14ac:dyDescent="0.2">
      <c r="A2032" s="10">
        <v>1971</v>
      </c>
      <c r="D2032" s="2" t="str">
        <f t="shared" si="30"/>
        <v>OK</v>
      </c>
    </row>
    <row r="2033" spans="1:4" x14ac:dyDescent="0.2">
      <c r="A2033" s="5">
        <v>1972</v>
      </c>
      <c r="B2033" s="138">
        <f>'Cap Outlay Deprec 26'!H8</f>
        <v>4583486</v>
      </c>
      <c r="D2033" s="2" t="str">
        <f t="shared" si="30"/>
        <v>Error?</v>
      </c>
    </row>
    <row r="2034" spans="1:4" x14ac:dyDescent="0.2">
      <c r="A2034" s="5">
        <v>1973</v>
      </c>
      <c r="B2034" s="138">
        <f>'Cap Outlay Deprec 26'!H10</f>
        <v>366701</v>
      </c>
      <c r="D2034" s="2" t="str">
        <f t="shared" si="30"/>
        <v>Error?</v>
      </c>
    </row>
    <row r="2035" spans="1:4" x14ac:dyDescent="0.2">
      <c r="A2035" s="5">
        <v>1974</v>
      </c>
      <c r="B2035" s="138">
        <f>'Cap Outlay Deprec 26'!H12</f>
        <v>521414</v>
      </c>
      <c r="D2035" s="2" t="str">
        <f t="shared" si="30"/>
        <v>Error?</v>
      </c>
    </row>
    <row r="2036" spans="1:4" x14ac:dyDescent="0.2">
      <c r="A2036" s="5">
        <v>1975</v>
      </c>
      <c r="B2036" s="138">
        <f>'Cap Outlay Deprec 26'!H13</f>
        <v>435236</v>
      </c>
      <c r="D2036" s="2" t="str">
        <f t="shared" si="30"/>
        <v>Error?</v>
      </c>
    </row>
    <row r="2037" spans="1:4" x14ac:dyDescent="0.2">
      <c r="A2037" s="5">
        <v>1976</v>
      </c>
      <c r="B2037" s="138">
        <f>'Cap Outlay Deprec 26'!H16</f>
        <v>5909410</v>
      </c>
      <c r="C2037" s="2" t="s">
        <v>573</v>
      </c>
      <c r="D2037" s="2" t="str">
        <f t="shared" si="30"/>
        <v>Error?</v>
      </c>
    </row>
    <row r="2038" spans="1:4" x14ac:dyDescent="0.2">
      <c r="A2038" s="10">
        <v>1977</v>
      </c>
      <c r="D2038" s="2" t="str">
        <f t="shared" si="30"/>
        <v>OK</v>
      </c>
    </row>
    <row r="2039" spans="1:4" x14ac:dyDescent="0.2">
      <c r="A2039" s="5">
        <v>1978</v>
      </c>
      <c r="B2039" s="138">
        <f>'Cap Outlay Deprec 26'!I8</f>
        <v>256591</v>
      </c>
      <c r="D2039" s="2" t="str">
        <f t="shared" si="30"/>
        <v>Error?</v>
      </c>
    </row>
    <row r="2040" spans="1:4" x14ac:dyDescent="0.2">
      <c r="A2040" s="5">
        <v>1979</v>
      </c>
      <c r="B2040" s="138">
        <f>'Cap Outlay Deprec 26'!I10</f>
        <v>33701</v>
      </c>
      <c r="D2040" s="2" t="str">
        <f t="shared" si="30"/>
        <v>Error?</v>
      </c>
    </row>
    <row r="2041" spans="1:4" x14ac:dyDescent="0.2">
      <c r="A2041" s="5">
        <v>1980</v>
      </c>
      <c r="B2041" s="138">
        <f>'Cap Outlay Deprec 26'!I12</f>
        <v>99043</v>
      </c>
      <c r="D2041" s="2" t="str">
        <f t="shared" si="30"/>
        <v>Error?</v>
      </c>
    </row>
    <row r="2042" spans="1:4" x14ac:dyDescent="0.2">
      <c r="A2042" s="5">
        <v>1981</v>
      </c>
      <c r="B2042" s="138">
        <f>'Cap Outlay Deprec 26'!I13</f>
        <v>11025</v>
      </c>
      <c r="D2042" s="2" t="str">
        <f t="shared" si="30"/>
        <v>Error?</v>
      </c>
    </row>
    <row r="2043" spans="1:4" x14ac:dyDescent="0.2">
      <c r="A2043" s="5">
        <v>1982</v>
      </c>
      <c r="B2043" s="138">
        <f>'Cap Outlay Deprec 26'!I16</f>
        <v>400360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44695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44695</v>
      </c>
      <c r="C2049" s="2" t="s">
        <v>573</v>
      </c>
      <c r="D2049" s="2" t="str">
        <f t="shared" si="31"/>
        <v>Error?</v>
      </c>
    </row>
    <row r="2050" spans="1:4" x14ac:dyDescent="0.2">
      <c r="A2050" s="10">
        <v>1989</v>
      </c>
      <c r="D2050" s="2" t="str">
        <f t="shared" si="31"/>
        <v>OK</v>
      </c>
    </row>
    <row r="2051" spans="1:4" x14ac:dyDescent="0.2">
      <c r="A2051" s="5">
        <v>1990</v>
      </c>
      <c r="B2051" s="138">
        <f>'Cap Outlay Deprec 26'!K8</f>
        <v>4840077</v>
      </c>
      <c r="C2051" s="2" t="s">
        <v>573</v>
      </c>
      <c r="D2051" s="2" t="str">
        <f t="shared" si="31"/>
        <v>Error?</v>
      </c>
    </row>
    <row r="2052" spans="1:4" x14ac:dyDescent="0.2">
      <c r="A2052" s="5">
        <v>1991</v>
      </c>
      <c r="B2052" s="138">
        <f>'Cap Outlay Deprec 26'!K10</f>
        <v>400402</v>
      </c>
      <c r="C2052" s="2" t="s">
        <v>573</v>
      </c>
      <c r="D2052" s="2" t="str">
        <f t="shared" si="31"/>
        <v>Error?</v>
      </c>
    </row>
    <row r="2053" spans="1:4" x14ac:dyDescent="0.2">
      <c r="A2053" s="5">
        <v>1992</v>
      </c>
      <c r="B2053" s="138">
        <f>'Cap Outlay Deprec 26'!K12</f>
        <v>575762</v>
      </c>
      <c r="C2053" s="2" t="s">
        <v>573</v>
      </c>
      <c r="D2053" s="2" t="str">
        <f t="shared" si="31"/>
        <v>Error?</v>
      </c>
    </row>
    <row r="2054" spans="1:4" x14ac:dyDescent="0.2">
      <c r="A2054" s="5">
        <v>1993</v>
      </c>
      <c r="B2054" s="138">
        <f>'Cap Outlay Deprec 26'!K13</f>
        <v>446261</v>
      </c>
      <c r="C2054" s="2" t="s">
        <v>573</v>
      </c>
      <c r="D2054" s="2" t="str">
        <f t="shared" si="31"/>
        <v>Error?</v>
      </c>
    </row>
    <row r="2055" spans="1:4" x14ac:dyDescent="0.2">
      <c r="A2055" s="5">
        <v>1994</v>
      </c>
      <c r="B2055" s="138">
        <f>'Cap Outlay Deprec 26'!K16</f>
        <v>6265075</v>
      </c>
      <c r="C2055" s="2" t="s">
        <v>573</v>
      </c>
      <c r="D2055" s="2" t="str">
        <f t="shared" si="31"/>
        <v>Error?</v>
      </c>
    </row>
    <row r="2056" spans="1:4" x14ac:dyDescent="0.2">
      <c r="A2056" s="5">
        <v>1995</v>
      </c>
      <c r="B2056" s="138">
        <f>'Cap Outlay Deprec 26'!L5</f>
        <v>347082</v>
      </c>
      <c r="C2056" s="2" t="s">
        <v>573</v>
      </c>
      <c r="D2056" s="2" t="str">
        <f t="shared" si="31"/>
        <v>Error?</v>
      </c>
    </row>
    <row r="2057" spans="1:4" x14ac:dyDescent="0.2">
      <c r="A2057" s="5">
        <v>1996</v>
      </c>
      <c r="B2057" s="138">
        <f>'Cap Outlay Deprec 26'!L8</f>
        <v>7989525</v>
      </c>
      <c r="C2057" s="2" t="s">
        <v>573</v>
      </c>
      <c r="D2057" s="2" t="str">
        <f t="shared" si="31"/>
        <v>Error?</v>
      </c>
    </row>
    <row r="2058" spans="1:4" x14ac:dyDescent="0.2">
      <c r="A2058" s="5">
        <v>1997</v>
      </c>
      <c r="B2058" s="138">
        <f>'Cap Outlay Deprec 26'!L10</f>
        <v>472091</v>
      </c>
      <c r="C2058" s="2" t="s">
        <v>573</v>
      </c>
      <c r="D2058" s="2" t="str">
        <f t="shared" si="31"/>
        <v>Error?</v>
      </c>
    </row>
    <row r="2059" spans="1:4" x14ac:dyDescent="0.2">
      <c r="A2059" s="5">
        <v>1998</v>
      </c>
      <c r="B2059" s="138">
        <f>'Cap Outlay Deprec 26'!L12</f>
        <v>414695</v>
      </c>
      <c r="C2059" s="2" t="s">
        <v>573</v>
      </c>
      <c r="D2059" s="2" t="str">
        <f t="shared" si="31"/>
        <v>Error?</v>
      </c>
    </row>
    <row r="2060" spans="1:4" x14ac:dyDescent="0.2">
      <c r="A2060" s="5">
        <v>1999</v>
      </c>
      <c r="B2060" s="138">
        <f>'Cap Outlay Deprec 26'!L13</f>
        <v>37567</v>
      </c>
      <c r="C2060" s="2" t="s">
        <v>573</v>
      </c>
      <c r="D2060" s="2" t="str">
        <f t="shared" si="31"/>
        <v>Error?</v>
      </c>
    </row>
    <row r="2061" spans="1:4" x14ac:dyDescent="0.2">
      <c r="A2061" s="5">
        <v>2000</v>
      </c>
      <c r="B2061" s="138">
        <f>'Cap Outlay Deprec 26'!L16</f>
        <v>9318340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35700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179845</v>
      </c>
      <c r="C2088" s="2" t="s">
        <v>573</v>
      </c>
      <c r="D2088" s="2" t="str">
        <f t="shared" si="31"/>
        <v>Error?</v>
      </c>
    </row>
    <row r="2089" spans="1:4" x14ac:dyDescent="0.2">
      <c r="A2089" s="5">
        <v>2028</v>
      </c>
      <c r="B2089" s="138">
        <f>'Expenditures 15-22'!K92</f>
        <v>85835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13911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170023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3132073</v>
      </c>
      <c r="C2551" s="2" t="s">
        <v>573</v>
      </c>
      <c r="D2551" s="2" t="str">
        <f t="shared" si="38"/>
        <v>Error?</v>
      </c>
    </row>
    <row r="2552" spans="1:4" x14ac:dyDescent="0.2">
      <c r="A2552" s="10">
        <v>2491</v>
      </c>
      <c r="D2552" s="2" t="str">
        <f t="shared" si="38"/>
        <v>OK</v>
      </c>
    </row>
    <row r="2553" spans="1:4" x14ac:dyDescent="0.2">
      <c r="A2553" s="5">
        <v>2492</v>
      </c>
      <c r="B2553" s="138">
        <f>'Acct Summary 7-8'!C6</f>
        <v>1769415</v>
      </c>
      <c r="C2553" s="2" t="s">
        <v>573</v>
      </c>
      <c r="D2553" s="2" t="str">
        <f t="shared" si="38"/>
        <v>Error?</v>
      </c>
    </row>
    <row r="2554" spans="1:4" x14ac:dyDescent="0.2">
      <c r="A2554" s="5">
        <v>2493</v>
      </c>
      <c r="B2554" s="138">
        <f>'Acct Summary 7-8'!C7</f>
        <v>458966</v>
      </c>
      <c r="C2554" s="2" t="s">
        <v>573</v>
      </c>
      <c r="D2554" s="2" t="str">
        <f t="shared" si="38"/>
        <v>Error?</v>
      </c>
    </row>
    <row r="2555" spans="1:4" x14ac:dyDescent="0.2">
      <c r="A2555" s="5">
        <v>2494</v>
      </c>
      <c r="B2555" s="138">
        <f>'Acct Summary 7-8'!C8</f>
        <v>5360454</v>
      </c>
      <c r="C2555" s="2" t="s">
        <v>573</v>
      </c>
      <c r="D2555" s="2" t="str">
        <f t="shared" si="38"/>
        <v>Error?</v>
      </c>
    </row>
    <row r="2556" spans="1:4" x14ac:dyDescent="0.2">
      <c r="A2556" s="5">
        <v>2495</v>
      </c>
      <c r="B2556" s="138">
        <f>'Acct Summary 7-8'!C12</f>
        <v>2835375</v>
      </c>
      <c r="C2556" s="2" t="s">
        <v>573</v>
      </c>
      <c r="D2556" s="2" t="str">
        <f t="shared" si="38"/>
        <v>Error?</v>
      </c>
    </row>
    <row r="2557" spans="1:4" x14ac:dyDescent="0.2">
      <c r="A2557" s="5">
        <v>2496</v>
      </c>
      <c r="B2557" s="138">
        <f>'Acct Summary 7-8'!C13</f>
        <v>1518063</v>
      </c>
      <c r="C2557" s="2" t="s">
        <v>573</v>
      </c>
      <c r="D2557" s="2" t="str">
        <f t="shared" si="38"/>
        <v>Error?</v>
      </c>
    </row>
    <row r="2558" spans="1:4" x14ac:dyDescent="0.2">
      <c r="A2558" s="5">
        <v>2497</v>
      </c>
      <c r="B2558" s="138">
        <f>'Acct Summary 7-8'!C14</f>
        <v>2813</v>
      </c>
      <c r="C2558" s="2" t="s">
        <v>573</v>
      </c>
      <c r="D2558" s="2" t="str">
        <f t="shared" si="38"/>
        <v>Error?</v>
      </c>
    </row>
    <row r="2559" spans="1:4" x14ac:dyDescent="0.2">
      <c r="A2559" s="5">
        <v>2498</v>
      </c>
      <c r="B2559" s="138">
        <f>'Acct Summary 7-8'!C15</f>
        <v>265680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4621931</v>
      </c>
      <c r="C2561" s="2" t="s">
        <v>573</v>
      </c>
      <c r="D2561" s="2" t="str">
        <f t="shared" si="39"/>
        <v>Error?</v>
      </c>
    </row>
    <row r="2562" spans="1:4" x14ac:dyDescent="0.2">
      <c r="A2562" s="5">
        <v>2501</v>
      </c>
      <c r="B2562" s="138">
        <f>'Acct Summary 7-8'!C20</f>
        <v>738523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560534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560534</v>
      </c>
      <c r="C2568" s="2" t="s">
        <v>573</v>
      </c>
      <c r="D2568" s="2" t="str">
        <f t="shared" si="39"/>
        <v>Error?</v>
      </c>
    </row>
    <row r="2569" spans="1:4" x14ac:dyDescent="0.2">
      <c r="A2569" s="5">
        <v>2508</v>
      </c>
      <c r="B2569" s="138">
        <f>'Acct Summary 7-8'!D13</f>
        <v>553561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553561</v>
      </c>
      <c r="C2573" s="2" t="s">
        <v>573</v>
      </c>
      <c r="D2573" s="2" t="str">
        <f t="shared" si="39"/>
        <v>Error?</v>
      </c>
    </row>
    <row r="2574" spans="1:4" x14ac:dyDescent="0.2">
      <c r="A2574" s="5">
        <v>2513</v>
      </c>
      <c r="B2574" s="138">
        <f>'Acct Summary 7-8'!D20</f>
        <v>6973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159984</v>
      </c>
      <c r="C2591" s="2" t="s">
        <v>573</v>
      </c>
      <c r="D2591" s="2" t="str">
        <f t="shared" si="39"/>
        <v>Error?</v>
      </c>
    </row>
    <row r="2592" spans="1:4" x14ac:dyDescent="0.2">
      <c r="A2592" s="10">
        <v>2531</v>
      </c>
      <c r="D2592" s="2" t="str">
        <f t="shared" si="39"/>
        <v>OK</v>
      </c>
    </row>
    <row r="2593" spans="1:4" x14ac:dyDescent="0.2">
      <c r="A2593" s="5">
        <v>2532</v>
      </c>
      <c r="B2593" s="138">
        <f>'Acct Summary 7-8'!F6</f>
        <v>159458</v>
      </c>
      <c r="C2593" s="2" t="s">
        <v>573</v>
      </c>
      <c r="D2593" s="2" t="str">
        <f t="shared" si="39"/>
        <v>Error?</v>
      </c>
    </row>
    <row r="2594" spans="1:4" x14ac:dyDescent="0.2">
      <c r="A2594" s="5">
        <v>2533</v>
      </c>
      <c r="B2594" s="138">
        <f>'Acct Summary 7-8'!F7</f>
        <v>1394</v>
      </c>
      <c r="C2594" s="2" t="s">
        <v>573</v>
      </c>
      <c r="D2594" s="2" t="str">
        <f t="shared" si="39"/>
        <v>Error?</v>
      </c>
    </row>
    <row r="2595" spans="1:4" x14ac:dyDescent="0.2">
      <c r="A2595" s="5">
        <v>2534</v>
      </c>
      <c r="B2595" s="138">
        <f>'Acct Summary 7-8'!F8</f>
        <v>320836</v>
      </c>
      <c r="C2595" s="2" t="s">
        <v>573</v>
      </c>
      <c r="D2595" s="2" t="str">
        <f t="shared" si="39"/>
        <v>Error?</v>
      </c>
    </row>
    <row r="2596" spans="1:4" x14ac:dyDescent="0.2">
      <c r="A2596" s="5">
        <v>2535</v>
      </c>
      <c r="B2596" s="138">
        <f>'Acct Summary 7-8'!F13</f>
        <v>337104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337104</v>
      </c>
      <c r="C2600" s="2" t="s">
        <v>573</v>
      </c>
      <c r="D2600" s="2" t="str">
        <f t="shared" si="39"/>
        <v>Error?</v>
      </c>
    </row>
    <row r="2601" spans="1:4" x14ac:dyDescent="0.2">
      <c r="A2601" s="5">
        <v>2540</v>
      </c>
      <c r="B2601" s="138">
        <f>'Acct Summary 7-8'!F20</f>
        <v>-16268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193624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2550</v>
      </c>
      <c r="C2605" s="2" t="s">
        <v>573</v>
      </c>
      <c r="D2605" s="2" t="str">
        <f t="shared" si="39"/>
        <v>Error?</v>
      </c>
    </row>
    <row r="2606" spans="1:4" x14ac:dyDescent="0.2">
      <c r="A2606" s="5">
        <v>2545</v>
      </c>
      <c r="B2606" s="138">
        <f>'Acct Summary 7-8'!G8</f>
        <v>196174</v>
      </c>
      <c r="C2606" s="2" t="s">
        <v>573</v>
      </c>
      <c r="D2606" s="2" t="str">
        <f t="shared" si="39"/>
        <v>Error?</v>
      </c>
    </row>
    <row r="2607" spans="1:4" x14ac:dyDescent="0.2">
      <c r="A2607" s="5">
        <v>2546</v>
      </c>
      <c r="B2607" s="138">
        <f>'Acct Summary 7-8'!G12</f>
        <v>56471</v>
      </c>
      <c r="C2607" s="2" t="s">
        <v>573</v>
      </c>
      <c r="D2607" s="2" t="str">
        <f t="shared" si="39"/>
        <v>Error?</v>
      </c>
    </row>
    <row r="2608" spans="1:4" x14ac:dyDescent="0.2">
      <c r="A2608" s="5">
        <v>2547</v>
      </c>
      <c r="B2608" s="138">
        <f>'Acct Summary 7-8'!G13</f>
        <v>128228</v>
      </c>
      <c r="C2608" s="2" t="s">
        <v>573</v>
      </c>
      <c r="D2608" s="2" t="str">
        <f t="shared" si="39"/>
        <v>Error?</v>
      </c>
    </row>
    <row r="2609" spans="1:4" x14ac:dyDescent="0.2">
      <c r="A2609" s="5">
        <v>2548</v>
      </c>
      <c r="B2609" s="138">
        <f>'Acct Summary 7-8'!G14</f>
        <v>443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185142</v>
      </c>
      <c r="C2612" s="2" t="s">
        <v>573</v>
      </c>
      <c r="D2612" s="2" t="str">
        <f t="shared" si="39"/>
        <v>Error?</v>
      </c>
    </row>
    <row r="2613" spans="1:4" x14ac:dyDescent="0.2">
      <c r="A2613" s="5">
        <v>2552</v>
      </c>
      <c r="B2613" s="138">
        <f>'Acct Summary 7-8'!G20</f>
        <v>11032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668580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668580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643834</v>
      </c>
      <c r="C2634" s="2" t="s">
        <v>573</v>
      </c>
      <c r="D2634" s="2" t="str">
        <f t="shared" si="40"/>
        <v>Error?</v>
      </c>
    </row>
    <row r="2635" spans="1:4" x14ac:dyDescent="0.2">
      <c r="A2635" s="5">
        <v>2574</v>
      </c>
      <c r="B2635" s="138">
        <f>'Acct Summary 7-8'!E17</f>
        <v>643834</v>
      </c>
      <c r="C2635" s="2" t="s">
        <v>573</v>
      </c>
      <c r="D2635" s="2" t="str">
        <f t="shared" si="40"/>
        <v>Error?</v>
      </c>
    </row>
    <row r="2636" spans="1:4" x14ac:dyDescent="0.2">
      <c r="A2636" s="5">
        <v>2575</v>
      </c>
      <c r="B2636" s="138">
        <f>'Acct Summary 7-8'!E20</f>
        <v>24746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114904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114904</v>
      </c>
      <c r="C2658" s="2" t="s">
        <v>573</v>
      </c>
      <c r="D2658" s="2" t="str">
        <f t="shared" si="40"/>
        <v>Error?</v>
      </c>
    </row>
    <row r="2659" spans="1:4" x14ac:dyDescent="0.2">
      <c r="A2659" s="5">
        <v>2598</v>
      </c>
      <c r="B2659" s="138">
        <f>'Acct Summary 7-8'!H13</f>
        <v>161753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161753</v>
      </c>
      <c r="C2661" s="2" t="s">
        <v>573</v>
      </c>
      <c r="D2661" s="2" t="str">
        <f t="shared" si="40"/>
        <v>Error?</v>
      </c>
    </row>
    <row r="2662" spans="1:4" x14ac:dyDescent="0.2">
      <c r="A2662" s="5">
        <v>2601</v>
      </c>
      <c r="B2662" s="138">
        <f>'Acct Summary 7-8'!H20</f>
        <v>-46849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95266</v>
      </c>
      <c r="D2718" s="2" t="str">
        <f t="shared" si="41"/>
        <v>Error?</v>
      </c>
    </row>
    <row r="2719" spans="1:4" x14ac:dyDescent="0.2">
      <c r="A2719" s="5">
        <v>2658</v>
      </c>
      <c r="B2719" s="138">
        <f>'Expenditures 15-22'!D51</f>
        <v>22651</v>
      </c>
      <c r="D2719" s="2" t="str">
        <f t="shared" si="41"/>
        <v>Error?</v>
      </c>
    </row>
    <row r="2720" spans="1:4" x14ac:dyDescent="0.2">
      <c r="A2720" s="5">
        <v>2659</v>
      </c>
      <c r="B2720" s="138">
        <f>'Expenditures 15-22'!E51</f>
        <v>631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118548</v>
      </c>
      <c r="C2724" s="2" t="s">
        <v>573</v>
      </c>
      <c r="D2724" s="2" t="str">
        <f t="shared" si="41"/>
        <v>Error?</v>
      </c>
    </row>
    <row r="2725" spans="1:4" x14ac:dyDescent="0.2">
      <c r="A2725" s="5">
        <v>2664</v>
      </c>
      <c r="B2725" s="138">
        <f>'Expenditures 15-22'!D247</f>
        <v>2607</v>
      </c>
      <c r="D2725" s="2" t="str">
        <f t="shared" si="41"/>
        <v>Error?</v>
      </c>
    </row>
    <row r="2726" spans="1:4" x14ac:dyDescent="0.2">
      <c r="A2726" s="5">
        <v>2665</v>
      </c>
      <c r="B2726" s="138">
        <f>'Expenditures 15-22'!K247</f>
        <v>2607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144145</v>
      </c>
      <c r="C2789" s="2" t="s">
        <v>573</v>
      </c>
      <c r="D2789" s="2" t="str">
        <f t="shared" si="42"/>
        <v>Error?</v>
      </c>
    </row>
    <row r="2790" spans="1:4" x14ac:dyDescent="0.2">
      <c r="A2790" s="5">
        <v>2729</v>
      </c>
      <c r="B2790" s="138">
        <f>'Expenditures 15-22'!E102</f>
        <v>144145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57380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388000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526391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102812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526391</v>
      </c>
      <c r="D2912" s="2" t="str">
        <f t="shared" si="44"/>
        <v>Error?</v>
      </c>
    </row>
    <row r="2913" spans="1:4" x14ac:dyDescent="0.2">
      <c r="A2913" s="5">
        <v>2852</v>
      </c>
      <c r="B2913" s="138">
        <f>'Assets-Liab 5-6'!I41</f>
        <v>526391</v>
      </c>
      <c r="C2913" s="2" t="s">
        <v>573</v>
      </c>
      <c r="D2913" s="2" t="str">
        <f t="shared" si="44"/>
        <v>Error?</v>
      </c>
    </row>
    <row r="2914" spans="1:4" x14ac:dyDescent="0.2">
      <c r="A2914" s="5">
        <v>2853</v>
      </c>
      <c r="B2914" s="138">
        <f>'Assets-Liab 5-6'!L33</f>
        <v>102812</v>
      </c>
      <c r="D2914" s="2" t="str">
        <f t="shared" si="44"/>
        <v>Error?</v>
      </c>
    </row>
    <row r="2915" spans="1:4" x14ac:dyDescent="0.2">
      <c r="A2915" s="10">
        <v>2854</v>
      </c>
      <c r="D2915" s="2" t="str">
        <f t="shared" si="44"/>
        <v>OK</v>
      </c>
    </row>
    <row r="2916" spans="1:4" x14ac:dyDescent="0.2">
      <c r="A2916" s="5">
        <v>2855</v>
      </c>
      <c r="B2916" s="138">
        <f>'Assets-Liab 5-6'!L34</f>
        <v>102812</v>
      </c>
      <c r="C2916" s="2" t="s">
        <v>573</v>
      </c>
      <c r="D2916" s="2" t="str">
        <f t="shared" si="44"/>
        <v>Error?</v>
      </c>
    </row>
    <row r="2917" spans="1:4" x14ac:dyDescent="0.2">
      <c r="A2917" s="5">
        <v>2856</v>
      </c>
      <c r="B2917" s="138">
        <f>'Assets-Liab 5-6'!L41</f>
        <v>102812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136445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7700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32636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3064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136445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40336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3064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83960</v>
      </c>
      <c r="D3055" s="2" t="str">
        <f t="shared" si="46"/>
        <v>Error?</v>
      </c>
    </row>
    <row r="3056" spans="1:4" x14ac:dyDescent="0.2">
      <c r="A3056" s="5">
        <v>2995</v>
      </c>
      <c r="B3056" s="138">
        <f>'Expenditures 15-22'!D10</f>
        <v>20436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16603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120999</v>
      </c>
      <c r="C3062" s="2" t="s">
        <v>573</v>
      </c>
      <c r="D3062" s="2" t="str">
        <f t="shared" si="46"/>
        <v>Error?</v>
      </c>
    </row>
    <row r="3063" spans="1:4" x14ac:dyDescent="0.2">
      <c r="A3063" s="10">
        <v>3002</v>
      </c>
      <c r="D3063" s="2" t="str">
        <f t="shared" si="46"/>
        <v>OK</v>
      </c>
    </row>
    <row r="3064" spans="1:4" x14ac:dyDescent="0.2">
      <c r="A3064" s="5">
        <v>3003</v>
      </c>
      <c r="B3064" s="138">
        <f>'Expenditures 15-22'!D219</f>
        <v>3485</v>
      </c>
      <c r="D3064" s="2" t="str">
        <f t="shared" si="46"/>
        <v>Error?</v>
      </c>
    </row>
    <row r="3065" spans="1:4" x14ac:dyDescent="0.2">
      <c r="A3065" s="5">
        <v>3004</v>
      </c>
      <c r="B3065" s="138">
        <f>'Expenditures 15-22'!K219</f>
        <v>3485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47080</v>
      </c>
      <c r="C3225" s="2" t="s">
        <v>573</v>
      </c>
      <c r="D3225" s="2" t="str">
        <f t="shared" si="49"/>
        <v>Error?</v>
      </c>
    </row>
    <row r="3226" spans="1:4" x14ac:dyDescent="0.2">
      <c r="A3226" s="5">
        <v>3165</v>
      </c>
      <c r="B3226" s="138">
        <f>'Acct Summary 7-8'!I8</f>
        <v>47080</v>
      </c>
      <c r="C3226" s="2" t="s">
        <v>573</v>
      </c>
      <c r="D3226" s="2" t="str">
        <f t="shared" si="49"/>
        <v>Error?</v>
      </c>
    </row>
    <row r="3227" spans="1:4" x14ac:dyDescent="0.2">
      <c r="A3227" s="5">
        <v>3166</v>
      </c>
      <c r="B3227" s="138">
        <f>'Acct Summary 7-8'!I20</f>
        <v>47080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738523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11959</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11959</v>
      </c>
      <c r="C3238" s="2" t="s">
        <v>573</v>
      </c>
      <c r="D3238" s="2" t="str">
        <f t="shared" si="49"/>
        <v>Error?</v>
      </c>
    </row>
    <row r="3239" spans="1:4" x14ac:dyDescent="0.2">
      <c r="A3239" s="5">
        <v>3178</v>
      </c>
      <c r="B3239" s="138">
        <f>'Acct Summary 7-8'!D78</f>
        <v>18932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3354</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3354</v>
      </c>
      <c r="C3255" s="2" t="s">
        <v>573</v>
      </c>
      <c r="D3255" s="2" t="str">
        <f t="shared" si="49"/>
        <v>Error?</v>
      </c>
    </row>
    <row r="3256" spans="1:4" x14ac:dyDescent="0.2">
      <c r="A3256" s="5">
        <v>3195</v>
      </c>
      <c r="B3256" s="138">
        <f>'Acct Summary 7-8'!F78</f>
        <v>-12914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11032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24746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24827</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24827</v>
      </c>
      <c r="C3299" s="2" t="s">
        <v>573</v>
      </c>
      <c r="D3299" s="2" t="str">
        <f t="shared" si="50"/>
        <v>Error?</v>
      </c>
    </row>
    <row r="3300" spans="1:4" x14ac:dyDescent="0.2">
      <c r="A3300" s="5">
        <v>3239</v>
      </c>
      <c r="B3300" s="138">
        <f>'Acct Summary 7-8'!H78</f>
        <v>-22022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47080</v>
      </c>
      <c r="C3320" s="2" t="s">
        <v>573</v>
      </c>
      <c r="D3320" s="2" t="str">
        <f t="shared" si="50"/>
        <v>Error?</v>
      </c>
    </row>
    <row r="3321" spans="1:4" x14ac:dyDescent="0.2">
      <c r="A3321" s="5">
        <v>3260</v>
      </c>
      <c r="B3321" s="138">
        <f>'Acct Summary 7-8'!I79</f>
        <v>479311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526391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274527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76419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28359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386516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20300</v>
      </c>
      <c r="D3387" s="2" t="str">
        <f t="shared" si="51"/>
        <v>Error?</v>
      </c>
    </row>
    <row r="3388" spans="1:4" x14ac:dyDescent="0.2">
      <c r="A3388" s="5">
        <v>3327</v>
      </c>
      <c r="B3388" s="138">
        <f>'Expenditures 15-22'!D217</f>
        <v>18441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20300</v>
      </c>
      <c r="C3390" s="2" t="s">
        <v>573</v>
      </c>
      <c r="D3390" s="2" t="str">
        <f t="shared" si="51"/>
        <v>Error?</v>
      </c>
    </row>
    <row r="3391" spans="1:4" x14ac:dyDescent="0.2">
      <c r="A3391" s="5">
        <v>3330</v>
      </c>
      <c r="B3391" s="138">
        <f>'Expenditures 15-22'!K217</f>
        <v>18441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1024279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553504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28488</v>
      </c>
      <c r="D3417" s="2" t="str">
        <f t="shared" si="52"/>
        <v>Error?</v>
      </c>
    </row>
    <row r="3418" spans="1:4" x14ac:dyDescent="0.2">
      <c r="A3418" s="10">
        <v>3357</v>
      </c>
      <c r="D3418" s="2" t="str">
        <f t="shared" si="52"/>
        <v>OK</v>
      </c>
    </row>
    <row r="3419" spans="1:4" x14ac:dyDescent="0.2">
      <c r="A3419" s="5">
        <v>3358</v>
      </c>
      <c r="B3419" s="138">
        <f>'Assets-Liab 5-6'!F4</f>
        <v>142960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55290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121586</v>
      </c>
      <c r="D3425" s="2" t="str">
        <f t="shared" si="52"/>
        <v>Error?</v>
      </c>
    </row>
    <row r="3426" spans="1:4" x14ac:dyDescent="0.2">
      <c r="A3426" s="10">
        <v>3365</v>
      </c>
      <c r="D3426" s="2" t="str">
        <f t="shared" si="52"/>
        <v>OK</v>
      </c>
    </row>
    <row r="3427" spans="1:4" x14ac:dyDescent="0.2">
      <c r="A3427" s="5">
        <v>3366</v>
      </c>
      <c r="B3427" s="138">
        <f>'Assets-Liab 5-6'!I4</f>
        <v>138391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102812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104762</v>
      </c>
      <c r="C3446" s="2" t="s">
        <v>573</v>
      </c>
      <c r="D3446" s="2" t="str">
        <f t="shared" si="52"/>
        <v>Error?</v>
      </c>
    </row>
    <row r="3447" spans="1:4" x14ac:dyDescent="0.2">
      <c r="A3447" s="5">
        <v>3386</v>
      </c>
      <c r="B3447" s="138">
        <f>'Tax Sched 23'!D16</f>
        <v>50712</v>
      </c>
      <c r="C3447" s="2" t="s">
        <v>573</v>
      </c>
      <c r="D3447" s="2" t="str">
        <f t="shared" si="52"/>
        <v>Error?</v>
      </c>
    </row>
    <row r="3448" spans="1:4" x14ac:dyDescent="0.2">
      <c r="A3448" s="5">
        <v>3387</v>
      </c>
      <c r="B3448" s="138">
        <f>'Tax Sched 23'!C16</f>
        <v>54050</v>
      </c>
      <c r="D3448" s="2" t="str">
        <f t="shared" si="52"/>
        <v>Error?</v>
      </c>
    </row>
    <row r="3449" spans="1:4" x14ac:dyDescent="0.2">
      <c r="A3449" s="5">
        <v>3388</v>
      </c>
      <c r="B3449" s="138">
        <f>'Tax Sched 23'!F16</f>
        <v>45941</v>
      </c>
      <c r="C3449" s="2" t="s">
        <v>573</v>
      </c>
      <c r="D3449" s="2" t="str">
        <f t="shared" si="52"/>
        <v>Error?</v>
      </c>
    </row>
    <row r="3450" spans="1:4" x14ac:dyDescent="0.2">
      <c r="A3450" s="5">
        <v>3389</v>
      </c>
      <c r="B3450" s="138">
        <f>'Tax Sched 23'!E16</f>
        <v>99991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57380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57380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57380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11959</v>
      </c>
      <c r="D3531" s="2" t="str">
        <f t="shared" si="54"/>
        <v>Error?</v>
      </c>
    </row>
    <row r="3532" spans="1:4" x14ac:dyDescent="0.2">
      <c r="A3532" s="5">
        <v>3471</v>
      </c>
      <c r="B3532" s="138">
        <f>'Acct Summary 7-8'!F36</f>
        <v>3354</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24827</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95859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105859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105859</v>
      </c>
      <c r="D3567" s="2" t="str">
        <f t="shared" si="54"/>
        <v>Error?</v>
      </c>
    </row>
    <row r="3568" spans="1:4" x14ac:dyDescent="0.2">
      <c r="A3568" s="5">
        <v>3507</v>
      </c>
      <c r="B3568" s="138">
        <f>'Assets-Liab 5-6'!K41</f>
        <v>105859</v>
      </c>
      <c r="C3568" s="2" t="s">
        <v>573</v>
      </c>
      <c r="D3568" s="2" t="str">
        <f t="shared" si="54"/>
        <v>Error?</v>
      </c>
    </row>
    <row r="3569" spans="1:4" x14ac:dyDescent="0.2">
      <c r="A3569" s="5">
        <v>3508</v>
      </c>
      <c r="B3569" s="138">
        <f>'Acct Summary 7-8'!K4</f>
        <v>38513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38513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38513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38513</v>
      </c>
      <c r="C3588" s="2" t="s">
        <v>573</v>
      </c>
      <c r="D3588" s="2" t="str">
        <f t="shared" si="55"/>
        <v>Error?</v>
      </c>
    </row>
    <row r="3589" spans="1:4" x14ac:dyDescent="0.2">
      <c r="A3589" s="5">
        <v>3528</v>
      </c>
      <c r="B3589" s="138">
        <f>'Acct Summary 7-8'!K79</f>
        <v>67346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105859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38513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36878</v>
      </c>
      <c r="C3725" s="2" t="s">
        <v>573</v>
      </c>
      <c r="D3725" s="2" t="str">
        <f t="shared" si="57"/>
        <v>Error?</v>
      </c>
    </row>
    <row r="3726" spans="1:4" x14ac:dyDescent="0.2">
      <c r="A3726" s="5">
        <v>3665</v>
      </c>
      <c r="B3726" s="138">
        <f>'Tax Sched 23'!D13</f>
        <v>16572</v>
      </c>
      <c r="C3726" s="2" t="s">
        <v>573</v>
      </c>
      <c r="D3726" s="2" t="str">
        <f t="shared" si="57"/>
        <v>Error?</v>
      </c>
    </row>
    <row r="3727" spans="1:4" x14ac:dyDescent="0.2">
      <c r="A3727" s="5">
        <v>3666</v>
      </c>
      <c r="B3727" s="138">
        <f>'Tax Sched 23'!C13</f>
        <v>20306</v>
      </c>
      <c r="D3727" s="2" t="str">
        <f t="shared" si="57"/>
        <v>Error?</v>
      </c>
    </row>
    <row r="3728" spans="1:4" x14ac:dyDescent="0.2">
      <c r="A3728" s="5">
        <v>3667</v>
      </c>
      <c r="B3728" s="138">
        <f>'Tax Sched 23'!F13</f>
        <v>17259</v>
      </c>
      <c r="C3728" s="2" t="s">
        <v>573</v>
      </c>
      <c r="D3728" s="2" t="str">
        <f t="shared" si="57"/>
        <v>Error?</v>
      </c>
    </row>
    <row r="3729" spans="1:4" x14ac:dyDescent="0.2">
      <c r="A3729" s="5">
        <v>3668</v>
      </c>
      <c r="B3729" s="138">
        <f>'Tax Sched 23'!E13</f>
        <v>37565</v>
      </c>
      <c r="D3729" s="2" t="str">
        <f t="shared" si="57"/>
        <v>Error?</v>
      </c>
    </row>
    <row r="3730" spans="1:4" x14ac:dyDescent="0.2">
      <c r="A3730" s="5">
        <v>3669</v>
      </c>
      <c r="B3730" s="138">
        <f>'ICR Computation 30'!E10</f>
        <v>89753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1709441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7069895</v>
      </c>
      <c r="C4122" s="2" t="s">
        <v>573</v>
      </c>
      <c r="D4122" s="2" t="str">
        <f t="shared" si="63"/>
        <v>Error?</v>
      </c>
    </row>
    <row r="4123" spans="1:4" x14ac:dyDescent="0.2">
      <c r="A4123" s="5">
        <v>4062</v>
      </c>
      <c r="B4123" s="138">
        <f>'Acct Summary 7-8'!D10</f>
        <v>560534</v>
      </c>
      <c r="C4123" s="2" t="s">
        <v>573</v>
      </c>
      <c r="D4123" s="2" t="str">
        <f t="shared" si="63"/>
        <v>Error?</v>
      </c>
    </row>
    <row r="4124" spans="1:4" x14ac:dyDescent="0.2">
      <c r="A4124" s="5">
        <v>4063</v>
      </c>
      <c r="B4124" s="138">
        <f>'Acct Summary 7-8'!E10</f>
        <v>668580</v>
      </c>
      <c r="C4124" s="2" t="s">
        <v>573</v>
      </c>
      <c r="D4124" s="2" t="str">
        <f t="shared" si="63"/>
        <v>Error?</v>
      </c>
    </row>
    <row r="4125" spans="1:4" x14ac:dyDescent="0.2">
      <c r="A4125" s="5">
        <v>4064</v>
      </c>
      <c r="B4125" s="138">
        <f>'Acct Summary 7-8'!F10</f>
        <v>320836</v>
      </c>
      <c r="C4125" s="2" t="s">
        <v>573</v>
      </c>
      <c r="D4125" s="2" t="str">
        <f t="shared" si="63"/>
        <v>Error?</v>
      </c>
    </row>
    <row r="4126" spans="1:4" x14ac:dyDescent="0.2">
      <c r="A4126" s="5">
        <v>4065</v>
      </c>
      <c r="B4126" s="138">
        <f>'Acct Summary 7-8'!G10</f>
        <v>196174</v>
      </c>
      <c r="C4126" s="2" t="s">
        <v>573</v>
      </c>
      <c r="D4126" s="2" t="str">
        <f t="shared" si="63"/>
        <v>Error?</v>
      </c>
    </row>
    <row r="4127" spans="1:4" x14ac:dyDescent="0.2">
      <c r="A4127" s="5">
        <v>4066</v>
      </c>
      <c r="B4127" s="138">
        <f>'Acct Summary 7-8'!H10</f>
        <v>114904</v>
      </c>
      <c r="C4127" s="2" t="s">
        <v>573</v>
      </c>
      <c r="D4127" s="2" t="str">
        <f t="shared" si="63"/>
        <v>Error?</v>
      </c>
    </row>
    <row r="4128" spans="1:4" x14ac:dyDescent="0.2">
      <c r="A4128" s="5">
        <v>4067</v>
      </c>
      <c r="B4128" s="138">
        <f>'Acct Summary 7-8'!I10</f>
        <v>47080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38513</v>
      </c>
      <c r="C4130" s="2" t="s">
        <v>573</v>
      </c>
      <c r="D4130" s="2" t="str">
        <f t="shared" si="63"/>
        <v>Error?</v>
      </c>
    </row>
    <row r="4131" spans="1:4" x14ac:dyDescent="0.2">
      <c r="A4131" s="5">
        <v>4070</v>
      </c>
      <c r="B4131" s="138">
        <f>'Acct Summary 7-8'!C18</f>
        <v>1709441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6331372</v>
      </c>
      <c r="C4136" s="2" t="s">
        <v>573</v>
      </c>
      <c r="D4136" s="2" t="str">
        <f t="shared" si="63"/>
        <v>Error?</v>
      </c>
    </row>
    <row r="4137" spans="1:4" x14ac:dyDescent="0.2">
      <c r="A4137" s="5">
        <v>4076</v>
      </c>
      <c r="B4137" s="138">
        <f>'Acct Summary 7-8'!D19</f>
        <v>553561</v>
      </c>
      <c r="C4137" s="2" t="s">
        <v>573</v>
      </c>
      <c r="D4137" s="2" t="str">
        <f t="shared" si="63"/>
        <v>Error?</v>
      </c>
    </row>
    <row r="4138" spans="1:4" x14ac:dyDescent="0.2">
      <c r="A4138" s="5">
        <v>4077</v>
      </c>
      <c r="B4138" s="138">
        <f>'Acct Summary 7-8'!E19</f>
        <v>643834</v>
      </c>
      <c r="C4138" s="2" t="s">
        <v>573</v>
      </c>
      <c r="D4138" s="2" t="str">
        <f t="shared" si="63"/>
        <v>Error?</v>
      </c>
    </row>
    <row r="4139" spans="1:4" x14ac:dyDescent="0.2">
      <c r="A4139" s="5">
        <v>4078</v>
      </c>
      <c r="B4139" s="138">
        <f>'Acct Summary 7-8'!F19</f>
        <v>337104</v>
      </c>
      <c r="C4139" s="2" t="s">
        <v>573</v>
      </c>
      <c r="D4139" s="2" t="str">
        <f t="shared" si="63"/>
        <v>Error?</v>
      </c>
    </row>
    <row r="4140" spans="1:4" x14ac:dyDescent="0.2">
      <c r="A4140" s="5">
        <v>4079</v>
      </c>
      <c r="B4140" s="138">
        <f>'Acct Summary 7-8'!G19</f>
        <v>185142</v>
      </c>
      <c r="C4140" s="2" t="s">
        <v>573</v>
      </c>
      <c r="D4140" s="2" t="str">
        <f t="shared" si="63"/>
        <v>Error?</v>
      </c>
    </row>
    <row r="4141" spans="1:4" x14ac:dyDescent="0.2">
      <c r="A4141" s="5">
        <v>4080</v>
      </c>
      <c r="B4141" s="138">
        <f>'Acct Summary 7-8'!H19</f>
        <v>161753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5265000</v>
      </c>
      <c r="C4171" s="2" t="s">
        <v>573</v>
      </c>
      <c r="D4171" s="2" t="str">
        <f t="shared" si="64"/>
        <v>Error?</v>
      </c>
    </row>
    <row r="4172" spans="1:4" x14ac:dyDescent="0.2">
      <c r="A4172" s="5">
        <v>4111</v>
      </c>
      <c r="B4172" s="138">
        <f>'Short-Term Long-Term Debt 24'!J49</f>
        <v>4986512</v>
      </c>
      <c r="C4172" s="2" t="s">
        <v>573</v>
      </c>
      <c r="D4172" s="2" t="str">
        <f t="shared" si="64"/>
        <v>Error?</v>
      </c>
    </row>
    <row r="4173" spans="1:4" x14ac:dyDescent="0.2">
      <c r="A4173" s="5">
        <v>4112</v>
      </c>
      <c r="B4173" s="138">
        <f>'Short-Term Long-Term Debt 24'!H49</f>
        <v>355000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3730</v>
      </c>
      <c r="C4265" s="2" t="s">
        <v>573</v>
      </c>
      <c r="D4265" s="2" t="str">
        <f t="shared" si="65"/>
        <v>Error?</v>
      </c>
      <c r="E4265" s="128"/>
    </row>
    <row r="4266" spans="1:5" x14ac:dyDescent="0.2">
      <c r="A4266" s="12">
        <v>4205</v>
      </c>
      <c r="B4266" s="138">
        <f>('FP Info 3'!F10)*100000</f>
        <v>745</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4675</v>
      </c>
      <c r="C4268" s="2" t="s">
        <v>573</v>
      </c>
      <c r="D4268" s="2" t="str">
        <f t="shared" si="65"/>
        <v>Error?</v>
      </c>
    </row>
    <row r="4269" spans="1:5" x14ac:dyDescent="0.2">
      <c r="A4269" s="12">
        <v>4208</v>
      </c>
      <c r="B4269" s="138">
        <f>'FP Info 3'!J16</f>
        <v>5412134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18079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11859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70814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70814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12146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110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18625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698</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75130194</v>
      </c>
      <c r="D4995" s="2" t="str">
        <f t="shared" si="77"/>
        <v>Error?</v>
      </c>
    </row>
    <row r="4996" spans="1:4" x14ac:dyDescent="0.2">
      <c r="A4996" s="12">
        <v>4935</v>
      </c>
      <c r="B4996" s="138">
        <f>'FP Info 3'!H31</f>
        <v>10367966.772000002</v>
      </c>
      <c r="D4996" s="2" t="str">
        <f t="shared" si="77"/>
        <v>Error?</v>
      </c>
    </row>
    <row r="4997" spans="1:4" x14ac:dyDescent="0.2">
      <c r="A4997" s="12">
        <v>4936</v>
      </c>
      <c r="B4997" s="138">
        <f>'FP Info 3'!H37</f>
        <v>5265000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36878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2751059</v>
      </c>
      <c r="D5061" s="2" t="str">
        <f t="shared" si="78"/>
        <v>Error?</v>
      </c>
    </row>
    <row r="5062" spans="1:4" x14ac:dyDescent="0.2">
      <c r="A5062" s="10">
        <v>5001</v>
      </c>
      <c r="D5062" s="2" t="str">
        <f t="shared" si="78"/>
        <v>OK</v>
      </c>
    </row>
    <row r="5063" spans="1:4" x14ac:dyDescent="0.2">
      <c r="A5063" s="5">
        <v>5002</v>
      </c>
      <c r="B5063" s="138">
        <f>'Revenues 9-14'!C7</f>
        <v>29502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2817439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99844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99844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51529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51529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1480</v>
      </c>
      <c r="D5093" s="2" t="str">
        <f t="shared" si="78"/>
        <v>Error?</v>
      </c>
    </row>
    <row r="5094" spans="1:4" x14ac:dyDescent="0.2">
      <c r="A5094" s="5">
        <v>5033</v>
      </c>
      <c r="B5094" s="138">
        <f>'Revenues 9-14'!C73</f>
        <v>1931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79485</v>
      </c>
      <c r="C5096" s="2" t="s">
        <v>573</v>
      </c>
      <c r="D5096" s="2" t="str">
        <f t="shared" si="78"/>
        <v>Error?</v>
      </c>
    </row>
    <row r="5097" spans="1:4" x14ac:dyDescent="0.2">
      <c r="A5097" s="5">
        <v>5036</v>
      </c>
      <c r="B5097" s="138">
        <f>'Revenues 9-14'!C77</f>
        <v>7329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10490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17819</v>
      </c>
      <c r="C5102" s="2" t="s">
        <v>573</v>
      </c>
      <c r="D5102" s="2" t="str">
        <f t="shared" si="78"/>
        <v>Error?</v>
      </c>
    </row>
    <row r="5103" spans="1:4" x14ac:dyDescent="0.2">
      <c r="A5103" s="5">
        <v>5042</v>
      </c>
      <c r="B5103" s="138">
        <f>'Revenues 9-14'!C84</f>
        <v>32685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32685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11654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12202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4378</v>
      </c>
      <c r="D5118" s="2" t="str">
        <f t="shared" si="78"/>
        <v>Error?</v>
      </c>
    </row>
    <row r="5119" spans="1:4" x14ac:dyDescent="0.2">
      <c r="A5119" s="5">
        <v>5058</v>
      </c>
      <c r="B5119" s="138">
        <f>'Revenues 9-14'!C107</f>
        <v>3038</v>
      </c>
      <c r="D5119" s="2" t="str">
        <f t="shared" ref="D5119:D5182" si="79">IF(ISBLANK(B5119),"OK",IF(A5119-B5119=0,"OK","Error?"))</f>
        <v>Error?</v>
      </c>
    </row>
    <row r="5120" spans="1:4" x14ac:dyDescent="0.2">
      <c r="A5120" s="5">
        <v>5059</v>
      </c>
      <c r="B5120" s="138">
        <f>'Revenues 9-14'!C108</f>
        <v>33272</v>
      </c>
      <c r="C5120" s="2" t="s">
        <v>573</v>
      </c>
      <c r="D5120" s="2" t="str">
        <f t="shared" si="79"/>
        <v>Error?</v>
      </c>
    </row>
    <row r="5121" spans="1:4" x14ac:dyDescent="0.2">
      <c r="A5121" s="5">
        <v>5060</v>
      </c>
      <c r="B5121" s="138">
        <f>'Revenues 9-14'!C109</f>
        <v>3132073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1587084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1587084</v>
      </c>
      <c r="C5132" s="2" t="s">
        <v>573</v>
      </c>
      <c r="D5132" s="2" t="str">
        <f t="shared" si="79"/>
        <v>Error?</v>
      </c>
    </row>
    <row r="5133" spans="1:4" x14ac:dyDescent="0.2">
      <c r="A5133" s="5">
        <v>5072</v>
      </c>
      <c r="B5133" s="138">
        <f>'Revenues 9-14'!C125</f>
        <v>109492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109492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18929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1291</v>
      </c>
      <c r="D5167" s="2" t="str">
        <f t="shared" si="79"/>
        <v>Error?</v>
      </c>
    </row>
    <row r="5168" spans="1:4" x14ac:dyDescent="0.2">
      <c r="A5168" s="5">
        <v>5107</v>
      </c>
      <c r="B5168" s="138">
        <f>'Revenues 9-14'!C148</f>
        <v>3063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48806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182331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1769415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69857</v>
      </c>
      <c r="D5239" s="2" t="str">
        <f t="shared" si="80"/>
        <v>Error?</v>
      </c>
    </row>
    <row r="5240" spans="1:4" x14ac:dyDescent="0.2">
      <c r="A5240" s="5">
        <v>5179</v>
      </c>
      <c r="B5240" s="138">
        <f>'Revenues 9-14'!C192</f>
        <v>698</v>
      </c>
      <c r="D5240" s="2" t="str">
        <f t="shared" si="80"/>
        <v>Error?</v>
      </c>
    </row>
    <row r="5241" spans="1:4" x14ac:dyDescent="0.2">
      <c r="A5241" s="5">
        <v>5180</v>
      </c>
      <c r="B5241" s="138">
        <f>'Revenues 9-14'!C193</f>
        <v>11198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81753</v>
      </c>
      <c r="C5246" s="2" t="s">
        <v>573</v>
      </c>
      <c r="D5246" s="2" t="str">
        <f t="shared" si="80"/>
        <v>Error?</v>
      </c>
    </row>
    <row r="5247" spans="1:4" x14ac:dyDescent="0.2">
      <c r="A5247" s="5">
        <v>5186</v>
      </c>
      <c r="B5247" s="138">
        <f>'Revenues 9-14'!C200</f>
        <v>74057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12146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74057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1542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116721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118263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458966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458966</v>
      </c>
      <c r="C5326" s="2" t="s">
        <v>573</v>
      </c>
      <c r="D5326" s="2" t="str">
        <f t="shared" si="82"/>
        <v>Error?</v>
      </c>
    </row>
    <row r="5327" spans="1:5" x14ac:dyDescent="0.2">
      <c r="A5327" s="5">
        <v>5266</v>
      </c>
      <c r="B5327" s="138">
        <f>'Revenues 9-14'!C268</f>
        <v>5360454</v>
      </c>
      <c r="C5327" s="2" t="s">
        <v>573</v>
      </c>
      <c r="D5327" s="2" t="str">
        <f t="shared" si="82"/>
        <v>Error?</v>
      </c>
    </row>
    <row r="5328" spans="1:5" x14ac:dyDescent="0.2">
      <c r="A5328" s="5">
        <v>5267</v>
      </c>
      <c r="B5328" s="138">
        <f>'Revenues 9-14'!D5</f>
        <v>549474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549474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10000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10000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1060</v>
      </c>
      <c r="D5354" s="2" t="str">
        <f t="shared" si="82"/>
        <v>Error?</v>
      </c>
    </row>
    <row r="5355" spans="1:4" x14ac:dyDescent="0.2">
      <c r="A5355" s="5">
        <v>5294</v>
      </c>
      <c r="B5355" s="138">
        <f>'Revenues 9-14'!D108</f>
        <v>1060</v>
      </c>
      <c r="C5355" s="2" t="s">
        <v>573</v>
      </c>
      <c r="D5355" s="2" t="str">
        <f t="shared" si="82"/>
        <v>Error?</v>
      </c>
    </row>
    <row r="5356" spans="1:4" x14ac:dyDescent="0.2">
      <c r="A5356" s="5">
        <v>5295</v>
      </c>
      <c r="B5356" s="138">
        <f>'Revenues 9-14'!D109</f>
        <v>560534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560534</v>
      </c>
      <c r="C5508" s="2" t="s">
        <v>573</v>
      </c>
      <c r="D5508" s="2" t="str">
        <f t="shared" si="85"/>
        <v>Error?</v>
      </c>
    </row>
    <row r="5509" spans="1:4" x14ac:dyDescent="0.2">
      <c r="A5509" s="5">
        <v>5448</v>
      </c>
      <c r="B5509" s="138">
        <f>'Revenues 9-14'!E5</f>
        <v>663431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663431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5149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5149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668580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668580</v>
      </c>
      <c r="C5552" s="2" t="s">
        <v>573</v>
      </c>
      <c r="D5552" s="2" t="str">
        <f t="shared" si="85"/>
        <v>Error?</v>
      </c>
    </row>
    <row r="5553" spans="1:4" x14ac:dyDescent="0.2">
      <c r="A5553" s="5">
        <v>5492</v>
      </c>
      <c r="B5553" s="138">
        <f>'Revenues 9-14'!F5</f>
        <v>147510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147510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6688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6688</v>
      </c>
      <c r="C5579" s="2" t="s">
        <v>573</v>
      </c>
      <c r="D5579" s="2" t="str">
        <f t="shared" si="86"/>
        <v>Error?</v>
      </c>
    </row>
    <row r="5580" spans="1:4" x14ac:dyDescent="0.2">
      <c r="A5580" s="5">
        <v>5519</v>
      </c>
      <c r="B5580" s="138">
        <f>'Revenues 9-14'!F65</f>
        <v>5786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5786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159984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56197</v>
      </c>
      <c r="D5615" s="2" t="str">
        <f t="shared" si="86"/>
        <v>Error?</v>
      </c>
    </row>
    <row r="5616" spans="1:4" x14ac:dyDescent="0.2">
      <c r="A5616" s="10">
        <v>5555</v>
      </c>
      <c r="D5616" s="2" t="str">
        <f t="shared" si="86"/>
        <v>OK</v>
      </c>
    </row>
    <row r="5617" spans="1:5" x14ac:dyDescent="0.2">
      <c r="A5617" s="5">
        <v>5556</v>
      </c>
      <c r="B5617" s="138">
        <f>'Revenues 9-14'!F153</f>
        <v>103261</v>
      </c>
      <c r="D5617" s="2" t="str">
        <f t="shared" si="86"/>
        <v>Error?</v>
      </c>
    </row>
    <row r="5618" spans="1:5" x14ac:dyDescent="0.2">
      <c r="A5618" s="5">
        <v>5557</v>
      </c>
      <c r="B5618" s="138">
        <f>'Revenues 9-14'!F155</f>
        <v>159458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159458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159458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1394</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1394</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1394</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1394</v>
      </c>
      <c r="C5719" s="2" t="s">
        <v>573</v>
      </c>
      <c r="D5719" s="2" t="str">
        <f t="shared" si="88"/>
        <v>Error?</v>
      </c>
    </row>
    <row r="5720" spans="1:4" x14ac:dyDescent="0.2">
      <c r="A5720" s="5">
        <v>5659</v>
      </c>
      <c r="B5720" s="138">
        <f>'Revenues 9-14'!F268</f>
        <v>320836</v>
      </c>
      <c r="C5720" s="2" t="s">
        <v>573</v>
      </c>
      <c r="D5720" s="2" t="str">
        <f t="shared" si="88"/>
        <v>Error?</v>
      </c>
    </row>
    <row r="5721" spans="1:4" x14ac:dyDescent="0.2">
      <c r="A5721" s="5">
        <v>5660</v>
      </c>
      <c r="B5721" s="138">
        <f>'Revenues 9-14'!G5</f>
        <v>75661</v>
      </c>
      <c r="D5721" s="2" t="str">
        <f t="shared" si="88"/>
        <v>Error?</v>
      </c>
    </row>
    <row r="5722" spans="1:4" x14ac:dyDescent="0.2">
      <c r="A5722" s="5">
        <v>5661</v>
      </c>
      <c r="B5722" s="138">
        <f>'Revenues 9-14'!G7</f>
        <v>0</v>
      </c>
      <c r="D5722" s="2" t="str">
        <f t="shared" si="88"/>
        <v>Error?</v>
      </c>
    </row>
    <row r="5723" spans="1:4" x14ac:dyDescent="0.2">
      <c r="A5723" s="5">
        <v>5662</v>
      </c>
      <c r="B5723" s="138">
        <f>'Revenues 9-14'!G8</f>
        <v>104762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180423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v>
      </c>
      <c r="C5730" s="2" t="s">
        <v>573</v>
      </c>
      <c r="D5730" s="2" t="str">
        <f t="shared" si="88"/>
        <v>Error?</v>
      </c>
    </row>
    <row r="5731" spans="1:4" x14ac:dyDescent="0.2">
      <c r="A5731" s="5">
        <v>5670</v>
      </c>
      <c r="B5731" s="138">
        <f>'Revenues 9-14'!G65</f>
        <v>5701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5701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1048</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110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1048</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694</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694</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2550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2550</v>
      </c>
      <c r="C5869" s="2" t="s">
        <v>573</v>
      </c>
      <c r="D5869" s="2" t="str">
        <f t="shared" si="90"/>
        <v>Error?</v>
      </c>
    </row>
    <row r="5870" spans="1:4" x14ac:dyDescent="0.2">
      <c r="A5870" s="5">
        <v>5809</v>
      </c>
      <c r="B5870" s="138">
        <f>'Revenues 9-14'!G268</f>
        <v>196174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2880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2880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112024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114904</v>
      </c>
      <c r="C5915" s="2" t="s">
        <v>573</v>
      </c>
      <c r="D5915" s="2" t="str">
        <f t="shared" si="91"/>
        <v>Error?</v>
      </c>
    </row>
    <row r="5916" spans="1:4" x14ac:dyDescent="0.2">
      <c r="A5916" s="5">
        <v>5855</v>
      </c>
      <c r="B5916" s="138">
        <f>'Revenues 9-14'!I5</f>
        <v>36878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36878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10202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10202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47080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36878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36878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1635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1635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38513</v>
      </c>
      <c r="C6023" s="2" t="s">
        <v>573</v>
      </c>
      <c r="D6023" s="2" t="str">
        <f t="shared" si="93"/>
        <v>Error?</v>
      </c>
    </row>
    <row r="6024" spans="1:5" x14ac:dyDescent="0.2">
      <c r="A6024" s="5">
        <v>5963</v>
      </c>
      <c r="B6024" s="138">
        <f>'Revenues 9-14'!G109</f>
        <v>193624</v>
      </c>
      <c r="C6024" s="2" t="s">
        <v>573</v>
      </c>
      <c r="D6024" s="2" t="str">
        <f t="shared" si="93"/>
        <v>Error?</v>
      </c>
    </row>
    <row r="6025" spans="1:5" x14ac:dyDescent="0.2">
      <c r="A6025" s="5">
        <v>5964</v>
      </c>
      <c r="B6025" s="138">
        <f>'Revenues 9-14'!H109</f>
        <v>114904</v>
      </c>
      <c r="C6025" s="2" t="s">
        <v>573</v>
      </c>
      <c r="D6025" s="2" t="str">
        <f t="shared" si="93"/>
        <v>Error?</v>
      </c>
    </row>
    <row r="6026" spans="1:5" x14ac:dyDescent="0.2">
      <c r="A6026" s="5">
        <v>5965</v>
      </c>
      <c r="B6026" s="138">
        <f>'Revenues 9-14'!I109</f>
        <v>47080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38513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76074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10448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431.8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310091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310091</v>
      </c>
      <c r="D6215" s="2" t="str">
        <f t="shared" si="96"/>
        <v>Error?</v>
      </c>
      <c r="E6215" s="2" t="s">
        <v>190</v>
      </c>
    </row>
    <row r="6216" spans="1:5" x14ac:dyDescent="0.2">
      <c r="A6216">
        <v>6155</v>
      </c>
      <c r="B6216" s="138">
        <f>'Assets-Liab 5-6'!J41</f>
        <v>310091</v>
      </c>
      <c r="D6216" s="2" t="str">
        <f t="shared" si="96"/>
        <v>Error?</v>
      </c>
      <c r="E6216" s="2" t="s">
        <v>190</v>
      </c>
    </row>
    <row r="6217" spans="1:5" x14ac:dyDescent="0.2">
      <c r="A6217">
        <v>6156</v>
      </c>
      <c r="B6217" s="138">
        <f>'Assets-Liab 5-6'!J4</f>
        <v>200091</v>
      </c>
      <c r="D6217" s="2" t="str">
        <f t="shared" si="96"/>
        <v>Error?</v>
      </c>
      <c r="E6217" s="2" t="s">
        <v>190</v>
      </c>
    </row>
    <row r="6218" spans="1:5" x14ac:dyDescent="0.2">
      <c r="A6218">
        <v>6157</v>
      </c>
      <c r="B6218" s="138">
        <f>'Assets-Liab 5-6'!J5</f>
        <v>110000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243311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243311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243311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224509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224509</v>
      </c>
      <c r="D6229" s="2" t="str">
        <f t="shared" si="96"/>
        <v>Error?</v>
      </c>
      <c r="E6229" s="2" t="s">
        <v>190</v>
      </c>
    </row>
    <row r="6230" spans="1:5" x14ac:dyDescent="0.2">
      <c r="A6230">
        <v>6169</v>
      </c>
      <c r="B6230" s="138">
        <f>'Acct Summary 7-8'!J20</f>
        <v>18802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18802</v>
      </c>
      <c r="D6263" s="2" t="str">
        <f t="shared" si="96"/>
        <v>Error?</v>
      </c>
      <c r="E6263" s="2" t="s">
        <v>190</v>
      </c>
    </row>
    <row r="6264" spans="1:5" x14ac:dyDescent="0.2">
      <c r="A6264">
        <v>6203</v>
      </c>
      <c r="B6264" s="138">
        <f>'Acct Summary 7-8'!J79</f>
        <v>291289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310091</v>
      </c>
      <c r="D6266" s="2" t="str">
        <f t="shared" si="96"/>
        <v>Error?</v>
      </c>
      <c r="E6266" s="2" t="s">
        <v>190</v>
      </c>
    </row>
    <row r="6267" spans="1:5" x14ac:dyDescent="0.2">
      <c r="A6267">
        <v>6206</v>
      </c>
      <c r="B6267" s="138">
        <f>'Acct Summary 7-8'!C82</f>
        <v>738523</v>
      </c>
      <c r="D6267" s="2" t="str">
        <f t="shared" si="96"/>
        <v>Error?</v>
      </c>
      <c r="E6267" s="2" t="s">
        <v>190</v>
      </c>
    </row>
    <row r="6268" spans="1:5" x14ac:dyDescent="0.2">
      <c r="A6268">
        <v>6207</v>
      </c>
      <c r="B6268" s="138">
        <f>'Acct Summary 7-8'!D82</f>
        <v>18932</v>
      </c>
      <c r="D6268" s="2" t="str">
        <f t="shared" si="96"/>
        <v>Error?</v>
      </c>
      <c r="E6268" s="2" t="s">
        <v>190</v>
      </c>
    </row>
    <row r="6269" spans="1:5" x14ac:dyDescent="0.2">
      <c r="A6269">
        <v>6208</v>
      </c>
      <c r="B6269" s="138">
        <f>'Acct Summary 7-8'!E82</f>
        <v>24746</v>
      </c>
      <c r="D6269" s="2" t="str">
        <f t="shared" si="96"/>
        <v>Error?</v>
      </c>
      <c r="E6269" s="2" t="s">
        <v>190</v>
      </c>
    </row>
    <row r="6270" spans="1:5" x14ac:dyDescent="0.2">
      <c r="A6270">
        <v>6209</v>
      </c>
      <c r="B6270" s="138">
        <f>'Acct Summary 7-8'!F82</f>
        <v>-12914</v>
      </c>
      <c r="D6270" s="2" t="str">
        <f t="shared" si="96"/>
        <v>Error?</v>
      </c>
      <c r="E6270" s="2" t="s">
        <v>190</v>
      </c>
    </row>
    <row r="6271" spans="1:5" x14ac:dyDescent="0.2">
      <c r="A6271">
        <v>6210</v>
      </c>
      <c r="B6271" s="138">
        <f>'Acct Summary 7-8'!G82</f>
        <v>11032</v>
      </c>
      <c r="D6271" s="2" t="str">
        <f t="shared" ref="D6271:D6334" si="97">IF(ISBLANK(B6271),"OK",IF(A6271-B6271=0,"OK","Error?"))</f>
        <v>Error?</v>
      </c>
      <c r="E6271" s="2" t="s">
        <v>190</v>
      </c>
    </row>
    <row r="6272" spans="1:5" x14ac:dyDescent="0.2">
      <c r="A6272">
        <v>6211</v>
      </c>
      <c r="B6272" s="138">
        <f>'Acct Summary 7-8'!H82</f>
        <v>-22022</v>
      </c>
      <c r="D6272" s="2" t="str">
        <f t="shared" si="97"/>
        <v>Error?</v>
      </c>
      <c r="E6272" s="2" t="s">
        <v>190</v>
      </c>
    </row>
    <row r="6273" spans="1:5" x14ac:dyDescent="0.2">
      <c r="A6273">
        <v>6212</v>
      </c>
      <c r="B6273" s="138">
        <f>'Acct Summary 7-8'!I82</f>
        <v>47080</v>
      </c>
      <c r="D6273" s="2" t="str">
        <f t="shared" si="97"/>
        <v>Error?</v>
      </c>
      <c r="E6273" s="2" t="s">
        <v>190</v>
      </c>
    </row>
    <row r="6274" spans="1:5" x14ac:dyDescent="0.2">
      <c r="A6274">
        <v>6213</v>
      </c>
      <c r="B6274" s="138">
        <f>'Acct Summary 7-8'!J82</f>
        <v>18802</v>
      </c>
      <c r="D6274" s="2" t="str">
        <f t="shared" si="97"/>
        <v>Error?</v>
      </c>
      <c r="E6274" s="2" t="s">
        <v>190</v>
      </c>
    </row>
    <row r="6275" spans="1:5" x14ac:dyDescent="0.2">
      <c r="A6275">
        <v>6214</v>
      </c>
      <c r="B6275" s="138">
        <f>'Acct Summary 7-8'!K82</f>
        <v>38513</v>
      </c>
      <c r="D6275" s="2" t="str">
        <f t="shared" si="97"/>
        <v>Error?</v>
      </c>
      <c r="E6275" s="2" t="s">
        <v>190</v>
      </c>
    </row>
    <row r="6276" spans="1:5" x14ac:dyDescent="0.2">
      <c r="A6276">
        <v>6215</v>
      </c>
      <c r="B6276" s="138">
        <f>'Acct Summary 7-8'!C83</f>
        <v>0.18718208866401265</v>
      </c>
      <c r="D6276" s="2" t="str">
        <f t="shared" si="97"/>
        <v>Error?</v>
      </c>
      <c r="E6276" s="2" t="s">
        <v>190</v>
      </c>
    </row>
    <row r="6277" spans="1:5" x14ac:dyDescent="0.2">
      <c r="A6277">
        <v>6216</v>
      </c>
      <c r="B6277" s="138">
        <f>'Acct Summary 7-8'!D83</f>
        <v>3.3011103671465238E-2</v>
      </c>
      <c r="D6277" s="2" t="str">
        <f t="shared" si="97"/>
        <v>Error?</v>
      </c>
      <c r="E6277" s="2" t="s">
        <v>190</v>
      </c>
    </row>
    <row r="6278" spans="1:5" x14ac:dyDescent="0.2">
      <c r="A6278">
        <v>6217</v>
      </c>
      <c r="B6278" s="138">
        <f>'Acct Summary 7-8'!E83</f>
        <v>8.885840682542874E-2</v>
      </c>
      <c r="D6278" s="2" t="str">
        <f t="shared" si="97"/>
        <v>Error?</v>
      </c>
      <c r="E6278" s="2" t="s">
        <v>190</v>
      </c>
    </row>
    <row r="6279" spans="1:5" x14ac:dyDescent="0.2">
      <c r="A6279">
        <v>6218</v>
      </c>
      <c r="B6279" s="138">
        <f>'Acct Summary 7-8'!F83</f>
        <v>-3.5211037190533319E-2</v>
      </c>
      <c r="D6279" s="2" t="str">
        <f t="shared" si="97"/>
        <v>Error?</v>
      </c>
      <c r="E6279" s="2" t="s">
        <v>190</v>
      </c>
    </row>
    <row r="6280" spans="1:5" x14ac:dyDescent="0.2">
      <c r="A6280">
        <v>6219</v>
      </c>
      <c r="B6280" s="138">
        <f>'Acct Summary 7-8'!G83</f>
        <v>3.4990009197881318E-2</v>
      </c>
      <c r="D6280" s="2" t="str">
        <f t="shared" si="97"/>
        <v>Error?</v>
      </c>
      <c r="E6280" s="2" t="s">
        <v>190</v>
      </c>
    </row>
    <row r="6281" spans="1:5" x14ac:dyDescent="0.2">
      <c r="A6281">
        <v>6220</v>
      </c>
      <c r="B6281" s="138">
        <f>'Acct Summary 7-8'!H83</f>
        <v>-0.16735822959889349</v>
      </c>
      <c r="D6281" s="2" t="str">
        <f t="shared" si="97"/>
        <v>Error?</v>
      </c>
      <c r="E6281" s="2" t="s">
        <v>190</v>
      </c>
    </row>
    <row r="6282" spans="1:5" x14ac:dyDescent="0.2">
      <c r="A6282">
        <v>6221</v>
      </c>
      <c r="B6282" s="138">
        <f>'Acct Summary 7-8'!I83</f>
        <v>8.9439219135585529E-2</v>
      </c>
      <c r="D6282" s="2" t="str">
        <f t="shared" si="97"/>
        <v>Error?</v>
      </c>
      <c r="E6282" s="2" t="s">
        <v>190</v>
      </c>
    </row>
    <row r="6283" spans="1:5" x14ac:dyDescent="0.2">
      <c r="A6283">
        <v>6222</v>
      </c>
      <c r="B6283" s="138">
        <f>'Acct Summary 7-8'!J83</f>
        <v>6.0633813944938747E-2</v>
      </c>
      <c r="D6283" s="2" t="str">
        <f t="shared" si="97"/>
        <v>Error?</v>
      </c>
      <c r="E6283" s="2" t="s">
        <v>190</v>
      </c>
    </row>
    <row r="6284" spans="1:5" x14ac:dyDescent="0.2">
      <c r="A6284">
        <v>6223</v>
      </c>
      <c r="B6284" s="138">
        <f>'Acct Summary 7-8'!K83</f>
        <v>0.36381413011647568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238644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238644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4667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4667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107875</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2000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243311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18929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54000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53370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53370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70125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7139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102732</v>
      </c>
      <c r="D6880" s="2" t="str">
        <f t="shared" si="106"/>
        <v>Error?</v>
      </c>
    </row>
    <row r="6881" spans="1:4" x14ac:dyDescent="0.2">
      <c r="A6881">
        <v>6820</v>
      </c>
      <c r="B6881" s="138">
        <f>'Expenditures 15-22'!K22</f>
        <v>102732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30175</v>
      </c>
      <c r="D6983" s="2" t="str">
        <f t="shared" si="108"/>
        <v>Error?</v>
      </c>
    </row>
    <row r="6984" spans="1:4" x14ac:dyDescent="0.2">
      <c r="A6984">
        <v>6923</v>
      </c>
      <c r="B6984" s="138">
        <f>'Expenditures 15-22'!K86</f>
        <v>30175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55660</v>
      </c>
      <c r="D6987" s="2" t="str">
        <f t="shared" si="108"/>
        <v>Error?</v>
      </c>
    </row>
    <row r="6988" spans="1:4" x14ac:dyDescent="0.2">
      <c r="A6988">
        <v>6927</v>
      </c>
      <c r="B6988" s="138">
        <f>'Expenditures 15-22'!K88</f>
        <v>55660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85835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224509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243311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2282</v>
      </c>
      <c r="D7073" s="2" t="str">
        <f t="shared" si="109"/>
        <v>Error?</v>
      </c>
    </row>
    <row r="7074" spans="1:4" x14ac:dyDescent="0.2">
      <c r="A7074">
        <v>7013</v>
      </c>
      <c r="B7074" s="138">
        <f>'Expenditures 15-22'!K216</f>
        <v>2282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75</v>
      </c>
      <c r="D7079" s="2" t="str">
        <f t="shared" si="109"/>
        <v>Error?</v>
      </c>
    </row>
    <row r="7080" spans="1:4" x14ac:dyDescent="0.2">
      <c r="A7080">
        <v>7019</v>
      </c>
      <c r="B7080" s="138">
        <f>'Expenditures 15-22'!K226</f>
        <v>75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2991</v>
      </c>
      <c r="D7093" s="2" t="str">
        <f t="shared" si="109"/>
        <v>Error?</v>
      </c>
    </row>
    <row r="7094" spans="1:4" x14ac:dyDescent="0.2">
      <c r="A7094">
        <v>7033</v>
      </c>
      <c r="B7094" s="138">
        <f>'Expenditures 15-22'!K254</f>
        <v>2991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26730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26730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131816</v>
      </c>
      <c r="D7172" s="2" t="str">
        <f t="shared" si="111"/>
        <v>Error?</v>
      </c>
    </row>
    <row r="7173" spans="1:4" x14ac:dyDescent="0.2">
      <c r="A7173">
        <v>7112</v>
      </c>
      <c r="B7173" s="138">
        <f>'Expenditures 15-22'!D325</f>
        <v>38560</v>
      </c>
      <c r="D7173" s="2" t="str">
        <f t="shared" si="111"/>
        <v>Error?</v>
      </c>
    </row>
    <row r="7174" spans="1:4" x14ac:dyDescent="0.2">
      <c r="A7174">
        <v>7113</v>
      </c>
      <c r="B7174" s="138">
        <f>'Expenditures 15-22'!E325</f>
        <v>1045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171421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2875</v>
      </c>
      <c r="D7198" s="2" t="str">
        <f t="shared" si="111"/>
        <v>Error?</v>
      </c>
    </row>
    <row r="7199" spans="1:4" x14ac:dyDescent="0.2">
      <c r="A7199">
        <v>7138</v>
      </c>
      <c r="B7199" s="138">
        <f>'Expenditures 15-22'!C330</f>
        <v>131816</v>
      </c>
      <c r="D7199" s="2" t="str">
        <f t="shared" si="111"/>
        <v>Error?</v>
      </c>
    </row>
    <row r="7200" spans="1:4" x14ac:dyDescent="0.2">
      <c r="A7200">
        <v>7139</v>
      </c>
      <c r="B7200" s="138">
        <f>'Expenditures 15-22'!D330</f>
        <v>38560</v>
      </c>
      <c r="D7200" s="2" t="str">
        <f t="shared" si="111"/>
        <v>Error?</v>
      </c>
    </row>
    <row r="7201" spans="1:4" x14ac:dyDescent="0.2">
      <c r="A7201">
        <v>7140</v>
      </c>
      <c r="B7201" s="138">
        <f>'Expenditures 15-22'!E330</f>
        <v>54133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224509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131816</v>
      </c>
      <c r="D7216" s="2" t="str">
        <f t="shared" si="111"/>
        <v>Error?</v>
      </c>
    </row>
    <row r="7217" spans="1:4" x14ac:dyDescent="0.2">
      <c r="A7217">
        <v>7156</v>
      </c>
      <c r="B7217" s="138">
        <f>'Expenditures 15-22'!D342</f>
        <v>38560</v>
      </c>
      <c r="D7217" s="2" t="str">
        <f t="shared" si="111"/>
        <v>Error?</v>
      </c>
    </row>
    <row r="7218" spans="1:4" x14ac:dyDescent="0.2">
      <c r="A7218">
        <v>7157</v>
      </c>
      <c r="B7218" s="138">
        <f>'Expenditures 15-22'!E342</f>
        <v>54133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224509</v>
      </c>
      <c r="D7224" s="2" t="str">
        <f t="shared" si="111"/>
        <v>Error?</v>
      </c>
    </row>
    <row r="7225" spans="1:4" x14ac:dyDescent="0.2">
      <c r="A7225">
        <v>7164</v>
      </c>
      <c r="B7225" s="138">
        <f>'Expenditures 15-22'!K343</f>
        <v>18802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14604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1521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5181</v>
      </c>
      <c r="D7263" s="2" t="str">
        <f t="shared" si="112"/>
        <v>Error?</v>
      </c>
    </row>
    <row r="7264" spans="1:4" x14ac:dyDescent="0.2">
      <c r="A7264">
        <f t="shared" si="113"/>
        <v>7203</v>
      </c>
      <c r="B7264" s="138">
        <f>'Expenditures 15-22'!D17</f>
        <v>597</v>
      </c>
      <c r="D7264" s="2" t="str">
        <f t="shared" si="112"/>
        <v>Error?</v>
      </c>
    </row>
    <row r="7265" spans="1:5" x14ac:dyDescent="0.2">
      <c r="A7265">
        <f t="shared" si="113"/>
        <v>7204</v>
      </c>
      <c r="B7265" s="138">
        <f>'Expenditures 15-22'!E17</f>
        <v>617</v>
      </c>
      <c r="D7265" s="2" t="str">
        <f t="shared" si="112"/>
        <v>Error?</v>
      </c>
    </row>
    <row r="7266" spans="1:5" x14ac:dyDescent="0.2">
      <c r="A7266">
        <f t="shared" si="113"/>
        <v>7205</v>
      </c>
      <c r="B7266" s="138">
        <f>'Expenditures 15-22'!F17</f>
        <v>744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2573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2573</v>
      </c>
      <c r="D7618" s="2" t="str">
        <f t="shared" si="124"/>
        <v>Error?</v>
      </c>
      <c r="E7618" s="2" t="s">
        <v>19</v>
      </c>
    </row>
    <row r="7619" spans="1:5" x14ac:dyDescent="0.2">
      <c r="A7619">
        <f t="shared" si="123"/>
        <v>7558</v>
      </c>
      <c r="B7619" s="138">
        <f>'Cap Outlay Deprec 26'!H14</f>
        <v>2573</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2573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400360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23483</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23483</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3610</v>
      </c>
      <c r="D7708" s="2" t="str">
        <f t="shared" si="126"/>
        <v>Error?</v>
      </c>
      <c r="E7708" s="2" t="s">
        <v>827</v>
      </c>
    </row>
    <row r="7709" spans="1:5" x14ac:dyDescent="0.2">
      <c r="A7709">
        <v>7648</v>
      </c>
      <c r="B7709" s="138">
        <f>'Rest Tax Levies-Tort Im 25'!K3</f>
        <v>7610</v>
      </c>
      <c r="D7709" s="2" t="str">
        <f t="shared" si="126"/>
        <v>Error?</v>
      </c>
      <c r="E7709" s="2" t="s">
        <v>827</v>
      </c>
    </row>
    <row r="7710" spans="1:5" x14ac:dyDescent="0.2">
      <c r="A7710">
        <v>7649</v>
      </c>
      <c r="B7710" s="138">
        <f>'Rest Tax Levies-Tort Im 25'!J6</f>
        <v>1</v>
      </c>
      <c r="D7710" s="2" t="str">
        <f t="shared" si="126"/>
        <v>Error?</v>
      </c>
      <c r="E7710" s="2" t="s">
        <v>827</v>
      </c>
    </row>
    <row r="7711" spans="1:5" x14ac:dyDescent="0.2">
      <c r="A7711">
        <v>7650</v>
      </c>
      <c r="B7711" s="138">
        <f>'Rest Tax Levies-Tort Im 25'!K6</f>
        <v>3</v>
      </c>
      <c r="D7711" s="2" t="str">
        <f t="shared" si="126"/>
        <v>Error?</v>
      </c>
      <c r="E7711" s="2" t="s">
        <v>827</v>
      </c>
    </row>
    <row r="7712" spans="1:5" x14ac:dyDescent="0.2">
      <c r="A7712">
        <v>7651</v>
      </c>
      <c r="B7712" s="138">
        <f>'Rest Tax Levies-Tort Im 25'!K7</f>
        <v>2000</v>
      </c>
      <c r="D7712" s="2" t="str">
        <f t="shared" si="126"/>
        <v>Error?</v>
      </c>
      <c r="E7712" s="2" t="s">
        <v>827</v>
      </c>
    </row>
    <row r="7713" spans="1:6" x14ac:dyDescent="0.2">
      <c r="A7713">
        <v>7652</v>
      </c>
      <c r="B7713" s="138">
        <f>'Rest Tax Levies-Tort Im 25'!J8</f>
        <v>4150</v>
      </c>
      <c r="D7713" s="2" t="str">
        <f t="shared" si="126"/>
        <v>Error?</v>
      </c>
      <c r="E7713" s="2" t="s">
        <v>827</v>
      </c>
    </row>
    <row r="7714" spans="1:6" x14ac:dyDescent="0.2">
      <c r="A7714">
        <v>7653</v>
      </c>
      <c r="B7714" s="138">
        <f>'Rest Tax Levies-Tort Im 25'!K9</f>
        <v>3063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4151</v>
      </c>
      <c r="D7718" s="2" t="str">
        <f t="shared" si="126"/>
        <v>Error?</v>
      </c>
      <c r="E7718" s="2" t="s">
        <v>827</v>
      </c>
    </row>
    <row r="7719" spans="1:6" x14ac:dyDescent="0.2">
      <c r="A7719">
        <v>7658</v>
      </c>
      <c r="B7719" s="138">
        <f>'Rest Tax Levies-Tort Im 25'!K12</f>
        <v>5066</v>
      </c>
      <c r="D7719" s="2" t="str">
        <f t="shared" si="126"/>
        <v>Error?</v>
      </c>
      <c r="E7719" s="2" t="s">
        <v>827</v>
      </c>
    </row>
    <row r="7720" spans="1:6" x14ac:dyDescent="0.2">
      <c r="A7720">
        <v>7659</v>
      </c>
      <c r="B7720" s="138">
        <f>'Rest Tax Levies-Tort Im 25'!H14</f>
        <v>29526</v>
      </c>
      <c r="D7720" s="2" t="str">
        <f t="shared" si="126"/>
        <v>Error?</v>
      </c>
      <c r="E7720" s="2" t="s">
        <v>827</v>
      </c>
    </row>
    <row r="7721" spans="1:6" x14ac:dyDescent="0.2">
      <c r="A7721">
        <v>7660</v>
      </c>
      <c r="B7721" s="138">
        <f>'Rest Tax Levies-Tort Im 25'!K14</f>
        <v>7139</v>
      </c>
      <c r="D7721" s="2" t="str">
        <f t="shared" si="126"/>
        <v>Error?</v>
      </c>
      <c r="E7721" s="2" t="s">
        <v>827</v>
      </c>
    </row>
    <row r="7722" spans="1:6" x14ac:dyDescent="0.2">
      <c r="A7722">
        <v>7661</v>
      </c>
      <c r="B7722" s="138">
        <f>'Rest Tax Levies-Tort Im 25'!J15</f>
        <v>7761</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7761</v>
      </c>
      <c r="D7730" s="2" t="str">
        <f t="shared" si="126"/>
        <v>Error?</v>
      </c>
      <c r="E7730" s="2" t="s">
        <v>827</v>
      </c>
    </row>
    <row r="7731" spans="1:6" x14ac:dyDescent="0.2">
      <c r="A7731">
        <v>7670</v>
      </c>
      <c r="B7731" s="138">
        <f>'Revenues 9-14'!H103</f>
        <v>4149</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5537</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5537</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103332</v>
      </c>
      <c r="D7797" s="2" t="str">
        <f t="shared" si="127"/>
        <v>Error?</v>
      </c>
      <c r="E7797" s="4" t="s">
        <v>1904</v>
      </c>
    </row>
    <row r="7798" spans="1:5" x14ac:dyDescent="0.2">
      <c r="A7798">
        <v>7737</v>
      </c>
      <c r="B7798" s="138">
        <f>'Contracts Paid in CY 29'!F141</f>
        <v>50600</v>
      </c>
      <c r="D7798" s="2" t="str">
        <f t="shared" si="127"/>
        <v>Error?</v>
      </c>
      <c r="E7798" s="4" t="s">
        <v>1904</v>
      </c>
    </row>
    <row r="7799" spans="1:5" x14ac:dyDescent="0.2">
      <c r="A7799">
        <v>7738</v>
      </c>
      <c r="B7799" s="138">
        <f>'Contracts Paid in CY 29'!G141</f>
        <v>52732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08" t="s">
        <v>1190</v>
      </c>
      <c r="B3" s="2408"/>
      <c r="C3" s="2408"/>
      <c r="D3" s="2408"/>
      <c r="E3" s="2408"/>
      <c r="F3" s="2408"/>
      <c r="G3" s="2408"/>
      <c r="H3" s="2408"/>
      <c r="I3" s="2408"/>
      <c r="J3" s="2408"/>
      <c r="K3" s="2408"/>
      <c r="L3" s="2408"/>
    </row>
    <row r="4" spans="1:29" ht="13.5" customHeight="1" x14ac:dyDescent="0.2">
      <c r="A4" s="2422" t="s">
        <v>1989</v>
      </c>
      <c r="B4" s="2439"/>
      <c r="C4" s="2439"/>
      <c r="D4" s="2439"/>
      <c r="E4" s="2439"/>
      <c r="F4" s="2439"/>
      <c r="G4" s="2439"/>
      <c r="H4" s="2439"/>
      <c r="I4" s="2439"/>
      <c r="J4" s="2439"/>
      <c r="K4" s="2439"/>
      <c r="L4" s="2439"/>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02" t="str">
        <f>COVER!A17</f>
        <v>Hiawatha CUSD 426</v>
      </c>
      <c r="B7" s="2403"/>
      <c r="C7" s="2403"/>
      <c r="D7" s="2440"/>
      <c r="E7" s="2441">
        <f>COVER!A13</f>
        <v>16019426026</v>
      </c>
      <c r="F7" s="2442"/>
      <c r="G7" s="2409" t="str">
        <f>COVER!T23</f>
        <v>066-005027</v>
      </c>
      <c r="H7" s="2410"/>
      <c r="I7" s="2410"/>
      <c r="J7" s="2410"/>
      <c r="K7" s="2410"/>
      <c r="L7" s="2411"/>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Jared Poynter</v>
      </c>
      <c r="B10" s="2400"/>
      <c r="C10" s="2400"/>
      <c r="D10" s="2400"/>
      <c r="E10" s="2400"/>
      <c r="F10" s="2401"/>
      <c r="G10" s="2415" t="str">
        <f>COVER!T17</f>
        <v>4200 N Knoxville Ave</v>
      </c>
      <c r="H10" s="2428"/>
      <c r="I10" s="2428"/>
      <c r="J10" s="2428"/>
      <c r="K10" s="2428"/>
      <c r="L10" s="2429"/>
    </row>
    <row r="11" spans="1:29" ht="13.5" customHeight="1" x14ac:dyDescent="0.2">
      <c r="A11" s="1180" t="s">
        <v>1519</v>
      </c>
      <c r="B11" s="1181"/>
      <c r="C11" s="1182"/>
      <c r="D11" s="1187"/>
      <c r="E11" s="1182"/>
      <c r="F11" s="1186"/>
      <c r="G11" s="2415" t="str">
        <f>COVER!T19</f>
        <v>Peoria</v>
      </c>
      <c r="H11" s="2428"/>
      <c r="I11" s="2428"/>
      <c r="J11" s="2428"/>
      <c r="K11" s="2428"/>
      <c r="L11" s="2429"/>
    </row>
    <row r="12" spans="1:29" ht="13.5" customHeight="1" x14ac:dyDescent="0.2">
      <c r="A12" s="2433" t="s">
        <v>1518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1520</v>
      </c>
      <c r="H13" s="2424"/>
      <c r="I13" s="2436" t="str">
        <f>COVER!T25</f>
        <v>rrumbold@gorenzcpa.com</v>
      </c>
      <c r="J13" s="2437"/>
      <c r="K13" s="2437"/>
      <c r="L13" s="2438"/>
    </row>
    <row r="14" spans="1:29" ht="13.5" customHeight="1" x14ac:dyDescent="0.2">
      <c r="A14" s="2415" t="str">
        <f>COVER!A19</f>
        <v>410 South First Street</v>
      </c>
      <c r="B14" s="2428"/>
      <c r="C14" s="2428"/>
      <c r="D14" s="2428"/>
      <c r="E14" s="2428"/>
      <c r="F14" s="2429"/>
      <c r="G14" s="1191" t="s">
        <v>1185</v>
      </c>
      <c r="H14" s="1189"/>
      <c r="I14" s="1189"/>
      <c r="J14" s="1189"/>
      <c r="K14" s="1189"/>
      <c r="L14" s="1190"/>
    </row>
    <row r="15" spans="1:29" ht="13.5" customHeight="1" x14ac:dyDescent="0.2">
      <c r="A15" s="2415" t="str">
        <f>COVER!A21</f>
        <v>Kirkland</v>
      </c>
      <c r="B15" s="2428"/>
      <c r="C15" s="2428"/>
      <c r="D15" s="2428"/>
      <c r="E15" s="2428"/>
      <c r="F15" s="2429"/>
      <c r="G15" s="2425" t="str">
        <f>COVER!T15</f>
        <v>Russell J. Rumbold II, CPA</v>
      </c>
      <c r="H15" s="2426"/>
      <c r="I15" s="2426"/>
      <c r="J15" s="2426"/>
      <c r="K15" s="2426"/>
      <c r="L15" s="2427"/>
    </row>
    <row r="16" spans="1:29" ht="12.2" customHeight="1" x14ac:dyDescent="0.2">
      <c r="A16" s="2405">
        <f>COVER!A25</f>
        <v>60146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1" t="s">
        <v>1184</v>
      </c>
      <c r="H17" s="1189"/>
      <c r="I17" s="1189"/>
      <c r="J17" s="1189"/>
      <c r="K17" s="1193" t="s">
        <v>1183</v>
      </c>
      <c r="L17" s="1186"/>
      <c r="M17" s="1179"/>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3" t="str">
        <f>'Single Audit Cover'!A7</f>
        <v>Hiawatha CUSD 426</v>
      </c>
      <c r="B1" s="2439"/>
      <c r="C1" s="2439"/>
      <c r="D1" s="2439"/>
    </row>
    <row r="2" spans="1:11" s="1208" customFormat="1" ht="12.75" x14ac:dyDescent="0.2">
      <c r="A2" s="2444">
        <f>'Single Audit Cover'!E7</f>
        <v>16019426026</v>
      </c>
      <c r="B2" s="2445"/>
      <c r="C2" s="2445"/>
      <c r="D2" s="2445"/>
    </row>
    <row r="3" spans="1:11" s="1208" customFormat="1" ht="12.75" x14ac:dyDescent="0.2">
      <c r="A3" s="2443" t="s">
        <v>1513</v>
      </c>
      <c r="B3" s="2439"/>
      <c r="C3" s="2439"/>
      <c r="D3" s="2439"/>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7" t="str">
        <f>'Single Audit Cover'!A7</f>
        <v>Hiawatha CUSD 426</v>
      </c>
      <c r="B1" s="2447"/>
      <c r="C1" s="2447"/>
      <c r="D1" s="2447"/>
      <c r="E1" s="2447"/>
    </row>
    <row r="2" spans="1:5" x14ac:dyDescent="0.2">
      <c r="A2" s="2448">
        <f>'Single Audit Cover'!E7</f>
        <v>16019426026</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3" t="s">
        <v>1243</v>
      </c>
    </row>
    <row r="10" spans="1:5" x14ac:dyDescent="0.2">
      <c r="A10" s="1254" t="s">
        <v>1242</v>
      </c>
      <c r="B10" s="1255" t="s">
        <v>1241</v>
      </c>
      <c r="C10" s="1255"/>
      <c r="D10" s="1256">
        <f>SUM('Acct Summary 7-8'!C7:K7)</f>
        <v>462910</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10448</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-11859</v>
      </c>
    </row>
    <row r="19" spans="1:4" ht="13.5" thickBot="1" x14ac:dyDescent="0.25">
      <c r="A19" s="1258" t="s">
        <v>1235</v>
      </c>
      <c r="D19" s="1259">
        <f>SUM(D10:D17)</f>
        <v>461499</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49"/>
      <c r="B24" s="2449"/>
      <c r="D24" s="1261"/>
    </row>
    <row r="25" spans="1:4" x14ac:dyDescent="0.2">
      <c r="A25" s="2446"/>
      <c r="B25" s="2446"/>
      <c r="D25" s="1261"/>
    </row>
    <row r="26" spans="1:4" x14ac:dyDescent="0.2">
      <c r="A26" s="2446"/>
      <c r="B26" s="2446"/>
      <c r="D26" s="1261"/>
    </row>
    <row r="27" spans="1:4" x14ac:dyDescent="0.2">
      <c r="A27" s="2446"/>
      <c r="B27" s="2446"/>
      <c r="D27" s="1261"/>
    </row>
    <row r="28" spans="1:4" x14ac:dyDescent="0.2">
      <c r="A28" s="2446"/>
      <c r="B28" s="2446"/>
      <c r="D28" s="1261"/>
    </row>
    <row r="29" spans="1:4" x14ac:dyDescent="0.2">
      <c r="A29" s="2446"/>
      <c r="B29" s="2446"/>
      <c r="D29" s="1261"/>
    </row>
    <row r="30" spans="1:4" x14ac:dyDescent="0.2">
      <c r="A30" s="2446"/>
      <c r="B30" s="2446"/>
      <c r="D30" s="1261"/>
    </row>
    <row r="32" spans="1:4" x14ac:dyDescent="0.2">
      <c r="A32" s="1253" t="s">
        <v>1233</v>
      </c>
      <c r="D32" s="1256">
        <f>SUM(D19:D30)</f>
        <v>461499</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46"/>
      <c r="B40" s="2446"/>
      <c r="D40" s="1261"/>
    </row>
    <row r="41" spans="1:4" x14ac:dyDescent="0.2">
      <c r="A41" s="2446"/>
      <c r="B41" s="2446"/>
      <c r="D41" s="1264"/>
    </row>
    <row r="42" spans="1:4" x14ac:dyDescent="0.2">
      <c r="A42" s="2446"/>
      <c r="B42" s="2446"/>
      <c r="D42" s="1264"/>
    </row>
    <row r="43" spans="1:4" x14ac:dyDescent="0.2">
      <c r="A43" s="2446"/>
      <c r="B43" s="2446"/>
      <c r="D43" s="1264"/>
    </row>
    <row r="44" spans="1:4" x14ac:dyDescent="0.2">
      <c r="A44" s="2446"/>
      <c r="B44" s="2446"/>
      <c r="D44" s="1264"/>
    </row>
    <row r="45" spans="1:4" x14ac:dyDescent="0.2">
      <c r="A45" s="2446"/>
      <c r="B45" s="2446"/>
      <c r="D45" s="1264"/>
    </row>
    <row r="47" spans="1:4" x14ac:dyDescent="0.2">
      <c r="B47" s="1265" t="s">
        <v>1227</v>
      </c>
      <c r="C47" s="1265"/>
      <c r="D47" s="1266">
        <f>SUM(D35:D45)</f>
        <v>0</v>
      </c>
    </row>
    <row r="49" spans="2:4" x14ac:dyDescent="0.2">
      <c r="B49" s="1265" t="s">
        <v>1226</v>
      </c>
      <c r="C49" s="1265"/>
      <c r="D49" s="1266">
        <f>D32-D47</f>
        <v>461499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08" t="str">
        <f>'Single Audit Cover'!A7</f>
        <v>Hiawatha CUSD 426</v>
      </c>
      <c r="C1" s="2451"/>
      <c r="D1" s="2451"/>
      <c r="E1" s="2451"/>
      <c r="F1" s="2451"/>
      <c r="G1" s="2451"/>
      <c r="H1" s="2451"/>
      <c r="I1" s="2451"/>
      <c r="J1" s="2451"/>
      <c r="K1" s="2451"/>
      <c r="L1" s="2451"/>
      <c r="M1" s="2451"/>
    </row>
    <row r="2" spans="2:14" ht="15" x14ac:dyDescent="0.2">
      <c r="B2" s="2452">
        <f>'Single Audit Cover'!E7</f>
        <v>16019426026</v>
      </c>
      <c r="C2" s="2452"/>
      <c r="D2" s="2452"/>
      <c r="E2" s="2452"/>
      <c r="F2" s="2452"/>
      <c r="G2" s="2452"/>
      <c r="H2" s="2452"/>
      <c r="I2" s="2452"/>
      <c r="J2" s="2452"/>
      <c r="K2" s="2452"/>
      <c r="L2" s="2452"/>
      <c r="M2" s="2452"/>
      <c r="N2" s="1295"/>
    </row>
    <row r="3" spans="2:14" ht="15" x14ac:dyDescent="0.2">
      <c r="B3" s="2453" t="s">
        <v>1219</v>
      </c>
      <c r="C3" s="2453"/>
      <c r="D3" s="2453"/>
      <c r="E3" s="2453"/>
      <c r="F3" s="2453"/>
      <c r="G3" s="2453"/>
      <c r="H3" s="2453"/>
      <c r="I3" s="2453"/>
      <c r="J3" s="2453"/>
      <c r="K3" s="2453"/>
      <c r="L3" s="2453"/>
      <c r="M3" s="2453"/>
      <c r="N3" s="1295"/>
    </row>
    <row r="4" spans="2:14" ht="15" x14ac:dyDescent="0.2">
      <c r="B4" s="2454" t="str">
        <f>'Single Audit Cover'!A4</f>
        <v>Year Ending June 30, 2019</v>
      </c>
      <c r="C4" s="2454"/>
      <c r="D4" s="2454"/>
      <c r="E4" s="2454"/>
      <c r="F4" s="2454"/>
      <c r="G4" s="2454"/>
      <c r="H4" s="2454"/>
      <c r="I4" s="2454"/>
      <c r="J4" s="2454"/>
      <c r="K4" s="2454"/>
      <c r="L4" s="2454"/>
      <c r="M4" s="2454"/>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Hiawatha CUSD 426</v>
      </c>
      <c r="B1" s="2456"/>
      <c r="C1" s="2456"/>
      <c r="D1" s="2456"/>
      <c r="E1" s="2456"/>
      <c r="F1" s="2456"/>
    </row>
    <row r="2" spans="1:7" ht="13.5" customHeight="1" x14ac:dyDescent="0.2">
      <c r="A2" s="2452">
        <f>'Single Audit Cover'!E7</f>
        <v>16019426026</v>
      </c>
      <c r="B2" s="2452"/>
      <c r="C2" s="2452"/>
      <c r="D2" s="2452"/>
      <c r="E2" s="2452"/>
      <c r="F2" s="2452"/>
      <c r="G2" s="1268"/>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69" t="s">
        <v>1728</v>
      </c>
      <c r="C6" s="317"/>
      <c r="D6" s="317"/>
    </row>
    <row r="7" spans="1:7" ht="60.95" customHeight="1" x14ac:dyDescent="0.2">
      <c r="A7" s="2455" t="s">
        <v>1729</v>
      </c>
      <c r="B7" s="2455"/>
      <c r="C7" s="2455"/>
      <c r="D7" s="2455"/>
      <c r="E7" s="2455"/>
      <c r="F7" s="2455"/>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55" t="s">
        <v>1731</v>
      </c>
      <c r="B13" s="2455"/>
      <c r="C13" s="2455"/>
      <c r="D13" s="2455"/>
      <c r="E13" s="2455"/>
      <c r="F13" s="2455"/>
    </row>
    <row r="14" spans="1:7" ht="9.75" customHeight="1" x14ac:dyDescent="0.2">
      <c r="C14" s="1253"/>
      <c r="D14" s="1253"/>
    </row>
    <row r="15" spans="1:7" ht="13.5" customHeight="1" x14ac:dyDescent="0.2">
      <c r="C15" s="1842" t="s">
        <v>1270</v>
      </c>
      <c r="D15" s="2460" t="s">
        <v>1269</v>
      </c>
      <c r="E15" s="2460"/>
      <c r="F15" s="2460"/>
    </row>
    <row r="16" spans="1:7" ht="13.5" customHeight="1" x14ac:dyDescent="0.2">
      <c r="A16" s="1275"/>
      <c r="B16" s="1269" t="s">
        <v>1268</v>
      </c>
      <c r="C16" s="1842" t="s">
        <v>1267</v>
      </c>
      <c r="D16" s="2461" t="s">
        <v>1588</v>
      </c>
      <c r="E16" s="2461"/>
      <c r="F16" s="2461"/>
    </row>
    <row r="17" spans="1:6" ht="20.45" customHeight="1" x14ac:dyDescent="0.2">
      <c r="A17" s="1276"/>
      <c r="B17" s="1277"/>
      <c r="C17" s="1278"/>
      <c r="D17" s="2459"/>
      <c r="E17" s="2459"/>
      <c r="F17" s="2459"/>
    </row>
    <row r="18" spans="1:6" ht="20.65" customHeight="1" x14ac:dyDescent="0.2">
      <c r="A18" s="1276"/>
      <c r="B18" s="1277"/>
      <c r="C18" s="1278"/>
      <c r="D18" s="2459"/>
      <c r="E18" s="2459"/>
      <c r="F18" s="2459"/>
    </row>
    <row r="19" spans="1:6" ht="20.65" customHeight="1" x14ac:dyDescent="0.2">
      <c r="A19" s="1276"/>
      <c r="B19" s="1277"/>
      <c r="C19" s="1278"/>
      <c r="D19" s="2459"/>
      <c r="E19" s="2459"/>
      <c r="F19" s="2459"/>
    </row>
    <row r="20" spans="1:6" ht="20.65" customHeight="1" x14ac:dyDescent="0.2">
      <c r="A20" s="1276"/>
      <c r="B20" s="1277"/>
      <c r="C20" s="1278"/>
      <c r="D20" s="2459"/>
      <c r="E20" s="2459"/>
      <c r="F20" s="2459"/>
    </row>
    <row r="21" spans="1:6" ht="20.65" customHeight="1" x14ac:dyDescent="0.2">
      <c r="A21" s="1276"/>
      <c r="B21" s="1277"/>
      <c r="C21" s="1278"/>
      <c r="D21" s="2459"/>
      <c r="E21" s="2459"/>
      <c r="F21" s="2459"/>
    </row>
    <row r="22" spans="1:6" ht="20.65" customHeight="1" x14ac:dyDescent="0.2">
      <c r="A22" s="1276"/>
      <c r="B22" s="1277"/>
      <c r="C22" s="1278"/>
      <c r="D22" s="2459"/>
      <c r="E22" s="2459"/>
      <c r="F22" s="2459"/>
    </row>
    <row r="23" spans="1:6" ht="20.65" customHeight="1" x14ac:dyDescent="0.2">
      <c r="A23" s="1276"/>
      <c r="B23" s="1277"/>
      <c r="C23" s="1278"/>
      <c r="D23" s="2459"/>
      <c r="E23" s="2459"/>
      <c r="F23" s="2459"/>
    </row>
    <row r="24" spans="1:6" ht="20.65" customHeight="1" x14ac:dyDescent="0.2">
      <c r="A24" s="1276"/>
      <c r="B24" s="1277"/>
      <c r="C24" s="1278"/>
      <c r="D24" s="2459"/>
      <c r="E24" s="2459"/>
      <c r="F24" s="2459"/>
    </row>
    <row r="25" spans="1:6" ht="20.65" customHeight="1" x14ac:dyDescent="0.2">
      <c r="A25" s="1276"/>
      <c r="B25" s="1277"/>
      <c r="C25" s="1278"/>
      <c r="D25" s="2459"/>
      <c r="E25" s="2459"/>
      <c r="F25" s="2459"/>
    </row>
    <row r="26" spans="1:6" ht="20.65" customHeight="1" x14ac:dyDescent="0.2">
      <c r="A26" s="1276"/>
      <c r="B26" s="1277"/>
      <c r="C26" s="1278"/>
      <c r="D26" s="2459"/>
      <c r="E26" s="2459"/>
      <c r="F26" s="2459"/>
    </row>
    <row r="27" spans="1:6" ht="20.65" customHeight="1" x14ac:dyDescent="0.2">
      <c r="A27" s="1276"/>
      <c r="B27" s="1277"/>
      <c r="C27" s="1278"/>
      <c r="D27" s="2459"/>
      <c r="E27" s="2459"/>
      <c r="F27" s="2459"/>
    </row>
    <row r="28" spans="1:6" ht="20.65" customHeight="1" x14ac:dyDescent="0.2">
      <c r="A28" s="1276"/>
      <c r="B28" s="1277"/>
      <c r="C28" s="1278"/>
      <c r="D28" s="2459"/>
      <c r="E28" s="2459"/>
      <c r="F28" s="2459"/>
    </row>
    <row r="29" spans="1:6" ht="20.65" customHeight="1" x14ac:dyDescent="0.2">
      <c r="A29" s="1276"/>
      <c r="B29" s="1277"/>
      <c r="C29" s="1278"/>
      <c r="D29" s="2459"/>
      <c r="E29" s="2459"/>
      <c r="F29" s="2459"/>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63" t="s">
        <v>1732</v>
      </c>
      <c r="B32" s="2463"/>
      <c r="C32" s="2463"/>
      <c r="D32" s="2463"/>
      <c r="E32" s="2463"/>
      <c r="F32" s="2463"/>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64">
        <f>+C33+C34</f>
        <v>0</v>
      </c>
      <c r="F34" s="2465"/>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66" t="s">
        <v>1590</v>
      </c>
      <c r="C49" s="2466"/>
      <c r="D49" s="2466"/>
      <c r="E49" s="1392"/>
    </row>
    <row r="50" spans="1:5" s="1293" customFormat="1" ht="3.75" customHeight="1" x14ac:dyDescent="0.2">
      <c r="A50" s="1292"/>
      <c r="B50" s="1841"/>
      <c r="C50" s="1841"/>
      <c r="D50" s="1841"/>
      <c r="E50" s="1392"/>
    </row>
    <row r="51" spans="1:5" s="1293" customFormat="1" ht="20.25" customHeight="1" x14ac:dyDescent="0.2">
      <c r="A51" s="1294">
        <v>6</v>
      </c>
      <c r="B51" s="2462" t="s">
        <v>1551</v>
      </c>
      <c r="C51" s="2462"/>
      <c r="D51" s="2462"/>
    </row>
    <row r="52" spans="1:5" ht="14.25" customHeight="1" x14ac:dyDescent="0.2">
      <c r="A52" s="1294"/>
      <c r="B52" s="2462"/>
      <c r="C52" s="2462"/>
      <c r="D52" s="246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Hiawatha CUSD 426</v>
      </c>
      <c r="C1" s="2472"/>
      <c r="D1" s="2472"/>
      <c r="E1" s="2472"/>
      <c r="F1" s="2472"/>
      <c r="G1" s="2472"/>
      <c r="H1" s="2472"/>
      <c r="I1" s="2472"/>
      <c r="J1" s="1402"/>
    </row>
    <row r="2" spans="2:10" s="317" customFormat="1" ht="12.75" customHeight="1" x14ac:dyDescent="0.2">
      <c r="B2" s="2473">
        <f>'Single Audit Cover'!E7</f>
        <v>16019426026</v>
      </c>
      <c r="C2" s="2474"/>
      <c r="D2" s="2474"/>
      <c r="E2" s="2474"/>
      <c r="F2" s="2474"/>
      <c r="G2" s="2474"/>
      <c r="H2" s="2474"/>
      <c r="I2" s="2474"/>
      <c r="J2" s="1402"/>
    </row>
    <row r="3" spans="2:10" s="317" customFormat="1" ht="12.75" customHeight="1" x14ac:dyDescent="0.2">
      <c r="B3" s="2475" t="s">
        <v>1285</v>
      </c>
      <c r="C3" s="2476"/>
      <c r="D3" s="2476"/>
      <c r="E3" s="2476"/>
      <c r="F3" s="2476"/>
      <c r="G3" s="2476"/>
      <c r="H3" s="2476"/>
      <c r="I3" s="2476"/>
      <c r="J3" s="1403"/>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75" t="s">
        <v>1284</v>
      </c>
      <c r="C7" s="2476"/>
      <c r="D7" s="2476"/>
      <c r="E7" s="2476"/>
      <c r="F7" s="2476"/>
      <c r="G7" s="2476"/>
      <c r="H7" s="2476"/>
      <c r="I7" s="2476"/>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77"/>
      <c r="D11" s="2477"/>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78"/>
      <c r="E29" s="2478"/>
      <c r="F29" s="2478"/>
      <c r="G29" s="2478"/>
      <c r="H29" s="2478"/>
      <c r="I29" s="2478"/>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79" t="s">
        <v>1751</v>
      </c>
      <c r="D37" s="2480"/>
      <c r="E37" s="2480"/>
      <c r="F37" s="2481"/>
      <c r="G37" s="2479" t="s">
        <v>1592</v>
      </c>
      <c r="H37" s="2480"/>
      <c r="I37" s="2481"/>
    </row>
    <row r="38" spans="2:9" ht="16.5" customHeight="1" x14ac:dyDescent="0.2">
      <c r="B38" s="1424"/>
      <c r="C38" s="2467"/>
      <c r="D38" s="2468"/>
      <c r="E38" s="2468"/>
      <c r="F38" s="2469"/>
      <c r="G38" s="2482"/>
      <c r="H38" s="2483"/>
      <c r="I38" s="2484"/>
    </row>
    <row r="39" spans="2:9" ht="16.5" customHeight="1" x14ac:dyDescent="0.2">
      <c r="B39" s="1424"/>
      <c r="C39" s="2467"/>
      <c r="D39" s="2468"/>
      <c r="E39" s="2468"/>
      <c r="F39" s="2469"/>
      <c r="G39" s="2470"/>
      <c r="H39" s="2470"/>
      <c r="I39" s="2470"/>
    </row>
    <row r="40" spans="2:9" ht="16.5" customHeight="1" x14ac:dyDescent="0.2">
      <c r="B40" s="1424"/>
      <c r="C40" s="2467"/>
      <c r="D40" s="2468"/>
      <c r="E40" s="2468"/>
      <c r="F40" s="2469"/>
      <c r="G40" s="2470"/>
      <c r="H40" s="2470"/>
      <c r="I40" s="2470"/>
    </row>
    <row r="41" spans="2:9" ht="16.5" customHeight="1" x14ac:dyDescent="0.2">
      <c r="B41" s="1424"/>
      <c r="C41" s="2467"/>
      <c r="D41" s="2468"/>
      <c r="E41" s="2468"/>
      <c r="F41" s="2469"/>
      <c r="G41" s="2470"/>
      <c r="H41" s="2470"/>
      <c r="I41" s="2470"/>
    </row>
    <row r="42" spans="2:9" ht="16.5" customHeight="1" x14ac:dyDescent="0.2">
      <c r="B42" s="1424"/>
      <c r="C42" s="2467"/>
      <c r="D42" s="2468"/>
      <c r="E42" s="2468"/>
      <c r="F42" s="2469"/>
      <c r="G42" s="2470"/>
      <c r="H42" s="2470"/>
      <c r="I42" s="2470"/>
    </row>
    <row r="43" spans="2:9" ht="16.5" customHeight="1" x14ac:dyDescent="0.2">
      <c r="B43" s="1424"/>
      <c r="C43" s="2485" t="s">
        <v>1593</v>
      </c>
      <c r="D43" s="2486"/>
      <c r="E43" s="2486"/>
      <c r="F43" s="2487"/>
      <c r="G43" s="2488">
        <f>SUM(G38:I42)</f>
        <v>0</v>
      </c>
      <c r="H43" s="2488"/>
      <c r="I43" s="2488"/>
    </row>
    <row r="44" spans="2:9" ht="12.75" customHeight="1" x14ac:dyDescent="0.2"/>
    <row r="45" spans="2:9" ht="12.75" customHeight="1" x14ac:dyDescent="0.2">
      <c r="B45" s="1415" t="s">
        <v>1841</v>
      </c>
      <c r="D45" s="2489">
        <v>0</v>
      </c>
      <c r="E45" s="2490"/>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91"/>
      <c r="F49" s="2491"/>
      <c r="G49" s="2491"/>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
        <v>2075</v>
      </c>
      <c r="C1" s="2471"/>
      <c r="D1" s="2471"/>
      <c r="E1" s="2471"/>
      <c r="F1" s="2471"/>
      <c r="G1" s="2471"/>
      <c r="H1" s="2471"/>
      <c r="I1" s="2471"/>
      <c r="J1" s="2471"/>
      <c r="K1" s="2471"/>
      <c r="L1" s="1367"/>
      <c r="M1" s="1367"/>
    </row>
    <row r="2" spans="1:13" ht="12" customHeight="1" x14ac:dyDescent="0.2">
      <c r="B2" s="2473" t="s">
        <v>2073</v>
      </c>
      <c r="C2" s="2473"/>
      <c r="D2" s="2473"/>
      <c r="E2" s="2473"/>
      <c r="F2" s="2473"/>
      <c r="G2" s="2473"/>
      <c r="H2" s="2473"/>
      <c r="I2" s="2473"/>
      <c r="J2" s="2473"/>
      <c r="K2" s="2473"/>
      <c r="L2" s="1368"/>
      <c r="M2" s="1369"/>
    </row>
    <row r="3" spans="1:13" ht="10.35" customHeight="1" x14ac:dyDescent="0.2">
      <c r="B3" s="2494" t="s">
        <v>1285</v>
      </c>
      <c r="C3" s="2494"/>
      <c r="D3" s="2494"/>
      <c r="E3" s="2494"/>
      <c r="F3" s="2494"/>
      <c r="G3" s="2494"/>
      <c r="H3" s="2494"/>
      <c r="I3" s="2494"/>
      <c r="J3" s="2494"/>
      <c r="K3" s="2494"/>
      <c r="L3" s="1933"/>
      <c r="M3" s="1933"/>
    </row>
    <row r="4" spans="1:13" ht="14.25" customHeight="1" x14ac:dyDescent="0.2">
      <c r="B4" s="2495" t="str">
        <f>'SF&amp;QC Sec-1'!B4:I4</f>
        <v>Year Ending June 30, 2019</v>
      </c>
      <c r="C4" s="2495"/>
      <c r="D4" s="2495"/>
      <c r="E4" s="2495"/>
      <c r="F4" s="2495"/>
      <c r="G4" s="2495"/>
      <c r="H4" s="2495"/>
      <c r="I4" s="2495"/>
      <c r="J4" s="2495"/>
      <c r="K4" s="2495"/>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5" t="s">
        <v>1296</v>
      </c>
      <c r="C7" s="2495"/>
      <c r="D7" s="2496"/>
      <c r="E7" s="2496"/>
      <c r="F7" s="2496"/>
      <c r="G7" s="2496"/>
      <c r="H7" s="2496"/>
      <c r="I7" s="2496"/>
      <c r="J7" s="2496"/>
      <c r="K7" s="2496"/>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2070</v>
      </c>
      <c r="J10" s="1383" t="s">
        <v>1293</v>
      </c>
      <c r="K10" s="322"/>
      <c r="L10" s="1374"/>
    </row>
    <row r="11" spans="1:13" ht="13.5" customHeight="1" x14ac:dyDescent="0.2">
      <c r="B11" s="322"/>
      <c r="C11" s="322"/>
      <c r="D11" s="322"/>
      <c r="E11" s="322"/>
      <c r="F11" s="322"/>
      <c r="G11" s="1376"/>
      <c r="H11" s="322"/>
      <c r="I11" s="1384" t="s">
        <v>1292</v>
      </c>
      <c r="J11" s="322"/>
      <c r="K11" s="1385">
        <v>2013</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57.75" customHeight="1" x14ac:dyDescent="0.2">
      <c r="B14" s="2493" t="s">
        <v>2121</v>
      </c>
      <c r="C14" s="2493"/>
      <c r="D14" s="2493"/>
      <c r="E14" s="2493"/>
      <c r="F14" s="2493"/>
      <c r="G14" s="2493"/>
      <c r="H14" s="2493"/>
      <c r="I14" s="2493"/>
      <c r="J14" s="2493"/>
      <c r="K14" s="2493"/>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57.75" customHeight="1" x14ac:dyDescent="0.2">
      <c r="B17" s="2493" t="s">
        <v>2122</v>
      </c>
      <c r="C17" s="2493"/>
      <c r="D17" s="2493"/>
      <c r="E17" s="2493"/>
      <c r="F17" s="2493"/>
      <c r="G17" s="2493"/>
      <c r="H17" s="2493"/>
      <c r="I17" s="2493"/>
      <c r="J17" s="2493"/>
      <c r="K17" s="2493"/>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7" t="s">
        <v>2119</v>
      </c>
      <c r="C20" s="2497"/>
      <c r="D20" s="2493"/>
      <c r="E20" s="2493"/>
      <c r="F20" s="2493"/>
      <c r="G20" s="2493"/>
      <c r="H20" s="2493"/>
      <c r="I20" s="2493"/>
      <c r="J20" s="2493"/>
      <c r="K20" s="2493"/>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3" t="s">
        <v>2118</v>
      </c>
      <c r="C23" s="2493"/>
      <c r="D23" s="2493"/>
      <c r="E23" s="2493"/>
      <c r="F23" s="2493"/>
      <c r="G23" s="2493"/>
      <c r="H23" s="2493"/>
      <c r="I23" s="2493"/>
      <c r="J23" s="2493"/>
      <c r="K23" s="2493"/>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3" t="s">
        <v>2117</v>
      </c>
      <c r="C26" s="2493"/>
      <c r="D26" s="2493"/>
      <c r="E26" s="2493"/>
      <c r="F26" s="2493"/>
      <c r="G26" s="2493"/>
      <c r="H26" s="2493"/>
      <c r="I26" s="2493"/>
      <c r="J26" s="2493"/>
      <c r="K26" s="2493"/>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2" t="s">
        <v>2116</v>
      </c>
      <c r="C29" s="2492"/>
      <c r="D29" s="2493"/>
      <c r="E29" s="2493"/>
      <c r="F29" s="2493"/>
      <c r="G29" s="2493"/>
      <c r="H29" s="2493"/>
      <c r="I29" s="2493"/>
      <c r="J29" s="2493"/>
      <c r="K29" s="2493"/>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2" t="str">
        <f>'SF&amp;QC Sec-2'!B32:K32</f>
        <v>The Board of Education currently believes the cost of additional staff outweighs any benefits that may be realized.</v>
      </c>
      <c r="C32" s="2492"/>
      <c r="D32" s="2493"/>
      <c r="E32" s="2493"/>
      <c r="F32" s="2493"/>
      <c r="G32" s="2493"/>
      <c r="H32" s="2493"/>
      <c r="I32" s="2493"/>
      <c r="J32" s="2493"/>
      <c r="K32" s="2493"/>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2123</v>
      </c>
      <c r="C36" s="1293"/>
      <c r="L36" s="1374"/>
    </row>
    <row r="37" spans="1:13" ht="9.6" customHeight="1" x14ac:dyDescent="0.2">
      <c r="B37" s="1293" t="s">
        <v>2124</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Hiawatha CUSD 426</v>
      </c>
      <c r="C1" s="2471"/>
      <c r="D1" s="2471"/>
      <c r="E1" s="2471"/>
      <c r="F1" s="2471"/>
      <c r="G1" s="2471"/>
      <c r="H1" s="2471"/>
      <c r="I1" s="2471"/>
      <c r="J1" s="2471"/>
      <c r="K1" s="2471"/>
      <c r="L1" s="1367"/>
      <c r="M1" s="1367"/>
    </row>
    <row r="2" spans="1:13" ht="12" customHeight="1" x14ac:dyDescent="0.2">
      <c r="B2" s="2473">
        <f>'Single Audit Cover'!E7</f>
        <v>16019426026</v>
      </c>
      <c r="C2" s="2473"/>
      <c r="D2" s="2473"/>
      <c r="E2" s="2473"/>
      <c r="F2" s="2473"/>
      <c r="G2" s="2473"/>
      <c r="H2" s="2473"/>
      <c r="I2" s="2473"/>
      <c r="J2" s="2473"/>
      <c r="K2" s="2473"/>
      <c r="L2" s="1368"/>
      <c r="M2" s="1369"/>
    </row>
    <row r="3" spans="1:13" ht="10.35" customHeight="1" x14ac:dyDescent="0.2">
      <c r="B3" s="2494" t="s">
        <v>1285</v>
      </c>
      <c r="C3" s="2494"/>
      <c r="D3" s="2494"/>
      <c r="E3" s="2494"/>
      <c r="F3" s="2494"/>
      <c r="G3" s="2494"/>
      <c r="H3" s="2494"/>
      <c r="I3" s="2494"/>
      <c r="J3" s="2494"/>
      <c r="K3" s="2494"/>
      <c r="L3" s="1370"/>
      <c r="M3" s="1370"/>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5" t="s">
        <v>1296</v>
      </c>
      <c r="C7" s="2495"/>
      <c r="D7" s="2496"/>
      <c r="E7" s="2496"/>
      <c r="F7" s="2496"/>
      <c r="G7" s="2496"/>
      <c r="H7" s="2496"/>
      <c r="I7" s="2496"/>
      <c r="J7" s="2496"/>
      <c r="K7" s="2496"/>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2115</v>
      </c>
      <c r="J10" s="1383" t="s">
        <v>1293</v>
      </c>
      <c r="K10" s="322"/>
      <c r="L10" s="1374"/>
    </row>
    <row r="11" spans="1:13" ht="13.5" customHeight="1" x14ac:dyDescent="0.2">
      <c r="B11" s="322"/>
      <c r="C11" s="322"/>
      <c r="D11" s="322"/>
      <c r="E11" s="322"/>
      <c r="F11" s="322"/>
      <c r="G11" s="1376"/>
      <c r="H11" s="322"/>
      <c r="I11" s="1384" t="s">
        <v>1292</v>
      </c>
      <c r="J11" s="322"/>
      <c r="K11" s="1385">
        <v>2013</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3" t="s">
        <v>2120</v>
      </c>
      <c r="C14" s="2493"/>
      <c r="D14" s="2493"/>
      <c r="E14" s="2493"/>
      <c r="F14" s="2493"/>
      <c r="G14" s="2493"/>
      <c r="H14" s="2493"/>
      <c r="I14" s="2493"/>
      <c r="J14" s="2493"/>
      <c r="K14" s="2493"/>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3" t="str">
        <f>'CAP 2019-001'!B11:E11</f>
        <v>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v>
      </c>
      <c r="C17" s="2493"/>
      <c r="D17" s="2493"/>
      <c r="E17" s="2493"/>
      <c r="F17" s="2493"/>
      <c r="G17" s="2493"/>
      <c r="H17" s="2493"/>
      <c r="I17" s="2493"/>
      <c r="J17" s="2493"/>
      <c r="K17" s="2493"/>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7" t="s">
        <v>2119</v>
      </c>
      <c r="C20" s="2497"/>
      <c r="D20" s="2493"/>
      <c r="E20" s="2493"/>
      <c r="F20" s="2493"/>
      <c r="G20" s="2493"/>
      <c r="H20" s="2493"/>
      <c r="I20" s="2493"/>
      <c r="J20" s="2493"/>
      <c r="K20" s="2493"/>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3" t="s">
        <v>2118</v>
      </c>
      <c r="C23" s="2493"/>
      <c r="D23" s="2493"/>
      <c r="E23" s="2493"/>
      <c r="F23" s="2493"/>
      <c r="G23" s="2493"/>
      <c r="H23" s="2493"/>
      <c r="I23" s="2493"/>
      <c r="J23" s="2493"/>
      <c r="K23" s="2493"/>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3" t="s">
        <v>2117</v>
      </c>
      <c r="C26" s="2493"/>
      <c r="D26" s="2493"/>
      <c r="E26" s="2493"/>
      <c r="F26" s="2493"/>
      <c r="G26" s="2493"/>
      <c r="H26" s="2493"/>
      <c r="I26" s="2493"/>
      <c r="J26" s="2493"/>
      <c r="K26" s="2493"/>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2" t="s">
        <v>2116</v>
      </c>
      <c r="C29" s="2492"/>
      <c r="D29" s="2493"/>
      <c r="E29" s="2493"/>
      <c r="F29" s="2493"/>
      <c r="G29" s="2493"/>
      <c r="H29" s="2493"/>
      <c r="I29" s="2493"/>
      <c r="J29" s="2493"/>
      <c r="K29" s="2493"/>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2" t="s">
        <v>2114</v>
      </c>
      <c r="C32" s="2492"/>
      <c r="D32" s="2493"/>
      <c r="E32" s="2493"/>
      <c r="F32" s="2493"/>
      <c r="G32" s="2493"/>
      <c r="H32" s="2493"/>
      <c r="I32" s="2493"/>
      <c r="J32" s="2493"/>
      <c r="K32" s="2493"/>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Hiawatha CUSD 426</v>
      </c>
      <c r="C1" s="2498"/>
      <c r="D1" s="2498"/>
      <c r="E1" s="2498"/>
      <c r="F1" s="2498"/>
      <c r="G1" s="2498"/>
      <c r="H1" s="2498"/>
      <c r="I1" s="2498"/>
      <c r="J1" s="2498"/>
      <c r="K1" s="2498"/>
      <c r="L1" s="1445"/>
    </row>
    <row r="2" spans="1:12" ht="12.75" customHeight="1" x14ac:dyDescent="0.2">
      <c r="B2" s="2499">
        <f>'Single Audit Cover'!E7</f>
        <v>16019426026</v>
      </c>
      <c r="C2" s="2499"/>
      <c r="D2" s="2499"/>
      <c r="E2" s="2499"/>
      <c r="F2" s="2499"/>
      <c r="G2" s="2499"/>
      <c r="H2" s="2499"/>
      <c r="I2" s="2499"/>
      <c r="J2" s="2499"/>
      <c r="K2" s="2499"/>
      <c r="L2" s="1446"/>
    </row>
    <row r="3" spans="1:12" ht="12.75" customHeight="1" x14ac:dyDescent="0.2">
      <c r="B3" s="2494" t="s">
        <v>1285</v>
      </c>
      <c r="C3" s="2494"/>
      <c r="D3" s="2494"/>
      <c r="E3" s="2494"/>
      <c r="F3" s="2494"/>
      <c r="G3" s="2494"/>
      <c r="H3" s="2494"/>
      <c r="I3" s="2494"/>
      <c r="J3" s="2494"/>
      <c r="K3" s="2494"/>
      <c r="L3" s="1370"/>
    </row>
    <row r="4" spans="1:12" ht="12.75" customHeight="1" x14ac:dyDescent="0.2">
      <c r="B4" s="2494" t="str">
        <f>'Single Audit Cover'!A4</f>
        <v>Year Ending June 30, 2019</v>
      </c>
      <c r="C4" s="2494"/>
      <c r="D4" s="2494"/>
      <c r="E4" s="2494"/>
      <c r="F4" s="2494"/>
      <c r="G4" s="2494"/>
      <c r="H4" s="2494"/>
      <c r="I4" s="2494"/>
      <c r="J4" s="2494"/>
      <c r="K4" s="2494"/>
      <c r="L4" s="1370"/>
    </row>
    <row r="5" spans="1:12" ht="5.25" customHeight="1" x14ac:dyDescent="0.2">
      <c r="B5" s="1253" t="s">
        <v>1169</v>
      </c>
      <c r="C5" s="1253"/>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78"/>
      <c r="G12" s="2478"/>
      <c r="H12" s="2478"/>
      <c r="I12" s="2478"/>
      <c r="J12" s="2478"/>
      <c r="K12" s="2478"/>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501"/>
      <c r="E14" s="2501"/>
      <c r="F14" s="2501"/>
      <c r="H14" s="1455" t="s">
        <v>1303</v>
      </c>
      <c r="I14" s="2502"/>
      <c r="J14" s="2502"/>
      <c r="K14" s="2502"/>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502"/>
      <c r="E16" s="2502"/>
      <c r="F16" s="2502"/>
      <c r="G16" s="2502"/>
      <c r="H16" s="2502"/>
      <c r="I16" s="2502"/>
      <c r="J16" s="2502"/>
      <c r="K16" s="2502"/>
      <c r="L16" s="322"/>
    </row>
    <row r="17" spans="2:12" ht="13.5" customHeight="1" x14ac:dyDescent="0.2">
      <c r="B17" s="1380" t="s">
        <v>1301</v>
      </c>
      <c r="C17" s="1380"/>
      <c r="D17" s="2503"/>
      <c r="E17" s="2503"/>
      <c r="F17" s="2503"/>
      <c r="G17" s="2503"/>
      <c r="H17" s="2503"/>
      <c r="I17" s="2503"/>
      <c r="J17" s="2503"/>
      <c r="K17" s="2503"/>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93"/>
      <c r="C20" s="2493"/>
      <c r="D20" s="2493"/>
      <c r="E20" s="2493"/>
      <c r="F20" s="2493"/>
      <c r="G20" s="2493"/>
      <c r="H20" s="2493"/>
      <c r="I20" s="2493"/>
      <c r="J20" s="2493"/>
      <c r="K20" s="2493"/>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71" t="str">
        <f>'Single Audit Cover'!A7</f>
        <v>Hiawatha CUSD 426</v>
      </c>
      <c r="C1" s="2471"/>
      <c r="D1" s="2471"/>
      <c r="E1" s="1465"/>
    </row>
    <row r="2" spans="2:5" s="1275" customFormat="1" ht="12.75" customHeight="1" x14ac:dyDescent="0.2">
      <c r="B2" s="2473">
        <f>'Single Audit Cover'!E7</f>
        <v>16019426026</v>
      </c>
      <c r="C2" s="2473"/>
      <c r="D2" s="2473"/>
      <c r="E2" s="1466"/>
    </row>
    <row r="3" spans="2:5" ht="12.75" customHeight="1" x14ac:dyDescent="0.2">
      <c r="B3" s="2494" t="s">
        <v>1766</v>
      </c>
      <c r="C3" s="2494"/>
      <c r="D3" s="2494"/>
      <c r="E3" s="1267"/>
    </row>
    <row r="4" spans="2:5" s="1275" customFormat="1" ht="12.75" customHeight="1" x14ac:dyDescent="0.2">
      <c r="B4" s="2504" t="str">
        <f>'Single Audit Cover'!A4</f>
        <v>Year Ending June 30, 2019</v>
      </c>
      <c r="C4" s="2504"/>
      <c r="D4" s="2504"/>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2096</v>
      </c>
      <c r="C7" s="324" t="s">
        <v>2097</v>
      </c>
      <c r="D7" s="324" t="s">
        <v>2098</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6" t="str">
        <f>SSPAF!B1</f>
        <v>Hiawatha CUSD 426</v>
      </c>
      <c r="C1" s="2506"/>
      <c r="D1" s="2506"/>
      <c r="E1" s="2506"/>
      <c r="F1" s="1934"/>
      <c r="G1" s="1934"/>
      <c r="H1" s="1934"/>
      <c r="I1" s="1934"/>
      <c r="J1" s="1934"/>
      <c r="K1" s="1934"/>
      <c r="L1" s="1934"/>
    </row>
    <row r="2" spans="2:12" ht="13.5" customHeight="1" x14ac:dyDescent="0.2">
      <c r="B2" s="2507">
        <f>SSPAF!B2</f>
        <v>16019426026</v>
      </c>
      <c r="C2" s="2507"/>
      <c r="D2" s="2507"/>
      <c r="E2" s="2507"/>
      <c r="F2" s="1936"/>
      <c r="G2" s="1936"/>
      <c r="H2" s="1936"/>
      <c r="I2" s="1936"/>
      <c r="J2" s="1936"/>
      <c r="K2" s="1936"/>
      <c r="L2" s="1936"/>
    </row>
    <row r="3" spans="2:12" ht="13.5" customHeight="1" x14ac:dyDescent="0.2">
      <c r="B3" s="2508" t="s">
        <v>2099</v>
      </c>
      <c r="C3" s="2508"/>
      <c r="D3" s="2508"/>
      <c r="E3" s="2508"/>
      <c r="F3" s="1937"/>
      <c r="G3" s="1937"/>
      <c r="H3" s="1937"/>
      <c r="I3" s="1937"/>
      <c r="J3" s="1937"/>
      <c r="K3" s="1937"/>
      <c r="L3" s="1937"/>
    </row>
    <row r="4" spans="2:12" ht="13.5" customHeight="1" x14ac:dyDescent="0.2">
      <c r="B4" s="2509" t="s">
        <v>1989</v>
      </c>
      <c r="C4" s="2509"/>
      <c r="D4" s="2509"/>
      <c r="E4" s="2509"/>
      <c r="F4" s="1938"/>
      <c r="G4" s="1938"/>
      <c r="H4" s="1938"/>
      <c r="I4" s="1938"/>
      <c r="J4" s="1938"/>
      <c r="K4" s="1938"/>
      <c r="L4" s="1938"/>
    </row>
    <row r="5" spans="2:12" ht="29.85" customHeight="1" x14ac:dyDescent="0.2"/>
    <row r="6" spans="2:12" ht="13.5" customHeight="1" x14ac:dyDescent="0.2">
      <c r="B6" s="1939" t="s">
        <v>2100</v>
      </c>
      <c r="C6" s="1939"/>
      <c r="D6" s="1940"/>
      <c r="E6" s="1941"/>
      <c r="F6" s="1941"/>
      <c r="G6" s="1942"/>
      <c r="H6" s="1942"/>
      <c r="I6" s="1942"/>
    </row>
    <row r="7" spans="2:12" ht="13.5" customHeight="1" x14ac:dyDescent="0.2">
      <c r="B7" s="1935" t="s">
        <v>1169</v>
      </c>
    </row>
    <row r="8" spans="2:12" ht="13.5" customHeight="1" x14ac:dyDescent="0.2">
      <c r="B8" s="1943" t="s">
        <v>2101</v>
      </c>
      <c r="C8" s="1944" t="s">
        <v>1991</v>
      </c>
      <c r="D8" s="1945">
        <v>1</v>
      </c>
    </row>
    <row r="9" spans="2:12" ht="13.5" customHeight="1" x14ac:dyDescent="0.2">
      <c r="B9" s="1946"/>
      <c r="C9" s="1946"/>
      <c r="D9" s="1946"/>
    </row>
    <row r="10" spans="2:12" ht="13.5" customHeight="1" x14ac:dyDescent="0.2">
      <c r="B10" s="1943" t="s">
        <v>2102</v>
      </c>
      <c r="C10" s="1943"/>
    </row>
    <row r="11" spans="2:12" ht="66.75" customHeight="1" x14ac:dyDescent="0.2">
      <c r="B11" s="2505" t="s">
        <v>2112</v>
      </c>
      <c r="C11" s="2505"/>
      <c r="D11" s="2505"/>
      <c r="E11" s="2505"/>
    </row>
    <row r="12" spans="2:12" ht="13.5" customHeight="1" x14ac:dyDescent="0.2"/>
    <row r="13" spans="2:12" ht="13.5" customHeight="1" x14ac:dyDescent="0.2">
      <c r="B13" s="1943" t="s">
        <v>2103</v>
      </c>
      <c r="C13" s="1943"/>
    </row>
    <row r="14" spans="2:12" ht="76.5" customHeight="1" x14ac:dyDescent="0.2">
      <c r="B14" s="2505" t="s">
        <v>2104</v>
      </c>
      <c r="C14" s="2505"/>
      <c r="D14" s="2505"/>
      <c r="E14" s="2505"/>
    </row>
    <row r="15" spans="2:12" ht="13.5" customHeight="1" x14ac:dyDescent="0.2"/>
    <row r="16" spans="2:12" ht="13.5" customHeight="1" x14ac:dyDescent="0.2">
      <c r="B16" s="1943" t="s">
        <v>2105</v>
      </c>
      <c r="C16" s="1943"/>
      <c r="E16" s="1947" t="s">
        <v>2106</v>
      </c>
    </row>
    <row r="17" spans="2:5" ht="13.5" customHeight="1" x14ac:dyDescent="0.2"/>
    <row r="18" spans="2:5" ht="13.5" customHeight="1" x14ac:dyDescent="0.2">
      <c r="B18" s="1943" t="s">
        <v>2107</v>
      </c>
      <c r="C18" s="1943"/>
      <c r="E18" s="1948" t="s">
        <v>2111</v>
      </c>
    </row>
    <row r="19" spans="2:5" ht="13.5" customHeight="1" x14ac:dyDescent="0.2"/>
    <row r="20" spans="2:5" ht="13.5" customHeight="1" x14ac:dyDescent="0.2">
      <c r="B20" s="1943" t="s">
        <v>2108</v>
      </c>
      <c r="C20" s="1943"/>
      <c r="E20" s="1948" t="s">
        <v>2113</v>
      </c>
    </row>
    <row r="21" spans="2:5" ht="13.5" customHeight="1" x14ac:dyDescent="0.2">
      <c r="E21" s="1948" t="s">
        <v>2109</v>
      </c>
    </row>
    <row r="22" spans="2:5" ht="13.5" customHeight="1" x14ac:dyDescent="0.2">
      <c r="E22" s="1948"/>
    </row>
    <row r="23" spans="2:5" ht="13.5" customHeight="1" x14ac:dyDescent="0.2"/>
    <row r="24" spans="2:5" ht="13.5" customHeight="1" x14ac:dyDescent="0.2"/>
    <row r="25" spans="2:5" ht="13.5" customHeight="1" x14ac:dyDescent="0.2">
      <c r="B25" s="1949"/>
      <c r="C25" s="1949"/>
      <c r="D25" s="1949"/>
    </row>
    <row r="26" spans="2:5" ht="13.5" customHeight="1" x14ac:dyDescent="0.2">
      <c r="B26" s="1949"/>
      <c r="C26" s="1949"/>
      <c r="D26" s="1949"/>
    </row>
    <row r="27" spans="2:5" ht="13.5" customHeight="1" x14ac:dyDescent="0.2">
      <c r="B27" s="1949"/>
      <c r="C27" s="1949"/>
      <c r="D27" s="19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0"/>
      <c r="C35" s="1950"/>
      <c r="D35" s="1950"/>
    </row>
    <row r="36" spans="2:5" ht="13.5" customHeight="1" x14ac:dyDescent="0.2"/>
    <row r="37" spans="2:5" ht="13.5" customHeight="1" x14ac:dyDescent="0.2">
      <c r="B37" s="1950"/>
      <c r="C37" s="1950"/>
      <c r="D37" s="1950"/>
    </row>
    <row r="38" spans="2:5" ht="13.5" customHeight="1" x14ac:dyDescent="0.2">
      <c r="B38" s="1950"/>
      <c r="C38" s="1950"/>
      <c r="D38" s="1950"/>
    </row>
    <row r="39" spans="2:5" ht="13.5" customHeight="1" x14ac:dyDescent="0.2">
      <c r="B39" s="1950"/>
      <c r="C39" s="1950"/>
      <c r="D39" s="1950"/>
    </row>
    <row r="40" spans="2:5" ht="13.5" customHeight="1" x14ac:dyDescent="0.2">
      <c r="B40" s="1950"/>
      <c r="C40" s="1950"/>
      <c r="D40" s="1950"/>
    </row>
    <row r="41" spans="2:5" ht="13.5" customHeight="1" x14ac:dyDescent="0.2">
      <c r="B41" s="1951"/>
      <c r="C41" s="1951"/>
      <c r="D41" s="1951"/>
      <c r="E41" s="1951"/>
    </row>
    <row r="42" spans="2:5" ht="12.2" customHeight="1" x14ac:dyDescent="0.2">
      <c r="B42" s="1952" t="s">
        <v>2110</v>
      </c>
      <c r="C42" s="1952"/>
      <c r="D42" s="1952"/>
    </row>
    <row r="43" spans="2:5" ht="12.2" customHeight="1" x14ac:dyDescent="0.2">
      <c r="B43" s="1953"/>
      <c r="C43" s="1953"/>
      <c r="D43" s="1953"/>
    </row>
    <row r="44" spans="2:5" ht="12.75" customHeight="1" x14ac:dyDescent="0.2">
      <c r="B44" s="1943"/>
      <c r="C44" s="1943"/>
      <c r="D44" s="1943"/>
    </row>
    <row r="45" spans="2:5" ht="12.75" customHeight="1" x14ac:dyDescent="0.2">
      <c r="B45" s="1943"/>
      <c r="C45" s="1943"/>
      <c r="D45" s="1943"/>
    </row>
    <row r="46" spans="2:5" x14ac:dyDescent="0.2">
      <c r="B46" s="1943"/>
      <c r="C46" s="1943"/>
      <c r="D46" s="1943"/>
    </row>
    <row r="47" spans="2:5" x14ac:dyDescent="0.2">
      <c r="B47" s="1943"/>
      <c r="C47" s="1943"/>
      <c r="D47" s="1943"/>
    </row>
    <row r="51" spans="2:4" x14ac:dyDescent="0.2">
      <c r="B51" s="1954"/>
      <c r="C51" s="1954"/>
      <c r="D51" s="19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5"/>
      <c r="C64" s="1955"/>
      <c r="D64" s="1955"/>
    </row>
    <row r="65" spans="2:4" x14ac:dyDescent="0.2">
      <c r="B65" s="1943"/>
      <c r="C65" s="1943"/>
      <c r="D65" s="1943"/>
    </row>
    <row r="66" spans="2:4" x14ac:dyDescent="0.2">
      <c r="B66" s="1943"/>
      <c r="C66" s="1943"/>
      <c r="D66" s="1943"/>
    </row>
    <row r="67" spans="2:4" x14ac:dyDescent="0.2">
      <c r="B67" s="1955"/>
      <c r="C67" s="1955"/>
      <c r="D67" s="1955"/>
    </row>
    <row r="68" spans="2:4" x14ac:dyDescent="0.2">
      <c r="B68" s="1955"/>
      <c r="C68" s="1955"/>
      <c r="D68" s="1955"/>
    </row>
    <row r="69" spans="2:4" x14ac:dyDescent="0.2">
      <c r="B69" s="1955"/>
      <c r="C69" s="1955"/>
      <c r="D69" s="1955"/>
    </row>
    <row r="70" spans="2:4" x14ac:dyDescent="0.2">
      <c r="B70" s="1943"/>
      <c r="C70" s="1943"/>
      <c r="D70" s="1943"/>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4d435f69-8686-490b-bd6d-b153bf22ab50"/>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Sec-2</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2019-10-04T20:15:19Z</cp:lastPrinted>
  <dcterms:created xsi:type="dcterms:W3CDTF">2003-10-29T19:06:34Z</dcterms:created>
  <dcterms:modified xsi:type="dcterms:W3CDTF">2019-11-20T20:27:59Z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