
<file path=[Content_Types].xml><?xml version="1.0" encoding="utf-8"?>
<Types xmlns="http://schemas.openxmlformats.org/package/2006/content-types">
  <Default Extension="bin" ContentType="application/vnd.openxmlformats-officedocument.spreadsheetml.printerSettings"/>
  <Default Extension="emf" ContentType="image/x-emf"/>
  <Default Extension="xls" ContentType="application/vnd.ms-excel"/>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D0613A91-CECF-4ADA-82BD-1DDBD3AC435F}" xr6:coauthVersionLast="36" xr6:coauthVersionMax="36" xr10:uidLastSave="{00000000-0000-0000-0000-000000000000}"/>
  <bookViews>
    <workbookView xWindow="0" yWindow="0" windowWidth="15330" windowHeight="43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SEFA" sheetId="184" r:id="rId28"/>
    <sheet name="SEFA CFDA Total" sheetId="183" r:id="rId29"/>
    <sheet name="SEFA NOTES" sheetId="173" r:id="rId30"/>
    <sheet name="SF&amp;QC Sec-1" sheetId="174" r:id="rId31"/>
    <sheet name="SF&amp;QC Sec-2" sheetId="175" r:id="rId32"/>
    <sheet name="SF&amp;QC Sec-3" sheetId="176" r:id="rId33"/>
    <sheet name="SSPAF" sheetId="177" r:id="rId34"/>
  </sheets>
  <externalReferences>
    <externalReference r:id="rId35"/>
    <externalReference r:id="rId36"/>
  </externalReferences>
  <definedNames>
    <definedName name="_xlnm._FilterDatabase" localSheetId="27" hidden="1">SEFA!#REF!</definedName>
    <definedName name="Pivot" localSheetId="27">#REF!</definedName>
    <definedName name="Pivot">#REF!</definedName>
    <definedName name="_xlnm.Print_Area" localSheetId="27">SEFA!$A$1:$L$245</definedName>
    <definedName name="_xlnm.Print_Area" localSheetId="28">'SEFA CFDA Total'!$A$1:$G$59</definedName>
    <definedName name="_xlnm.Print_Area" localSheetId="29">'SEFA NOTES'!$A$1:$F$52</definedName>
    <definedName name="_xlnm.Print_Area" localSheetId="26">'SEFA Reconcile'!$A$1:$E$49</definedName>
    <definedName name="_xlnm.Print_Area" localSheetId="30">'SF&amp;QC Sec-1'!$A$1:$J$64</definedName>
    <definedName name="_xlnm.Print_Area" localSheetId="32">'SF&amp;QC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27">SEFA!$6:$10</definedName>
    <definedName name="_xlnm.Print_Titles" localSheetId="16">'Shared Outsourced Services 31'!$5:$5</definedName>
    <definedName name="_xlnm.Print_Titles" localSheetId="25">'Single Audit Checklist'!$1:$4</definedName>
    <definedName name="SCHADDRS" localSheetId="17">#REF!</definedName>
    <definedName name="SCHADDRS" localSheetId="21">#REF!</definedName>
    <definedName name="SCHADDRS" localSheetId="4">#REF!</definedName>
    <definedName name="SCHADDRS" localSheetId="29">#REF!</definedName>
    <definedName name="SCHADDRS" localSheetId="26">#REF!</definedName>
    <definedName name="SCHADDRS" localSheetId="30">#REF!</definedName>
    <definedName name="SCHADDRS" localSheetId="31">#REF!</definedName>
    <definedName name="SCHADDRS" localSheetId="32">#REF!</definedName>
    <definedName name="SCHADDRS" localSheetId="25">#REF!</definedName>
    <definedName name="SCHADDRS" localSheetId="24">#REF!</definedName>
    <definedName name="SCHADDRS" localSheetId="33">#REF!</definedName>
    <definedName name="SCHADDRS">#REF!</definedName>
    <definedName name="SCHCTY" localSheetId="17">#REF!</definedName>
    <definedName name="SCHCTY" localSheetId="21">#REF!</definedName>
    <definedName name="SCHCTY" localSheetId="4">#REF!</definedName>
    <definedName name="SCHCTY" localSheetId="29">#REF!</definedName>
    <definedName name="SCHCTY" localSheetId="26">#REF!</definedName>
    <definedName name="SCHCTY" localSheetId="30">#REF!</definedName>
    <definedName name="SCHCTY" localSheetId="31">#REF!</definedName>
    <definedName name="SCHCTY" localSheetId="32">#REF!</definedName>
    <definedName name="SCHCTY" localSheetId="25">#REF!</definedName>
    <definedName name="SCHCTY" localSheetId="24">#REF!</definedName>
    <definedName name="SCHCTY" localSheetId="33">#REF!</definedName>
    <definedName name="SCHCTY">#REF!</definedName>
    <definedName name="SCHNMBR" localSheetId="17">#REF!</definedName>
    <definedName name="SCHNMBR" localSheetId="21">#REF!</definedName>
    <definedName name="SCHNMBR" localSheetId="4">#REF!</definedName>
    <definedName name="SCHNMBR" localSheetId="29">#REF!</definedName>
    <definedName name="SCHNMBR" localSheetId="26">#REF!</definedName>
    <definedName name="SCHNMBR" localSheetId="30">#REF!</definedName>
    <definedName name="SCHNMBR" localSheetId="31">#REF!</definedName>
    <definedName name="SCHNMBR" localSheetId="32">#REF!</definedName>
    <definedName name="SCHNMBR" localSheetId="25">#REF!</definedName>
    <definedName name="SCHNMBR" localSheetId="24">#REF!</definedName>
    <definedName name="SCHNMBR" localSheetId="33">#REF!</definedName>
    <definedName name="SCHNMBR">#REF!</definedName>
    <definedName name="SCHNME" localSheetId="17">#REF!</definedName>
    <definedName name="SCHNME" localSheetId="21">#REF!</definedName>
    <definedName name="SCHNME" localSheetId="4">#REF!</definedName>
    <definedName name="SCHNME" localSheetId="29">#REF!</definedName>
    <definedName name="SCHNME" localSheetId="26">#REF!</definedName>
    <definedName name="SCHNME" localSheetId="30">#REF!</definedName>
    <definedName name="SCHNME" localSheetId="31">#REF!</definedName>
    <definedName name="SCHNME" localSheetId="32">#REF!</definedName>
    <definedName name="SCHNME" localSheetId="25">#REF!</definedName>
    <definedName name="SCHNME" localSheetId="24">#REF!</definedName>
    <definedName name="SCHNME" localSheetId="33">#REF!</definedName>
    <definedName name="SCHNME">#REF!</definedName>
    <definedName name="SUPT" localSheetId="17">#REF!</definedName>
    <definedName name="SUPT" localSheetId="21">#REF!</definedName>
    <definedName name="SUPT" localSheetId="4">#REF!</definedName>
    <definedName name="SUPT" localSheetId="29">#REF!</definedName>
    <definedName name="SUPT" localSheetId="26">#REF!</definedName>
    <definedName name="SUPT" localSheetId="30">#REF!</definedName>
    <definedName name="SUPT" localSheetId="31">#REF!</definedName>
    <definedName name="SUPT" localSheetId="32">#REF!</definedName>
    <definedName name="SUPT" localSheetId="25">#REF!</definedName>
    <definedName name="SUPT" localSheetId="24">#REF!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H169" i="29" l="1"/>
  <c r="H170" i="29"/>
  <c r="E48" i="181" l="1"/>
  <c r="E47" i="181"/>
  <c r="E46" i="181"/>
  <c r="E45" i="181"/>
  <c r="E44" i="181"/>
  <c r="E43" i="181"/>
  <c r="E42" i="181"/>
  <c r="E41" i="181"/>
  <c r="E39" i="181"/>
  <c r="E35" i="181"/>
  <c r="E34" i="181"/>
  <c r="E32" i="181"/>
  <c r="E31" i="181"/>
  <c r="E30" i="181"/>
  <c r="E29" i="181"/>
  <c r="E27" i="181"/>
  <c r="E26" i="181"/>
  <c r="E25" i="181"/>
  <c r="E24" i="181"/>
  <c r="E23" i="181"/>
  <c r="E22" i="181"/>
  <c r="E21" i="181"/>
  <c r="E20" i="181"/>
  <c r="E19" i="181"/>
  <c r="E18" i="181"/>
  <c r="E36" i="181" l="1"/>
  <c r="E325" i="29" l="1"/>
  <c r="E6" i="7" l="1"/>
  <c r="E9" i="7"/>
  <c r="B18" i="7" l="1"/>
  <c r="B4" i="7" s="1"/>
  <c r="C19" i="7" l="1"/>
  <c r="C5" i="29" l="1"/>
  <c r="E5" i="29"/>
  <c r="J5" i="29" l="1"/>
  <c r="I5" i="29"/>
  <c r="F5" i="29"/>
  <c r="D5" i="29"/>
  <c r="M245" i="184" l="1"/>
  <c r="L245" i="184"/>
  <c r="K245" i="184"/>
  <c r="J245" i="184"/>
  <c r="I245" i="184"/>
  <c r="H245" i="184"/>
  <c r="G245" i="184"/>
  <c r="F245" i="184"/>
  <c r="D35" i="171" s="1"/>
  <c r="E245" i="184"/>
  <c r="D163" i="184"/>
  <c r="D65" i="184"/>
  <c r="D64" i="184"/>
  <c r="D63" i="184"/>
  <c r="D62" i="184"/>
  <c r="D61" i="184"/>
  <c r="D60" i="184"/>
  <c r="D59" i="184"/>
  <c r="D58" i="184"/>
  <c r="D57" i="184"/>
  <c r="D56" i="184"/>
  <c r="F85" i="28" l="1"/>
  <c r="E11" i="108"/>
  <c r="C50" i="183" l="1"/>
  <c r="C49" i="183"/>
  <c r="E49" i="183" s="1"/>
  <c r="C48" i="183"/>
  <c r="C47" i="183"/>
  <c r="G42" i="174" s="1"/>
  <c r="C46" i="183"/>
  <c r="C45" i="183"/>
  <c r="C44" i="183"/>
  <c r="D43" i="183"/>
  <c r="D20" i="173" s="1"/>
  <c r="C43" i="183"/>
  <c r="C42" i="183"/>
  <c r="C41" i="183"/>
  <c r="G41" i="174" s="1"/>
  <c r="C40" i="183"/>
  <c r="D39" i="183"/>
  <c r="D19" i="173" s="1"/>
  <c r="C39" i="183"/>
  <c r="D38" i="183"/>
  <c r="D18" i="173" s="1"/>
  <c r="C38" i="183"/>
  <c r="C37" i="183"/>
  <c r="C36" i="183"/>
  <c r="C35" i="183"/>
  <c r="C34" i="183"/>
  <c r="C33" i="183"/>
  <c r="C32" i="183"/>
  <c r="C31" i="183"/>
  <c r="G39" i="174" s="1"/>
  <c r="C30" i="183"/>
  <c r="C29" i="183"/>
  <c r="C28" i="183"/>
  <c r="D27" i="183"/>
  <c r="D21" i="173" s="1"/>
  <c r="C27" i="183"/>
  <c r="I40" i="174" s="1"/>
  <c r="C26" i="183"/>
  <c r="E26" i="183" s="1"/>
  <c r="C25" i="183"/>
  <c r="C24" i="183"/>
  <c r="G38" i="174" s="1"/>
  <c r="D23" i="183"/>
  <c r="D17" i="173" s="1"/>
  <c r="C23" i="183"/>
  <c r="C22" i="183"/>
  <c r="C21" i="183"/>
  <c r="C20" i="183"/>
  <c r="E20" i="183" s="1"/>
  <c r="C19" i="183"/>
  <c r="C18" i="183"/>
  <c r="C17" i="183"/>
  <c r="C16" i="183"/>
  <c r="C15" i="183"/>
  <c r="C14" i="183"/>
  <c r="C13" i="183"/>
  <c r="E13" i="183" s="1"/>
  <c r="C12" i="183"/>
  <c r="C11" i="183"/>
  <c r="C10" i="183"/>
  <c r="C9" i="183"/>
  <c r="E10" i="183" l="1"/>
  <c r="E24" i="183"/>
  <c r="E51" i="183" s="1"/>
  <c r="G43" i="174"/>
  <c r="D51" i="183"/>
  <c r="C51" i="183"/>
  <c r="D46" i="174" s="1"/>
  <c r="H31" i="8" l="1"/>
  <c r="K9" i="12" l="1"/>
  <c r="K7" i="12"/>
  <c r="I61" i="29" l="1"/>
  <c r="C124" i="29" l="1"/>
  <c r="E124" i="29"/>
  <c r="J124" i="29"/>
  <c r="J123" i="29"/>
  <c r="I123" i="29"/>
  <c r="F124" i="29"/>
  <c r="F123" i="29"/>
  <c r="E122" i="29"/>
  <c r="E123" i="29"/>
  <c r="H171" i="29" l="1"/>
  <c r="C203" i="5" l="1"/>
  <c r="E75" i="4" l="1"/>
  <c r="H9" i="4" l="1"/>
  <c r="C7" i="3" l="1"/>
  <c r="J32" i="3"/>
  <c r="J7" i="37" l="1"/>
  <c r="F135" i="181" l="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B7801" i="106"/>
  <c r="D7801" i="106" s="1"/>
  <c r="D7806" i="106"/>
  <c r="D7802" i="106"/>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4" i="181"/>
  <c r="E134" i="181"/>
  <c r="G133" i="181"/>
  <c r="E133" i="181"/>
  <c r="G132" i="181"/>
  <c r="E132" i="181"/>
  <c r="G131" i="181"/>
  <c r="E131" i="181"/>
  <c r="G130" i="181"/>
  <c r="E130" i="181"/>
  <c r="G129" i="181"/>
  <c r="E129" i="181"/>
  <c r="G128" i="181"/>
  <c r="E128" i="181"/>
  <c r="E127" i="181"/>
  <c r="G127" i="181" s="1"/>
  <c r="G126" i="181"/>
  <c r="E126" i="181"/>
  <c r="G125" i="181"/>
  <c r="E125" i="181"/>
  <c r="G124" i="181"/>
  <c r="E124" i="181"/>
  <c r="G123" i="181"/>
  <c r="E123" i="181"/>
  <c r="E122" i="181"/>
  <c r="G122" i="181" s="1"/>
  <c r="G121" i="181"/>
  <c r="E121" i="181"/>
  <c r="G120" i="181"/>
  <c r="E120" i="181"/>
  <c r="G119" i="181"/>
  <c r="E119" i="181"/>
  <c r="E118" i="181"/>
  <c r="G118" i="181" s="1"/>
  <c r="G117" i="181"/>
  <c r="E117" i="181"/>
  <c r="G116" i="181"/>
  <c r="E116" i="181"/>
  <c r="G115" i="181"/>
  <c r="E115" i="181"/>
  <c r="G114" i="181"/>
  <c r="E114" i="181"/>
  <c r="G113" i="181"/>
  <c r="E113" i="181"/>
  <c r="G112" i="181"/>
  <c r="E112" i="181"/>
  <c r="G111" i="181"/>
  <c r="E111" i="181"/>
  <c r="G110" i="181"/>
  <c r="E110" i="181"/>
  <c r="E109" i="181"/>
  <c r="G109" i="181" s="1"/>
  <c r="G108" i="181"/>
  <c r="E108" i="181"/>
  <c r="G107" i="181"/>
  <c r="E107" i="181"/>
  <c r="G106" i="181"/>
  <c r="E106" i="181"/>
  <c r="E105" i="181"/>
  <c r="G105" i="181" s="1"/>
  <c r="G104" i="181"/>
  <c r="E104" i="181"/>
  <c r="G103" i="181"/>
  <c r="E103" i="181"/>
  <c r="G102" i="181"/>
  <c r="E102" i="181"/>
  <c r="G101" i="181"/>
  <c r="E101" i="181"/>
  <c r="G100" i="181"/>
  <c r="E100" i="181"/>
  <c r="G99" i="181"/>
  <c r="E99" i="181"/>
  <c r="G94" i="181"/>
  <c r="E94" i="181"/>
  <c r="G98" i="181"/>
  <c r="E98" i="181"/>
  <c r="E97" i="181"/>
  <c r="G97" i="181" s="1"/>
  <c r="G96" i="181"/>
  <c r="E96" i="181"/>
  <c r="E95" i="181"/>
  <c r="G95" i="181" s="1"/>
  <c r="G93" i="181"/>
  <c r="E93" i="181"/>
  <c r="E92" i="181"/>
  <c r="G92" i="181" s="1"/>
  <c r="G91" i="181"/>
  <c r="E91" i="181"/>
  <c r="E90" i="181"/>
  <c r="G90" i="181" s="1"/>
  <c r="G88" i="181"/>
  <c r="E88" i="181"/>
  <c r="G87" i="181"/>
  <c r="E87" i="181"/>
  <c r="E86" i="181"/>
  <c r="G86" i="181" s="1"/>
  <c r="G85" i="181"/>
  <c r="E85" i="181"/>
  <c r="G84" i="181"/>
  <c r="E84" i="181"/>
  <c r="E83" i="181"/>
  <c r="G83" i="181" s="1"/>
  <c r="G82" i="181"/>
  <c r="E82" i="181"/>
  <c r="E81" i="181"/>
  <c r="G81" i="181" s="1"/>
  <c r="G79" i="181"/>
  <c r="E79" i="181"/>
  <c r="G78" i="181"/>
  <c r="E78" i="181"/>
  <c r="G77" i="181"/>
  <c r="E77" i="181"/>
  <c r="G76" i="181"/>
  <c r="E76" i="181"/>
  <c r="G75" i="181"/>
  <c r="E75" i="181"/>
  <c r="G74" i="181"/>
  <c r="E74" i="181"/>
  <c r="G73" i="181"/>
  <c r="E73" i="181"/>
  <c r="G72" i="181"/>
  <c r="E72" i="181"/>
  <c r="G71" i="181"/>
  <c r="E71" i="181"/>
  <c r="E70" i="181"/>
  <c r="G70" i="181" s="1"/>
  <c r="G69" i="181"/>
  <c r="E69" i="181"/>
  <c r="G68" i="181"/>
  <c r="E68" i="181"/>
  <c r="G135" i="181"/>
  <c r="E135" i="181"/>
  <c r="G89" i="181"/>
  <c r="E89" i="181"/>
  <c r="G80" i="181"/>
  <c r="E80" i="181"/>
  <c r="E67" i="181"/>
  <c r="G67" i="181" s="1"/>
  <c r="G66" i="181"/>
  <c r="E66" i="181"/>
  <c r="G65" i="181"/>
  <c r="E65" i="181"/>
  <c r="G64" i="181"/>
  <c r="E64" i="181"/>
  <c r="G63" i="181"/>
  <c r="E63" i="181"/>
  <c r="G62" i="181"/>
  <c r="E62" i="181"/>
  <c r="G61" i="181"/>
  <c r="E61" i="181"/>
  <c r="E60" i="181"/>
  <c r="G60" i="181" s="1"/>
  <c r="E59" i="181"/>
  <c r="G59" i="181" s="1"/>
  <c r="G58" i="181"/>
  <c r="E58" i="181"/>
  <c r="G57" i="181"/>
  <c r="E57" i="181"/>
  <c r="G56" i="181"/>
  <c r="E56" i="181"/>
  <c r="E55" i="181"/>
  <c r="G55" i="181" s="1"/>
  <c r="G54" i="181"/>
  <c r="E54" i="181"/>
  <c r="E53" i="181"/>
  <c r="G53" i="181" s="1"/>
  <c r="G52" i="181"/>
  <c r="E52" i="181"/>
  <c r="E51" i="181"/>
  <c r="G51" i="181" s="1"/>
  <c r="G50" i="181"/>
  <c r="E50" i="181"/>
  <c r="E49" i="181"/>
  <c r="G49" i="181" s="1"/>
  <c r="F48" i="181"/>
  <c r="G48" i="181" s="1"/>
  <c r="F47" i="181"/>
  <c r="G47" i="181" s="1"/>
  <c r="F46" i="181"/>
  <c r="G46" i="181" s="1"/>
  <c r="F45" i="181"/>
  <c r="G45" i="181" s="1"/>
  <c r="F44" i="181"/>
  <c r="G44" i="181" s="1"/>
  <c r="F41" i="181"/>
  <c r="E40" i="181"/>
  <c r="F40" i="181" s="1"/>
  <c r="E38" i="181"/>
  <c r="F38" i="181" s="1"/>
  <c r="G38" i="181" s="1"/>
  <c r="E37" i="181"/>
  <c r="F37" i="181" s="1"/>
  <c r="G37" i="181" s="1"/>
  <c r="F36" i="181"/>
  <c r="G36" i="181" s="1"/>
  <c r="E33" i="181"/>
  <c r="F32" i="181"/>
  <c r="F29" i="181"/>
  <c r="E28" i="181"/>
  <c r="F27" i="181"/>
  <c r="F26" i="181"/>
  <c r="F20" i="181"/>
  <c r="F19" i="181"/>
  <c r="F28" i="181" l="1"/>
  <c r="G28" i="181" s="1"/>
  <c r="F43" i="181"/>
  <c r="G43" i="181" s="1"/>
  <c r="F42" i="181"/>
  <c r="G42" i="181" s="1"/>
  <c r="F39" i="181"/>
  <c r="G39" i="181" s="1"/>
  <c r="F35" i="181"/>
  <c r="G35" i="181" s="1"/>
  <c r="F34" i="181"/>
  <c r="G34" i="181" s="1"/>
  <c r="F33" i="181"/>
  <c r="G33" i="181" s="1"/>
  <c r="F31" i="181"/>
  <c r="G31" i="181" s="1"/>
  <c r="F30" i="181"/>
  <c r="G30" i="181" s="1"/>
  <c r="F25" i="181"/>
  <c r="G25" i="181" s="1"/>
  <c r="F24" i="181"/>
  <c r="G24" i="181" s="1"/>
  <c r="F23" i="181"/>
  <c r="G23" i="181" s="1"/>
  <c r="F22" i="181"/>
  <c r="G22" i="181" s="1"/>
  <c r="F21" i="181"/>
  <c r="G21" i="181" s="1"/>
  <c r="G41" i="181"/>
  <c r="G40" i="181"/>
  <c r="G32" i="181"/>
  <c r="G29" i="181"/>
  <c r="G27" i="181"/>
  <c r="G26" i="181"/>
  <c r="G20" i="181"/>
  <c r="G19" i="181"/>
  <c r="D136" i="181"/>
  <c r="D80" i="36" l="1"/>
  <c r="B7797" i="106"/>
  <c r="E136" i="181"/>
  <c r="F18" i="181"/>
  <c r="E17" i="181"/>
  <c r="F17" i="181" s="1"/>
  <c r="G17" i="181" l="1"/>
  <c r="G18" i="181"/>
  <c r="G136" i="181" s="1"/>
  <c r="G40" i="108" l="1"/>
  <c r="B7799" i="106"/>
  <c r="F136" i="181"/>
  <c r="B7798" i="106" s="1"/>
  <c r="E40" i="108"/>
  <c r="D17" i="171" l="1"/>
  <c r="D14" i="171" l="1"/>
  <c r="D24" i="171" s="1"/>
  <c r="D12" i="171"/>
  <c r="A10" i="169"/>
  <c r="A16" i="169"/>
  <c r="A15" i="169"/>
  <c r="A14" i="169"/>
  <c r="K18" i="169"/>
  <c r="G18" i="169"/>
  <c r="G15" i="169"/>
  <c r="I13" i="169"/>
  <c r="G11" i="169"/>
  <c r="G10" i="169"/>
  <c r="G9" i="169"/>
  <c r="G7" i="169"/>
  <c r="E7" i="169"/>
  <c r="A7" i="169"/>
  <c r="B4" i="177"/>
  <c r="B4" i="176"/>
  <c r="B4" i="175"/>
  <c r="G44" i="174"/>
  <c r="D48"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D7734" i="106" s="1"/>
  <c r="B7726" i="106"/>
  <c r="D7726" i="106" s="1"/>
  <c r="F158" i="34"/>
  <c r="B30" i="36"/>
  <c r="B33" i="36" s="1"/>
  <c r="B43" i="36" s="1"/>
  <c r="B56" i="36" s="1"/>
  <c r="B66" i="36" s="1"/>
  <c r="B70" i="36" s="1"/>
  <c r="B74" i="36" s="1"/>
  <c r="D73" i="36"/>
  <c r="C188" i="5"/>
  <c r="B4395" i="106" s="1"/>
  <c r="D4395" i="106" s="1"/>
  <c r="C198" i="5"/>
  <c r="B5246" i="106" s="1"/>
  <c r="D5246" i="106" s="1"/>
  <c r="C204" i="5"/>
  <c r="C209" i="5"/>
  <c r="B4411" i="106" s="1"/>
  <c r="D4411" i="106" s="1"/>
  <c r="C217" i="5"/>
  <c r="C221" i="5"/>
  <c r="B5304" i="106" s="1"/>
  <c r="D5304" i="106" s="1"/>
  <c r="C252" i="5"/>
  <c r="B7761" i="106"/>
  <c r="D7761" i="106" s="1"/>
  <c r="L127" i="29"/>
  <c r="L129" i="29" s="1"/>
  <c r="L139" i="29"/>
  <c r="L149" i="29"/>
  <c r="I7" i="145"/>
  <c r="I6" i="145"/>
  <c r="D78" i="36"/>
  <c r="K75" i="29"/>
  <c r="C14" i="4" s="1"/>
  <c r="B2558" i="106" s="1"/>
  <c r="D2558" i="106" s="1"/>
  <c r="K130" i="29"/>
  <c r="B2805" i="106" s="1"/>
  <c r="D2805" i="106" s="1"/>
  <c r="K185" i="29"/>
  <c r="F62" i="34" s="1"/>
  <c r="K122" i="29"/>
  <c r="F15" i="145" s="1"/>
  <c r="F19" i="145" s="1"/>
  <c r="K67" i="29"/>
  <c r="G33" i="108" s="1"/>
  <c r="K64" i="29"/>
  <c r="F31" i="108" s="1"/>
  <c r="K59" i="29"/>
  <c r="E15" i="145" s="1"/>
  <c r="K56" i="29"/>
  <c r="E14" i="145" s="1"/>
  <c r="G14" i="145" s="1"/>
  <c r="K51" i="29"/>
  <c r="E13" i="145" s="1"/>
  <c r="G13" i="145" s="1"/>
  <c r="I19" i="145"/>
  <c r="H19" i="145"/>
  <c r="J18" i="145"/>
  <c r="J12" i="145"/>
  <c r="J13" i="145"/>
  <c r="J14" i="145"/>
  <c r="J15" i="145"/>
  <c r="J16" i="145"/>
  <c r="J17" i="145"/>
  <c r="G18" i="145"/>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B6997" i="106" s="1"/>
  <c r="D6997" i="106" s="1"/>
  <c r="K94" i="29"/>
  <c r="K95" i="29"/>
  <c r="B7001" i="106" s="1"/>
  <c r="D7001" i="106" s="1"/>
  <c r="K96" i="29"/>
  <c r="K97" i="29"/>
  <c r="B7005" i="106" s="1"/>
  <c r="D7005" i="106" s="1"/>
  <c r="K98" i="29"/>
  <c r="K99" i="29"/>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E29" i="108" s="1"/>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F68" i="34" s="1"/>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B7088" i="106" s="1"/>
  <c r="D7088" i="106" s="1"/>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B1791" i="106"/>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L13" i="1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c r="D6261" i="106" s="1"/>
  <c r="J77" i="4"/>
  <c r="B6262" i="106"/>
  <c r="D6262" i="106" s="1"/>
  <c r="B6264" i="106"/>
  <c r="D6264" i="106" s="1"/>
  <c r="B6265" i="106"/>
  <c r="D6265" i="106" s="1"/>
  <c r="B6288" i="106"/>
  <c r="D6288" i="106" s="1"/>
  <c r="B6290" i="106"/>
  <c r="D6290" i="106" s="1"/>
  <c r="B6291" i="106"/>
  <c r="D6291" i="106" s="1"/>
  <c r="B6292" i="106"/>
  <c r="D6292" i="106" s="1"/>
  <c r="B6293" i="106"/>
  <c r="D6293" i="106" s="1"/>
  <c r="B6294" i="106"/>
  <c r="D6294" i="106" s="1"/>
  <c r="B6295" i="106"/>
  <c r="D6295" i="106" s="1"/>
  <c r="B6296" i="106"/>
  <c r="D6296" i="106" s="1"/>
  <c r="B6297" i="106"/>
  <c r="D6297" i="106"/>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2" i="106"/>
  <c r="D7002" i="106" s="1"/>
  <c r="B7003" i="106"/>
  <c r="D7003" i="106" s="1"/>
  <c r="B7004" i="106"/>
  <c r="D7004" i="106" s="1"/>
  <c r="B7006" i="106"/>
  <c r="D7006" i="106" s="1"/>
  <c r="B7007" i="106"/>
  <c r="D7007" i="106" s="1"/>
  <c r="B7008" i="106"/>
  <c r="D7008" i="106" s="1"/>
  <c r="B7009" i="106"/>
  <c r="D7009" i="106" s="1"/>
  <c r="B7010" i="106"/>
  <c r="D7010" i="106" s="1"/>
  <c r="B7012" i="106"/>
  <c r="D7012"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s="1"/>
  <c r="D7209" i="106" s="1"/>
  <c r="B7210" i="106"/>
  <c r="D7210" i="106" s="1"/>
  <c r="K338" i="29"/>
  <c r="B7212" i="106"/>
  <c r="D7212" i="106" s="1"/>
  <c r="K339" i="29"/>
  <c r="B7213" i="106" s="1"/>
  <c r="D7213" i="106" s="1"/>
  <c r="H340" i="29"/>
  <c r="H342" i="29" s="1"/>
  <c r="C342" i="29"/>
  <c r="B7216" i="106" s="1"/>
  <c r="D7216" i="106" s="1"/>
  <c r="B7226" i="106"/>
  <c r="D7226" i="106" s="1"/>
  <c r="B7227" i="106"/>
  <c r="D7227" i="106" s="1"/>
  <c r="B7228" i="106"/>
  <c r="D7228" i="106" s="1"/>
  <c r="B7229" i="106"/>
  <c r="D7229" i="106" s="1"/>
  <c r="I350" i="29"/>
  <c r="J350" i="29"/>
  <c r="B7231" i="106" s="1"/>
  <c r="D7231" i="106" s="1"/>
  <c r="B7232" i="106"/>
  <c r="D7232" i="106" s="1"/>
  <c r="B7233" i="106"/>
  <c r="D7233" i="106" s="1"/>
  <c r="J352" i="29"/>
  <c r="J367" i="29" s="1"/>
  <c r="B7245" i="106" s="1"/>
  <c r="B7236" i="106"/>
  <c r="D7236" i="106" s="1"/>
  <c r="B7237" i="106"/>
  <c r="D7237" i="106" s="1"/>
  <c r="B7238" i="106"/>
  <c r="D7238" i="106" s="1"/>
  <c r="B7239" i="106"/>
  <c r="D7239" i="106" s="1"/>
  <c r="B7240" i="106"/>
  <c r="D7240" i="106" s="1"/>
  <c r="B7241" i="106"/>
  <c r="D7241"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F36" i="34"/>
  <c r="C37" i="34"/>
  <c r="D37" i="34"/>
  <c r="C38" i="34"/>
  <c r="D38" i="34"/>
  <c r="C39" i="34"/>
  <c r="D39" i="34"/>
  <c r="C40" i="34"/>
  <c r="D40" i="34"/>
  <c r="C41" i="34"/>
  <c r="D41" i="34"/>
  <c r="C42" i="34"/>
  <c r="D42" i="34"/>
  <c r="C43" i="34"/>
  <c r="D43" i="34"/>
  <c r="C44" i="34"/>
  <c r="D44" i="34"/>
  <c r="C45" i="34"/>
  <c r="D45" i="34"/>
  <c r="C46" i="34"/>
  <c r="D46" i="34"/>
  <c r="F46" i="34"/>
  <c r="C47" i="34"/>
  <c r="D47" i="34"/>
  <c r="C48" i="34"/>
  <c r="D48" i="34"/>
  <c r="C49" i="34"/>
  <c r="D49" i="34"/>
  <c r="C50" i="34"/>
  <c r="D50" i="34"/>
  <c r="C51" i="34"/>
  <c r="D51" i="34"/>
  <c r="C52" i="34"/>
  <c r="C53" i="34"/>
  <c r="D53" i="34"/>
  <c r="C56" i="34"/>
  <c r="F56" i="34"/>
  <c r="C57" i="34"/>
  <c r="D57" i="34"/>
  <c r="C61" i="34"/>
  <c r="C62" i="34"/>
  <c r="C63" i="34"/>
  <c r="D63" i="34"/>
  <c r="C64" i="34"/>
  <c r="F64" i="34"/>
  <c r="C67" i="34"/>
  <c r="D67" i="34"/>
  <c r="F67" i="34"/>
  <c r="C68" i="34"/>
  <c r="D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1744" i="106"/>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4103" i="106"/>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H28" i="118"/>
  <c r="D22" i="37"/>
  <c r="J22" i="37"/>
  <c r="L22" i="37"/>
  <c r="B5752" i="106"/>
  <c r="D5752" i="106" s="1"/>
  <c r="D7245" i="106" l="1"/>
  <c r="B2060" i="106"/>
  <c r="D2060" i="106" s="1"/>
  <c r="D24" i="37"/>
  <c r="B4270" i="106" s="1"/>
  <c r="D4270" i="106" s="1"/>
  <c r="H33" i="118"/>
  <c r="G14" i="4"/>
  <c r="B2609" i="106" s="1"/>
  <c r="D2609" i="106" s="1"/>
  <c r="L367" i="29"/>
  <c r="L342" i="29"/>
  <c r="F50" i="34"/>
  <c r="F42" i="34"/>
  <c r="G29" i="108"/>
  <c r="D27" i="108"/>
  <c r="B6289" i="106"/>
  <c r="D6289" i="106" s="1"/>
  <c r="D6103" i="106"/>
  <c r="B3647" i="106"/>
  <c r="D3647" i="106" s="1"/>
  <c r="K76" i="4"/>
  <c r="B3586" i="106" s="1"/>
  <c r="D3586" i="106" s="1"/>
  <c r="K184" i="29"/>
  <c r="F13" i="4" s="1"/>
  <c r="B2596" i="106" s="1"/>
  <c r="D2596" i="106" s="1"/>
  <c r="G210" i="29"/>
  <c r="F19" i="7"/>
  <c r="B1807" i="106" s="1"/>
  <c r="D1807" i="106" s="1"/>
  <c r="F36" i="108"/>
  <c r="F37" i="34"/>
  <c r="H112" i="29"/>
  <c r="B7018" i="106" s="1"/>
  <c r="D7018" i="106" s="1"/>
  <c r="F52" i="34"/>
  <c r="D36" i="108"/>
  <c r="D31" i="108"/>
  <c r="B1126" i="106"/>
  <c r="D1126" i="106" s="1"/>
  <c r="B1124" i="106"/>
  <c r="D1124" i="106" s="1"/>
  <c r="G39" i="108"/>
  <c r="E38" i="108"/>
  <c r="G35" i="108"/>
  <c r="E35" i="108"/>
  <c r="E34" i="108"/>
  <c r="E33" i="108"/>
  <c r="G30" i="108"/>
  <c r="F38" i="34"/>
  <c r="B2724" i="106"/>
  <c r="D2724" i="106" s="1"/>
  <c r="F28" i="108"/>
  <c r="G15" i="145"/>
  <c r="G26" i="108"/>
  <c r="B1274" i="106"/>
  <c r="D1274" i="106" s="1"/>
  <c r="L5" i="11"/>
  <c r="D68" i="36"/>
  <c r="B1308" i="106"/>
  <c r="D1308" i="106" s="1"/>
  <c r="E174" i="29"/>
  <c r="B1309" i="106" s="1"/>
  <c r="D1309" i="106" s="1"/>
  <c r="D17" i="7"/>
  <c r="B4104" i="106" s="1"/>
  <c r="D4104" i="106" s="1"/>
  <c r="D9" i="7"/>
  <c r="B1767" i="106" s="1"/>
  <c r="D1767" i="106" s="1"/>
  <c r="D11" i="37"/>
  <c r="H29" i="118"/>
  <c r="K28" i="118" s="1"/>
  <c r="O27" i="118" s="1"/>
  <c r="O29" i="118"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254" i="106"/>
  <c r="D3254" i="106" s="1"/>
  <c r="I24" i="12"/>
  <c r="B3649" i="106"/>
  <c r="D3649" i="106" s="1"/>
  <c r="G367" i="29"/>
  <c r="D5" i="4"/>
  <c r="B3406" i="106" s="1"/>
  <c r="D3406" i="106" s="1"/>
  <c r="L312" i="29"/>
  <c r="I342" i="29"/>
  <c r="B7222" i="106" s="1"/>
  <c r="D7222" i="106" s="1"/>
  <c r="K350" i="29"/>
  <c r="F21" i="8"/>
  <c r="K24" i="12"/>
  <c r="B3621" i="106"/>
  <c r="D3621" i="106" s="1"/>
  <c r="C367" i="29"/>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c r="B5778" i="106" s="1"/>
  <c r="D5778" i="106" s="1"/>
  <c r="B5770" i="106"/>
  <c r="D5770" i="106"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H295" i="29"/>
  <c r="B1454" i="106" s="1"/>
  <c r="D1454" i="106" s="1"/>
  <c r="B4156" i="106"/>
  <c r="D4156" i="106" s="1"/>
  <c r="H172" i="29"/>
  <c r="H174" i="29"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D10" i="7"/>
  <c r="B1765" i="106" s="1"/>
  <c r="D1765" i="106" s="1"/>
  <c r="D16" i="7"/>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G6" i="4"/>
  <c r="B2604" i="106" s="1"/>
  <c r="D2604" i="106" s="1"/>
  <c r="E266" i="5"/>
  <c r="B6835" i="106"/>
  <c r="D6835" i="106" s="1"/>
  <c r="G266" i="5"/>
  <c r="B4398" i="106"/>
  <c r="D4398" i="106" s="1"/>
  <c r="B5537" i="106"/>
  <c r="D5537" i="106" s="1"/>
  <c r="E170" i="5"/>
  <c r="I109" i="5"/>
  <c r="L279" i="29"/>
  <c r="L295" i="29" s="1"/>
  <c r="L74" i="29"/>
  <c r="K33" i="29"/>
  <c r="B720" i="106"/>
  <c r="D720" i="106" s="1"/>
  <c r="B7618" i="106"/>
  <c r="L14" i="11"/>
  <c r="B7623" i="106" s="1"/>
  <c r="D7250" i="106"/>
  <c r="B7230" i="106"/>
  <c r="D7230" i="106" s="1"/>
  <c r="I352" i="29"/>
  <c r="I367" i="29" s="1"/>
  <c r="B7215" i="106"/>
  <c r="D7215" i="106" s="1"/>
  <c r="J16" i="4"/>
  <c r="B6226" i="106" s="1"/>
  <c r="D6226" i="106" s="1"/>
  <c r="B7202" i="106"/>
  <c r="D7202" i="106" s="1"/>
  <c r="F342" i="29"/>
  <c r="B7219" i="106" s="1"/>
  <c r="D7219" i="106" s="1"/>
  <c r="B7503" i="106"/>
  <c r="B7531" i="106"/>
  <c r="B7214" i="106"/>
  <c r="D7214" i="106" s="1"/>
  <c r="B7221" i="106"/>
  <c r="D7221" i="106" s="1"/>
  <c r="B7201" i="106"/>
  <c r="D7201" i="106" s="1"/>
  <c r="E342" i="29"/>
  <c r="B7218" i="106" s="1"/>
  <c r="D7218" i="106" s="1"/>
  <c r="B6917" i="106"/>
  <c r="D6917" i="106" s="1"/>
  <c r="J74" i="29"/>
  <c r="D266" i="5"/>
  <c r="B5501" i="106" s="1"/>
  <c r="D5501" i="106" s="1"/>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8" i="106"/>
  <c r="D1318"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B188" i="106"/>
  <c r="D188" i="106" s="1"/>
  <c r="G41" i="3"/>
  <c r="B139" i="106"/>
  <c r="D139" i="106" s="1"/>
  <c r="J19" i="145"/>
  <c r="D82" i="36" s="1"/>
  <c r="L151" i="29"/>
  <c r="C266" i="5"/>
  <c r="J24" i="12"/>
  <c r="B7730" i="106"/>
  <c r="D7730" i="106" s="1"/>
  <c r="B3447" i="106"/>
  <c r="D3447" i="106" s="1"/>
  <c r="B7270" i="106"/>
  <c r="B2057" i="106" l="1"/>
  <c r="D2057" i="106" s="1"/>
  <c r="M17" i="3"/>
  <c r="B274" i="106" s="1"/>
  <c r="D274" i="106" s="1"/>
  <c r="D7256" i="106"/>
  <c r="D7251" i="106"/>
  <c r="B2058" i="106"/>
  <c r="D2058" i="106" s="1"/>
  <c r="M18" i="3"/>
  <c r="B275" i="106" s="1"/>
  <c r="D275" i="106" s="1"/>
  <c r="B3459" i="106"/>
  <c r="D3459" i="106" s="1"/>
  <c r="M20" i="3"/>
  <c r="B2864" i="106" s="1"/>
  <c r="D2864" i="106" s="1"/>
  <c r="B2056" i="106"/>
  <c r="D2056" i="106" s="1"/>
  <c r="M16" i="3"/>
  <c r="M19" i="3"/>
  <c r="B276" i="106" s="1"/>
  <c r="D276" i="106" s="1"/>
  <c r="B1365" i="106"/>
  <c r="D1365" i="106" s="1"/>
  <c r="F65" i="34"/>
  <c r="D41" i="108"/>
  <c r="E43" i="108" s="1"/>
  <c r="F41" i="108"/>
  <c r="G43" i="108" s="1"/>
  <c r="C114" i="29"/>
  <c r="B757" i="106" s="1"/>
  <c r="D757" i="106" s="1"/>
  <c r="L114" i="29"/>
  <c r="K342" i="29"/>
  <c r="F13" i="34" s="1"/>
  <c r="B5527" i="106"/>
  <c r="D5527" i="106" s="1"/>
  <c r="L16" i="11"/>
  <c r="B2061" i="106" s="1"/>
  <c r="D2061" i="106" s="1"/>
  <c r="B2031" i="106"/>
  <c r="D2031" i="106"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90" i="106"/>
  <c r="D190" i="106" s="1"/>
  <c r="D48"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B273" i="106" l="1"/>
  <c r="D273" i="106" s="1"/>
  <c r="M23" i="3"/>
  <c r="B7224" i="106"/>
  <c r="D7224" i="106" s="1"/>
  <c r="D268" i="5"/>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D8" i="146"/>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5508" i="106"/>
  <c r="D5508" i="106" s="1"/>
  <c r="B2567" i="106"/>
  <c r="D2567" i="106" s="1"/>
  <c r="M40" i="3" l="1"/>
  <c r="B279" i="106"/>
  <c r="D279" i="106" s="1"/>
  <c r="J20" i="4"/>
  <c r="B6230" i="106" s="1"/>
  <c r="D6230" i="106" s="1"/>
  <c r="J19" i="4"/>
  <c r="B6229" i="106" s="1"/>
  <c r="D6229" i="106"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M41" i="3" l="1"/>
  <c r="B280" i="106"/>
  <c r="D280" i="106" s="1"/>
  <c r="J78" i="4"/>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J39" i="3" s="1"/>
  <c r="B6263" i="106"/>
  <c r="D6263" i="106" s="1"/>
  <c r="B281" i="106" l="1"/>
  <c r="D281" i="106" s="1"/>
  <c r="D54" i="36"/>
  <c r="B6215" i="106"/>
  <c r="D6215" i="106" s="1"/>
  <c r="J41" i="3"/>
  <c r="F175" i="34"/>
  <c r="F79" i="34"/>
  <c r="D78" i="4"/>
  <c r="D81" i="4" s="1"/>
  <c r="B3588" i="106"/>
  <c r="D3588" i="106" s="1"/>
  <c r="K81" i="4"/>
  <c r="F78" i="4"/>
  <c r="B2601" i="106"/>
  <c r="D2601" i="106" s="1"/>
  <c r="B3320" i="106"/>
  <c r="D3320" i="106" s="1"/>
  <c r="I81" i="4"/>
  <c r="K17" i="118"/>
  <c r="B3300" i="106"/>
  <c r="D3300" i="106" s="1"/>
  <c r="H81" i="4"/>
  <c r="H38" i="3" s="1"/>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N21" i="3" l="1"/>
  <c r="B2535" i="106"/>
  <c r="D2535" i="106" s="1"/>
  <c r="J31" i="8"/>
  <c r="J49" i="8" s="1"/>
  <c r="H41" i="3"/>
  <c r="D51" i="36"/>
  <c r="B6216" i="106"/>
  <c r="D6216" i="106" s="1"/>
  <c r="F177" i="34"/>
  <c r="F179" i="34" s="1"/>
  <c r="B3239" i="106"/>
  <c r="D3239" i="106" s="1"/>
  <c r="B3278" i="106"/>
  <c r="D3278" i="106" s="1"/>
  <c r="E81" i="4"/>
  <c r="E38" i="3" s="1"/>
  <c r="B3233" i="106"/>
  <c r="D3233" i="106" s="1"/>
  <c r="C81" i="4"/>
  <c r="C39" i="3" s="1"/>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D49" i="36" l="1"/>
  <c r="B213" i="106"/>
  <c r="D213" i="106" s="1"/>
  <c r="B4172" i="106"/>
  <c r="D4172" i="106" s="1"/>
  <c r="N22" i="3"/>
  <c r="B283" i="106" s="1"/>
  <c r="D283" i="106" s="1"/>
  <c r="B282" i="106"/>
  <c r="D282" i="106" s="1"/>
  <c r="N23" i="3"/>
  <c r="D75" i="36"/>
  <c r="B2504" i="106"/>
  <c r="D2504" i="106" s="1"/>
  <c r="E41" i="3"/>
  <c r="B92" i="106"/>
  <c r="D92" i="106" s="1"/>
  <c r="D76" i="36"/>
  <c r="C41" i="3"/>
  <c r="J16" i="37"/>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B284" i="106" l="1"/>
  <c r="D284" i="106" s="1"/>
  <c r="D55" i="36"/>
  <c r="D46" i="36"/>
  <c r="B141" i="106"/>
  <c r="D141" i="106" s="1"/>
  <c r="B93" i="106"/>
  <c r="D93" i="106" s="1"/>
  <c r="D44" i="36"/>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<sst xmlns="http://schemas.openxmlformats.org/spreadsheetml/2006/main" count="5651" uniqueCount="2460">
  <si>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</si>
  <si>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</si>
  <si>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</si>
  <si>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</si>
  <si>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</si>
  <si>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</si>
  <si>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</si>
  <si>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</si>
  <si>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</si>
  <si>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</si>
  <si>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</si>
  <si>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</si>
  <si>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</si>
  <si>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</si>
  <si>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</si>
  <si>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</si>
  <si>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</si>
  <si>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</si>
  <si>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</si>
  <si>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</si>
  <si>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</si>
  <si>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</si>
  <si>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</si>
  <si>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</si>
  <si>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</si>
  <si>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</si>
  <si>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</si>
  <si>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</si>
  <si>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</si>
  <si>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</si>
  <si>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</si>
  <si>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</si>
  <si>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</si>
  <si>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</si>
  <si>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</si>
  <si>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</si>
  <si>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</si>
  <si>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</si>
  <si>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</si>
  <si>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</si>
  <si>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</si>
  <si>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</si>
  <si>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</si>
  <si>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</si>
  <si>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</si>
  <si>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</si>
  <si>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</si>
  <si>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</si>
  <si>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</si>
  <si>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</si>
  <si>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</si>
  <si>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</si>
  <si>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</si>
  <si>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</si>
  <si>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</si>
  <si>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</si>
  <si>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</si>
  <si>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</si>
  <si>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</si>
  <si>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</si>
  <si>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</si>
  <si>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</si>
  <si>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</si>
  <si>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</si>
  <si>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</si>
  <si>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</si>
  <si>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</si>
  <si>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</si>
  <si>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</si>
  <si>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</si>
  <si>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</si>
  <si>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</si>
  <si>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</si>
  <si>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</si>
  <si>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</si>
  <si>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</si>
  <si>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</si>
  <si>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</si>
  <si>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</si>
  <si>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</si>
  <si>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</si>
  <si>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</si>
  <si>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</si>
  <si>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</si>
  <si>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</si>
  <si>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</si>
  <si>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</si>
  <si>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</si>
  <si>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</si>
  <si>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</si>
  <si>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</si>
  <si>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</si>
  <si>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</si>
  <si>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</si>
  <si>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</si>
  <si>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</si>
  <si>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</si>
  <si>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</si>
  <si>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</si>
  <si>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</si>
  <si>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</si>
  <si>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</si>
  <si>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</si>
  <si>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</si>
  <si>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</si>
  <si>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</si>
  <si>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</si>
  <si>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</si>
  <si>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</si>
  <si>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</si>
  <si>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</si>
  <si>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</si>
  <si>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</si>
  <si>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</si>
  <si>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</si>
  <si>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</si>
  <si>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</si>
  <si>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</si>
  <si>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</si>
  <si>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</si>
  <si>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</si>
  <si>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</si>
  <si>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</si>
  <si>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</si>
  <si>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</si>
  <si>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</si>
  <si>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</si>
  <si>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</si>
  <si>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</si>
  <si>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</si>
  <si>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</si>
  <si>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</si>
  <si>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</si>
  <si>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</si>
  <si>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</si>
  <si>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</si>
  <si>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</si>
  <si>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</si>
  <si>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</si>
  <si>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</si>
  <si>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</si>
  <si>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</si>
  <si>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</si>
  <si>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</si>
  <si>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</si>
  <si>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</si>
  <si>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</si>
  <si>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</si>
  <si>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</si>
  <si>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</si>
  <si>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</si>
  <si>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</si>
  <si>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</si>
  <si>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</si>
  <si>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</si>
  <si>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</si>
  <si>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</si>
  <si>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</si>
  <si>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</si>
  <si>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</si>
  <si>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</si>
  <si>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</si>
  <si>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</si>
  <si>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</si>
  <si>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</si>
  <si>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</si>
  <si>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</si>
  <si>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</si>
  <si>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</si>
  <si>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</si>
  <si>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</si>
  <si>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</si>
  <si>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</si>
  <si>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</si>
  <si>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</si>
  <si>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</si>
  <si>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</si>
  <si>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</si>
  <si>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</si>
  <si>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</si>
  <si>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</si>
  <si>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</si>
  <si>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</si>
  <si>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</si>
  <si>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</si>
  <si>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</si>
  <si>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</si>
  <si>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</si>
  <si>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</si>
  <si>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</si>
  <si>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</si>
  <si>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</si>
  <si>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</si>
  <si>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</si>
  <si>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</si>
  <si>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</si>
  <si>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</si>
  <si>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</si>
  <si>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</si>
  <si>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</si>
  <si>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</si>
  <si>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</si>
  <si>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</si>
  <si>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</si>
  <si>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</si>
  <si>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</si>
  <si>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</si>
  <si>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</si>
  <si>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</si>
  <si>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</si>
  <si>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</si>
  <si>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</si>
  <si>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</si>
  <si>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</si>
  <si>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</si>
  <si>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</si>
  <si>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</si>
  <si>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</si>
  <si>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</si>
  <si>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</si>
  <si>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</si>
  <si>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</si>
  <si>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</si>
  <si>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</si>
  <si>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</si>
  <si>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</si>
  <si>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</si>
  <si>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</si>
  <si>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</si>
  <si>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</si>
  <si>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</si>
  <si>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</si>
  <si>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</si>
  <si>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</si>
  <si>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</si>
  <si>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</si>
  <si>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</si>
  <si>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</si>
  <si>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</si>
  <si>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</si>
  <si>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</si>
  <si>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</si>
  <si>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</si>
  <si>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</si>
  <si>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</si>
  <si>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</si>
  <si>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</si>
  <si>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</si>
  <si>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</si>
  <si>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</si>
  <si>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</si>
  <si>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</si>
  <si>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</si>
  <si>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</si>
  <si>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</si>
  <si>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</si>
  <si>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</si>
  <si>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</si>
  <si>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</si>
  <si>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</si>
  <si>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</si>
  <si>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</si>
  <si>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</si>
  <si>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</si>
  <si>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</si>
  <si>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</si>
  <si>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</si>
  <si>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</si>
  <si>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</si>
  <si>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</si>
  <si>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</si>
  <si>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</si>
  <si>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</si>
  <si>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</si>
  <si>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</si>
  <si>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</si>
  <si>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</si>
  <si>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</si>
  <si>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</si>
  <si>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</si>
  <si>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</si>
  <si>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</si>
  <si>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</si>
  <si>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</si>
  <si>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</si>
  <si>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</si>
  <si>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</si>
  <si>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</si>
  <si>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</si>
  <si>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</si>
  <si>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</si>
  <si>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</si>
  <si>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</si>
  <si>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</si>
  <si>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</si>
  <si>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</si>
  <si>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</si>
  <si>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</si>
  <si>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</si>
  <si>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</si>
  <si>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</si>
  <si>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</si>
  <si>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</si>
  <si>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</si>
  <si>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</si>
  <si>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</si>
  <si>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</si>
  <si>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</si>
  <si>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</si>
  <si>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</si>
  <si>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</si>
  <si>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</si>
  <si>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</si>
  <si>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</si>
  <si>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</si>
  <si>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</si>
  <si>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</si>
  <si>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</si>
  <si>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</si>
  <si>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</si>
  <si>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</si>
  <si>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</si>
  <si>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</si>
  <si>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</si>
  <si>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</si>
  <si>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</si>
  <si>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</si>
  <si>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</si>
  <si>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</si>
  <si>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</si>
  <si>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</si>
  <si>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</si>
  <si>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</si>
  <si>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</si>
  <si>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</si>
  <si>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</si>
  <si>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</si>
  <si>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</si>
  <si>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</si>
  <si>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</si>
  <si>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</si>
  <si>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</si>
  <si>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</si>
  <si>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</si>
  <si>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</si>
  <si>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</si>
  <si>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</si>
  <si>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</si>
  <si>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</si>
  <si>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</si>
  <si>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</si>
  <si>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</si>
  <si>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</si>
  <si>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</si>
  <si>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</si>
  <si>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</si>
  <si>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</si>
  <si>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</si>
  <si>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</si>
  <si>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</si>
  <si>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</si>
  <si>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</si>
  <si>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</si>
  <si>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</si>
  <si>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</si>
  <si>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</si>
  <si>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</si>
  <si>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</si>
  <si>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</si>
  <si>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</si>
  <si>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</si>
  <si>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</si>
  <si>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</si>
  <si>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</si>
  <si>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</si>
  <si>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</si>
  <si>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</si>
  <si>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</si>
  <si>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</si>
  <si>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</si>
  <si>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</si>
  <si>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</si>
  <si>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</si>
  <si>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</si>
  <si>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</si>
  <si>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</si>
  <si>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</si>
  <si>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</si>
  <si>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</si>
  <si>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</si>
  <si>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</si>
  <si>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</si>
  <si>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</si>
  <si>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</si>
  <si>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</si>
  <si>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</si>
  <si>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</si>
  <si>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</si>
  <si>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</si>
  <si>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</si>
  <si>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</si>
  <si>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</si>
  <si>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</si>
  <si>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</si>
  <si>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</si>
  <si>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</si>
  <si>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</si>
  <si>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</si>
  <si>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</si>
  <si>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</si>
  <si>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</si>
  <si>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</si>
  <si>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</si>
  <si>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</si>
  <si>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</si>
  <si>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</si>
  <si>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</si>
  <si>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</si>
  <si>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</si>
  <si>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</si>
  <si>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</si>
  <si>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</si>
  <si>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</si>
  <si>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</si>
  <si>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</si>
  <si>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</si>
  <si>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</si>
  <si>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</si>
  <si>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</si>
  <si>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</si>
  <si>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</si>
  <si>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</si>
  <si>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</si>
  <si>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</si>
  <si>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</si>
  <si>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</si>
  <si>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</si>
  <si>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</si>
  <si>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</si>
  <si>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</si>
  <si>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</si>
  <si>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</si>
  <si>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</si>
  <si>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</si>
  <si>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</si>
  <si>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</si>
  <si>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</si>
  <si>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</si>
  <si>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</si>
  <si>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</si>
  <si>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</si>
  <si>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</si>
  <si>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</si>
  <si>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</si>
  <si>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</si>
  <si>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</si>
  <si>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</si>
  <si>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</si>
  <si>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</si>
  <si>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</si>
  <si>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</si>
  <si>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</si>
  <si>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</si>
  <si>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</si>
  <si>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</si>
  <si>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</si>
  <si>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</si>
  <si>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</si>
  <si>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</si>
  <si>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</si>
  <si>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</si>
  <si>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</si>
  <si>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</si>
  <si>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</si>
  <si>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</si>
  <si>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</si>
  <si>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</si>
  <si>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</si>
  <si>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</si>
  <si>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</si>
  <si>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</si>
  <si>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</si>
  <si>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</si>
  <si>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</si>
  <si>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</si>
  <si>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</si>
  <si>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</si>
  <si>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</si>
  <si>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</si>
  <si>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</si>
  <si>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</si>
  <si>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</si>
  <si>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</si>
  <si>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</si>
  <si>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</si>
  <si>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</si>
  <si>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</si>
  <si>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</si>
  <si>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</si>
  <si>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</si>
  <si>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</si>
  <si>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</si>
  <si>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</si>
  <si>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</si>
  <si>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</si>
  <si>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</si>
  <si>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</si>
  <si>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</si>
  <si>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</si>
  <si>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</si>
  <si>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</si>
  <si>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</si>
  <si>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</si>
  <si>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</si>
  <si>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</si>
  <si>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</si>
  <si>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</si>
  <si>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</si>
  <si>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</si>
  <si>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</si>
  <si>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</si>
  <si>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</si>
  <si>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</si>
  <si>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</si>
  <si>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</si>
  <si>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</si>
  <si>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</si>
  <si>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</si>
  <si>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</si>
  <si>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</si>
  <si>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</si>
  <si>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</si>
  <si>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</si>
  <si>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</si>
  <si>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</si>
  <si>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</si>
  <si>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</si>
  <si>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</si>
  <si>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</si>
  <si>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</si>
  <si>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</si>
  <si>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</si>
  <si>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</si>
  <si>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</si>
  <si>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</si>
  <si>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</si>
  <si>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</si>
  <si>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</si>
  <si>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</si>
  <si>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</si>
  <si>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</si>
  <si>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</si>
  <si>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</si>
  <si>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</si>
  <si>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</si>
  <si>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</si>
  <si>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</si>
  <si>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</si>
  <si>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</si>
  <si>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</si>
  <si>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</si>
  <si>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</si>
  <si>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</si>
  <si>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</si>
  <si>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</si>
  <si>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</si>
  <si>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</si>
  <si>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</si>
  <si>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</si>
  <si>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</si>
  <si>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</si>
  <si>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</si>
  <si>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</si>
  <si>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</si>
  <si>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</si>
  <si>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</si>
  <si>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</si>
  <si>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</si>
  <si>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</si>
  <si>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</si>
  <si>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</si>
  <si>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</si>
  <si>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</si>
  <si>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</si>
  <si>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</si>
  <si>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</si>
  <si>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</si>
  <si>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</si>
  <si>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</si>
  <si>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</si>
  <si>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</si>
  <si>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</si>
  <si>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</si>
  <si>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</si>
  <si>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</si>
  <si>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</si>
  <si>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</si>
  <si>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</si>
  <si>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</si>
  <si>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</si>
  <si>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</si>
  <si>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</si>
  <si>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</si>
  <si>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</si>
  <si>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</si>
  <si>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</si>
  <si>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</si>
  <si>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</si>
  <si>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</si>
  <si>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</si>
  <si>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</si>
  <si>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</si>
  <si>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</si>
  <si>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</si>
  <si>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</si>
  <si>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</si>
  <si>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</si>
  <si>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</si>
  <si>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</si>
  <si>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</si>
  <si>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</si>
  <si>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</si>
  <si>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</si>
  <si>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</si>
  <si>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</si>
  <si>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</si>
  <si>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</si>
  <si>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</si>
  <si>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</si>
  <si>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</si>
  <si>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</si>
  <si>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</si>
  <si>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</si>
  <si>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</si>
  <si>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</si>
  <si>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</si>
  <si>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</si>
  <si>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</si>
  <si>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</si>
  <si>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</si>
  <si>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</si>
  <si>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</si>
  <si>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</si>
  <si>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</si>
  <si>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</si>
  <si>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</si>
  <si>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</si>
  <si>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</si>
  <si>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</si>
  <si>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</si>
  <si>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</si>
  <si>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</si>
  <si>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</si>
  <si>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</si>
  <si>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</si>
  <si>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</si>
  <si>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</si>
  <si>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</si>
  <si>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</si>
  <si>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</si>
  <si>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</si>
  <si>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</si>
  <si>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</si>
  <si>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</si>
  <si>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</si>
  <si>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</si>
  <si>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</si>
  <si>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</si>
  <si>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</si>
  <si>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</si>
  <si>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</si>
  <si>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</si>
  <si>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</si>
  <si>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</si>
  <si>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</si>
  <si>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</si>
  <si>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</si>
  <si>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</si>
  <si>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</si>
  <si>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</si>
  <si>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</si>
  <si>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</si>
  <si>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</si>
  <si>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</si>
  <si>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</si>
  <si>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</si>
  <si>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</si>
  <si>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</si>
  <si>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</si>
  <si>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</si>
  <si>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</si>
  <si>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</si>
  <si>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</si>
  <si>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</si>
  <si>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</si>
  <si>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</si>
  <si>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</si>
  <si>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</si>
  <si>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</si>
  <si>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</si>
  <si>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</si>
  <si>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</si>
  <si>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</si>
  <si>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</si>
  <si>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</si>
  <si>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</si>
  <si>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</si>
  <si>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</si>
  <si>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</si>
  <si>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</si>
  <si>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</si>
  <si>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</si>
  <si>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</si>
  <si>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</si>
  <si>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</si>
  <si>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</si>
  <si>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</si>
  <si>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</si>
  <si>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</si>
  <si>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</si>
  <si>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</si>
  <si>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</si>
  <si>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</si>
  <si>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</si>
  <si>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</si>
  <si>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</si>
  <si>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</si>
  <si>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</si>
  <si>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</si>
  <si>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</si>
  <si>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</si>
  <si>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</si>
  <si>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</si>
  <si>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</si>
  <si>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</si>
  <si>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</si>
  <si>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</si>
  <si>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</si>
  <si>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</si>
  <si>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</si>
  <si>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</si>
  <si>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</si>
  <si>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</si>
  <si>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</si>
  <si>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</si>
  <si>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</si>
  <si>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</si>
  <si>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</si>
  <si>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</si>
  <si>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</si>
  <si>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</si>
  <si>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</si>
  <si>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</si>
  <si>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</si>
  <si>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</si>
  <si>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</si>
  <si>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</si>
  <si>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</si>
  <si>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</si>
  <si>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</si>
  <si>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</si>
  <si>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</si>
  <si>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</si>
  <si>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</si>
  <si>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</si>
  <si>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</si>
  <si>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</si>
  <si>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</si>
  <si>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</si>
  <si>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</si>
  <si>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</si>
  <si>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</si>
  <si>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</si>
  <si>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</si>
  <si>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</si>
  <si>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</si>
  <si>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</si>
  <si>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</si>
  <si>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</si>
  <si>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</si>
  <si>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</si>
  <si>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</si>
  <si>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</si>
  <si>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</si>
  <si>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</si>
  <si>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</si>
  <si>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</si>
  <si>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</si>
  <si>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</si>
  <si>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</si>
  <si>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</si>
  <si>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</si>
  <si>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</si>
  <si>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</si>
  <si>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</si>
  <si>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</si>
  <si>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</si>
  <si>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</si>
  <si>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</si>
  <si>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</si>
  <si>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</si>
  <si>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</si>
  <si>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</si>
  <si>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</si>
  <si>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</si>
  <si>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</si>
  <si>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</si>
  <si>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</si>
  <si>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</si>
  <si>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</si>
  <si>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</si>
  <si>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</si>
  <si>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</si>
  <si>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</si>
  <si>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</si>
  <si>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</si>
  <si>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</si>
  <si>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</si>
  <si>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</si>
  <si>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</si>
  <si>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</si>
  <si>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</si>
  <si>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</si>
  <si>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</si>
  <si>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</si>
  <si>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</si>
  <si>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</si>
  <si>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</si>
  <si>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</si>
  <si>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</si>
  <si>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</si>
  <si>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</si>
  <si>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</si>
  <si>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</si>
  <si>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</si>
  <si>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</si>
  <si>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</si>
  <si>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</si>
  <si>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</si>
  <si>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</si>
  <si>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</si>
  <si>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</si>
  <si>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</si>
  <si>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</si>
  <si>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</si>
  <si>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</si>
  <si>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</si>
  <si>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</si>
  <si>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</si>
  <si>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</si>
  <si>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</si>
  <si>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</si>
  <si>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</si>
  <si>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</si>
  <si>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</si>
  <si>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</si>
  <si>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</si>
  <si>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</si>
  <si>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</si>
  <si>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</si>
  <si>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</si>
  <si>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</si>
  <si>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</si>
  <si>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</si>
  <si>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</si>
  <si>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</si>
  <si>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</si>
  <si>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</si>
  <si>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</si>
  <si>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</si>
  <si>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</si>
  <si>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</si>
  <si>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</si>
  <si>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</si>
  <si>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</si>
  <si>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</si>
  <si>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</si>
  <si>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</si>
  <si>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</si>
  <si>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</si>
  <si>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</si>
  <si>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</si>
  <si>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</si>
  <si>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</si>
  <si>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</si>
  <si>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</si>
  <si>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</si>
  <si>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</si>
  <si>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</si>
  <si>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</si>
  <si>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</si>
  <si>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</si>
  <si>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</si>
  <si>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</si>
  <si>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</si>
  <si>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</si>
  <si>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</si>
  <si>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</si>
  <si>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</si>
  <si>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</si>
  <si>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</si>
  <si>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</si>
  <si>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</si>
  <si>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</si>
  <si>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</si>
  <si>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</si>
  <si>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</si>
  <si>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</si>
  <si>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</si>
  <si>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</si>
  <si>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</si>
  <si>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</si>
  <si>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</si>
  <si>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</si>
  <si>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</si>
  <si>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</si>
  <si>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</si>
  <si>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</si>
  <si>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</si>
  <si>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</si>
  <si>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</si>
  <si>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</si>
  <si>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</si>
  <si>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</si>
  <si>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</si>
  <si>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</si>
  <si>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</si>
  <si>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</si>
  <si>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</si>
  <si>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</si>
  <si>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</si>
  <si>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</si>
  <si>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</si>
  <si>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</si>
  <si>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</si>
  <si>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</si>
  <si>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</si>
  <si>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</si>
  <si>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</si>
  <si>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</si>
  <si>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</si>
  <si>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</si>
  <si>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</si>
  <si>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</si>
  <si>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</si>
  <si>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</si>
  <si>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</si>
  <si>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</si>
  <si>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</si>
  <si>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</si>
  <si>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</si>
  <si>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</si>
  <si>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</si>
  <si>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</si>
  <si>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</si>
  <si>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</si>
  <si>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</si>
  <si>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</si>
  <si>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</si>
  <si>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</si>
  <si>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</si>
  <si>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</si>
  <si>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</si>
  <si>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</si>
  <si>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</si>
  <si>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</si>
  <si>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</si>
  <si>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</si>
  <si>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</si>
  <si>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</si>
  <si>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</si>
  <si>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</si>
  <si>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</si>
  <si>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</si>
  <si>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</si>
  <si>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</si>
  <si>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</si>
  <si>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</si>
  <si>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</si>
  <si>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</si>
  <si>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</si>
  <si>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</si>
  <si>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</si>
  <si>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</si>
  <si>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</si>
  <si>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</si>
  <si>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</si>
  <si>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</si>
  <si>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</si>
  <si>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</si>
  <si>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</si>
  <si>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</si>
  <si>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</si>
  <si>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</si>
  <si>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</si>
  <si>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</si>
  <si>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</si>
  <si>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</si>
  <si>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</si>
  <si>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</si>
  <si>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</si>
  <si>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</si>
  <si>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</si>
  <si>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</si>
  <si>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</si>
  <si>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</si>
  <si>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</si>
  <si>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</si>
  <si>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</si>
  <si>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</si>
  <si>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</si>
  <si>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</si>
  <si>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</si>
  <si>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</si>
  <si>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</si>
  <si>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</si>
  <si>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</si>
  <si>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</si>
  <si>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</si>
  <si>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</si>
  <si>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</si>
  <si>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</si>
  <si>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</si>
  <si>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</si>
  <si>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</si>
  <si>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</si>
  <si>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</si>
  <si>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</si>
  <si>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</si>
  <si>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</si>
  <si>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</si>
  <si>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</si>
  <si>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</si>
  <si>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</si>
  <si>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</si>
  <si>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</si>
  <si>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</si>
  <si>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</si>
  <si>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</si>
  <si>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</si>
  <si>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</si>
  <si>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</si>
  <si>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</si>
  <si>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</si>
  <si>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</si>
  <si>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</si>
  <si>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</si>
  <si>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</si>
  <si>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</si>
  <si>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</si>
  <si>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</si>
  <si>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</si>
  <si>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</si>
  <si>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</si>
  <si>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</si>
  <si>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</si>
  <si>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</si>
  <si>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</si>
  <si>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</si>
  <si>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</si>
  <si>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</si>
  <si>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</si>
  <si>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</si>
  <si>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</si>
  <si>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</si>
  <si>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</si>
  <si>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</si>
  <si>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</si>
  <si>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</si>
  <si>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</si>
  <si>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</si>
  <si>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</si>
  <si>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</si>
  <si>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</si>
  <si>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</si>
  <si>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</si>
  <si>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</si>
  <si>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</si>
  <si>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</si>
  <si>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</si>
  <si>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</si>
  <si>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</si>
  <si>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</si>
  <si>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</si>
  <si>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</si>
  <si>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</si>
  <si>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</si>
  <si>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</si>
  <si>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</si>
  <si>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</si>
  <si>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</si>
  <si>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</si>
  <si>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</si>
  <si>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</si>
  <si>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</si>
  <si>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</si>
  <si>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</si>
  <si>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</si>
  <si>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</si>
  <si>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</si>
  <si>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</si>
  <si>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</si>
  <si>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</si>
  <si>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</si>
  <si>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</si>
  <si>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</si>
  <si>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</si>
  <si>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</si>
  <si>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</si>
  <si>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</si>
  <si>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</si>
  <si>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</si>
  <si>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</si>
  <si>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</si>
  <si>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</si>
  <si>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</si>
  <si>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</si>
  <si>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</si>
  <si>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</si>
  <si>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</si>
  <si>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</si>
  <si>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</si>
  <si>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</si>
  <si>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</si>
  <si>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</si>
  <si>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</si>
  <si>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</si>
  <si>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</si>
  <si>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</si>
  <si>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</si>
  <si>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</si>
  <si>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</si>
  <si>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</si>
  <si>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</si>
  <si>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</si>
  <si>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</si>
  <si>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</si>
  <si>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</si>
  <si>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</si>
  <si>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</si>
  <si>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</si>
  <si>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</si>
  <si>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</si>
  <si>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</si>
  <si>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</si>
  <si>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</si>
  <si>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</si>
  <si>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</si>
  <si>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</si>
  <si>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</si>
  <si>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</si>
  <si>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</si>
  <si>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</si>
  <si>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</si>
  <si>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</si>
  <si>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</si>
  <si>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</si>
  <si>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</si>
  <si>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</si>
  <si>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</si>
  <si>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</si>
  <si>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</si>
  <si>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</si>
  <si>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</si>
  <si>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</si>
  <si>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</si>
  <si>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</si>
  <si>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</si>
  <si>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</si>
  <si>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</si>
  <si>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</si>
  <si>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</si>
  <si>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</si>
  <si>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</si>
  <si>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</si>
  <si>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</si>
  <si>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</si>
  <si>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</si>
  <si>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</si>
  <si>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</si>
  <si>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</si>
  <si>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</si>
  <si>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</si>
  <si>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</si>
  <si>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</si>
  <si>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</si>
  <si>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</si>
  <si>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</si>
  <si>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</si>
  <si>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</si>
  <si>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</si>
  <si>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</si>
  <si>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</si>
  <si>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</si>
  <si>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</si>
  <si>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</si>
  <si>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</si>
  <si>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</si>
  <si>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</si>
  <si>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</si>
  <si>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</si>
  <si>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</si>
  <si>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</si>
  <si>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</si>
  <si>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</si>
  <si>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</si>
  <si>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</si>
  <si>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</si>
  <si>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</si>
  <si>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</si>
  <si>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</si>
  <si>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</si>
  <si>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</si>
  <si>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</si>
  <si>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</si>
  <si>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</si>
  <si>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</si>
  <si>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</si>
  <si>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</si>
  <si>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</si>
  <si>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</si>
  <si>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</si>
  <si>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</si>
  <si>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</si>
  <si>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</si>
  <si>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</si>
  <si>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</si>
  <si>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</si>
  <si>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</si>
  <si>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</si>
  <si>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</si>
  <si>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</si>
  <si>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</si>
  <si>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</si>
  <si>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</si>
  <si>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</si>
  <si>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</si>
  <si>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</si>
  <si>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</si>
  <si>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</si>
  <si>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</si>
  <si>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</si>
  <si>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</si>
  <si>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</si>
  <si>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</si>
  <si>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</si>
  <si>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(I)</t>
  </si>
  <si>
    <t>(H)</t>
  </si>
  <si>
    <t>(G)</t>
  </si>
  <si>
    <t>(F)</t>
  </si>
  <si>
    <t>(E)</t>
  </si>
  <si>
    <t>(D)</t>
  </si>
  <si>
    <t>(C)</t>
  </si>
  <si>
    <t>(B)</t>
  </si>
  <si>
    <t>(A)</t>
  </si>
  <si>
    <t>Program or Cluster Title and</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</si>
  <si>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</si>
  <si>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</si>
  <si>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</si>
  <si>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</si>
  <si>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</si>
  <si>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</si>
  <si>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</si>
  <si>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</si>
  <si>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</si>
  <si>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</si>
  <si>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</si>
  <si>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</si>
  <si>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</si>
  <si>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</si>
  <si>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</si>
  <si>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</si>
  <si>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</si>
  <si>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</si>
  <si>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</si>
  <si>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</si>
  <si>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</si>
  <si>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</si>
  <si>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</si>
  <si>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</si>
  <si>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</si>
  <si>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</si>
  <si>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</si>
  <si>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</si>
  <si>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</si>
  <si>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</si>
  <si>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</si>
  <si>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</si>
  <si>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</si>
  <si>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</si>
  <si>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</si>
  <si>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</si>
  <si>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</si>
  <si>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</si>
  <si>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</si>
  <si>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</si>
  <si>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</si>
  <si>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</si>
  <si>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</si>
  <si>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</si>
  <si>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</si>
  <si>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</si>
  <si>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</si>
  <si>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</si>
  <si>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</si>
  <si>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</si>
  <si>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</si>
  <si>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</si>
  <si>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</si>
  <si>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</si>
  <si>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</si>
  <si>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</si>
  <si>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</si>
  <si>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</si>
  <si>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</si>
  <si>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</si>
  <si>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</si>
  <si>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</si>
  <si>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</si>
  <si>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</si>
  <si>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</si>
  <si>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</si>
  <si>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</si>
  <si>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</si>
  <si>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</si>
  <si>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</si>
  <si>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</si>
  <si>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</si>
  <si>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</si>
  <si>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</si>
  <si>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</si>
  <si>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</si>
  <si>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</si>
  <si>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</si>
  <si>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</si>
  <si>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</si>
  <si>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</si>
  <si>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</si>
  <si>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</si>
  <si>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</si>
  <si>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</si>
  <si>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</si>
  <si>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</si>
  <si>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</si>
  <si>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</si>
  <si>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</si>
  <si>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</si>
  <si>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</si>
  <si>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</si>
  <si>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</si>
  <si>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</si>
  <si>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</si>
  <si>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</si>
  <si>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</si>
  <si>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</si>
  <si>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</si>
  <si>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</si>
  <si>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</si>
  <si>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</si>
  <si>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</si>
  <si>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</si>
  <si>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</si>
  <si>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</si>
  <si>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</si>
  <si>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</si>
  <si>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</si>
  <si>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</si>
  <si>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</si>
  <si>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</si>
  <si>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</si>
  <si>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</si>
  <si>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</si>
  <si>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</si>
  <si>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</si>
  <si>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</si>
  <si>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</si>
  <si>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</si>
  <si>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</si>
  <si>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</si>
  <si>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</si>
  <si>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</si>
  <si>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</si>
  <si>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</si>
  <si>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</si>
  <si>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</si>
  <si>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</si>
  <si>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</si>
  <si>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</si>
  <si>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</si>
  <si>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</si>
  <si>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</si>
  <si>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</si>
  <si>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</si>
  <si>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</si>
  <si>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</si>
  <si>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</si>
  <si>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</si>
  <si>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</si>
  <si>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</si>
  <si>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</si>
  <si>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</si>
  <si>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</si>
  <si>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</si>
  <si>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</si>
  <si>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</si>
  <si>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</si>
  <si>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</si>
  <si>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</si>
  <si>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</si>
  <si>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</si>
  <si>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</si>
  <si>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</si>
  <si>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</si>
  <si>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</si>
  <si>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</si>
  <si>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</si>
  <si>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</si>
  <si>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</si>
  <si>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</si>
  <si>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</si>
  <si>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</si>
  <si>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</si>
  <si>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</si>
  <si>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</si>
  <si>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</si>
  <si>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</si>
  <si>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</si>
  <si>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</si>
  <si>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</si>
  <si>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</si>
  <si>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</si>
  <si>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</si>
  <si>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</si>
  <si>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</si>
  <si>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</si>
  <si>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</si>
  <si>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</si>
  <si>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</si>
  <si>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</si>
  <si>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</si>
  <si>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</si>
  <si>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</si>
  <si>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</si>
  <si>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</si>
  <si>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</si>
  <si>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</si>
  <si>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</si>
  <si>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</si>
  <si>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</si>
  <si>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</si>
  <si>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</si>
  <si>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</si>
  <si>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</si>
  <si>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</si>
  <si>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</si>
  <si>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</si>
  <si>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</si>
  <si>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</si>
  <si>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</si>
  <si>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</si>
  <si>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</si>
  <si>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</si>
  <si>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</si>
  <si>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</si>
  <si>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</si>
  <si>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</si>
  <si>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</si>
  <si>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</si>
  <si>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</si>
  <si>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</si>
  <si>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</si>
  <si>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</si>
  <si>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</si>
  <si>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</si>
  <si>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</si>
  <si>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</si>
  <si>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</si>
  <si>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</si>
  <si>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</si>
  <si>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</si>
  <si>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</si>
  <si>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</si>
  <si>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</si>
  <si>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</si>
  <si>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</si>
  <si>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</si>
  <si>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</si>
  <si>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</si>
  <si>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</si>
  <si>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</si>
  <si>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</si>
  <si>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</si>
  <si>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</si>
  <si>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</si>
  <si>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</si>
  <si>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</si>
  <si>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</si>
  <si>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</si>
  <si>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</si>
  <si>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</si>
  <si>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</si>
  <si>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</si>
  <si>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</si>
  <si>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</si>
  <si>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</si>
  <si>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</si>
  <si>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</si>
  <si>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</si>
  <si>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</si>
  <si>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</si>
  <si>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</si>
  <si>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</si>
  <si>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</si>
  <si>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</si>
  <si>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</si>
  <si>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</si>
  <si>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</si>
  <si>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</si>
  <si>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</si>
  <si>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</si>
  <si>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</si>
  <si>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</si>
  <si>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</si>
  <si>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</si>
  <si>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</si>
  <si>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</si>
  <si>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</si>
  <si>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</si>
  <si>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</si>
  <si>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</si>
  <si>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</si>
  <si>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</si>
  <si>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</si>
  <si>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</si>
  <si>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</si>
  <si>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</si>
  <si>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</si>
  <si>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</si>
  <si>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</si>
  <si>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</si>
  <si>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</si>
  <si>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</si>
  <si>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</si>
  <si>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</si>
  <si>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</si>
  <si>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</si>
  <si>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</si>
  <si>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</si>
  <si>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</si>
  <si>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</si>
  <si>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</si>
  <si>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</si>
  <si>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</si>
  <si>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</si>
  <si>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</si>
  <si>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</si>
  <si>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</si>
  <si>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</si>
  <si>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</si>
  <si>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</si>
  <si>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</si>
  <si>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</si>
  <si>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</si>
  <si>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</si>
  <si>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</si>
  <si>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</si>
  <si>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</si>
  <si>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</si>
  <si>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</si>
  <si>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</si>
  <si>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</si>
  <si>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</si>
  <si>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</si>
  <si>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</si>
  <si>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</si>
  <si>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</si>
  <si>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</si>
  <si>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</si>
  <si>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</si>
  <si>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</si>
  <si>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</si>
  <si>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</si>
  <si>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</si>
  <si>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</si>
  <si>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</si>
  <si>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</si>
  <si>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</si>
  <si>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</si>
  <si>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</si>
  <si>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</si>
  <si>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</si>
  <si>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</si>
  <si>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</si>
  <si>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</si>
  <si>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</si>
  <si>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</si>
  <si>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</si>
  <si>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</si>
  <si>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</si>
  <si>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</si>
  <si>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</si>
  <si>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</si>
  <si>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</si>
  <si>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</si>
  <si>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</si>
  <si>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</si>
  <si>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</si>
  <si>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</si>
  <si>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</si>
  <si>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</si>
  <si>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</si>
  <si>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</si>
  <si>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</si>
  <si>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</si>
  <si>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</si>
  <si>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</si>
  <si>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</si>
  <si>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</si>
  <si>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</si>
  <si>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</si>
  <si>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</si>
  <si>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</si>
  <si>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</si>
  <si>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</si>
  <si>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</si>
  <si>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</si>
  <si>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</si>
  <si>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</si>
  <si>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</si>
  <si>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</si>
  <si>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</si>
  <si>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</si>
  <si>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</si>
  <si>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</si>
  <si>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</si>
  <si>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</si>
  <si>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</si>
  <si>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</si>
  <si>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</si>
  <si>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</si>
  <si>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</si>
  <si>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</si>
  <si>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</si>
  <si>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</si>
  <si>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</si>
  <si>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</si>
  <si>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</si>
  <si>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</si>
  <si>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</si>
  <si>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</si>
  <si>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</si>
  <si>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</si>
  <si>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</si>
  <si>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</si>
  <si>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</si>
  <si>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</si>
  <si>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</si>
  <si>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</si>
  <si>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</si>
  <si>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</si>
  <si>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</si>
  <si>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</si>
  <si>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</si>
  <si>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</si>
  <si>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</si>
  <si>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</si>
  <si>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</si>
  <si>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</si>
  <si>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</si>
  <si>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</si>
  <si>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</si>
  <si>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</si>
  <si>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</si>
  <si>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</si>
  <si>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</si>
  <si>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</si>
  <si>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</si>
  <si>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</si>
  <si>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</si>
  <si>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</si>
  <si>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</si>
  <si>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</si>
  <si>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</si>
  <si>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</si>
  <si>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</si>
  <si>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</si>
  <si>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</si>
  <si>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</si>
  <si>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</si>
  <si>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</si>
  <si>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</si>
  <si>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</si>
  <si>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</si>
  <si>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</si>
  <si>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</si>
  <si>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</si>
  <si>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</si>
  <si>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</si>
  <si>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</si>
  <si>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</si>
  <si>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</si>
  <si>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</si>
  <si>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</si>
  <si>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</si>
  <si>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</si>
  <si>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</si>
  <si>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</si>
  <si>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</si>
  <si>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</si>
  <si>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</si>
  <si>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</si>
  <si>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</si>
  <si>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</si>
  <si>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</si>
  <si>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</si>
  <si>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</si>
  <si>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</si>
  <si>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</si>
  <si>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</si>
  <si>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</si>
  <si>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</si>
  <si>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</si>
  <si>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</si>
  <si>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</si>
  <si>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</si>
  <si>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</si>
  <si>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</si>
  <si>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</si>
  <si>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</si>
  <si>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</si>
  <si>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</si>
  <si>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</si>
  <si>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</si>
  <si>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</si>
  <si>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</si>
  <si>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</si>
  <si>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</si>
  <si>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</si>
  <si>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</si>
  <si>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</si>
  <si>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</si>
  <si>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</si>
  <si>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</si>
  <si>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</si>
  <si>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</si>
  <si>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</si>
  <si>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</si>
  <si>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</si>
  <si>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</si>
  <si>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</si>
  <si>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</si>
  <si>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</si>
  <si>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</si>
  <si>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</si>
  <si>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</si>
  <si>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</si>
  <si>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</si>
  <si>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</si>
  <si>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</si>
  <si>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</si>
  <si>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</si>
  <si>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</si>
  <si>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</si>
  <si>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</si>
  <si>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</si>
  <si>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</si>
  <si>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</si>
  <si>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</si>
  <si>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</si>
  <si>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</si>
  <si>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</si>
  <si>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</si>
  <si>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</si>
  <si>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</si>
  <si>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</si>
  <si>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</si>
  <si>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</si>
  <si>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</si>
  <si>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</si>
  <si>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</si>
  <si>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</si>
  <si>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</si>
  <si>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</si>
  <si>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</si>
  <si>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</si>
  <si>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</si>
  <si>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</si>
  <si>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</si>
  <si>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</si>
  <si>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</si>
  <si>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</si>
  <si>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</si>
  <si>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</si>
  <si>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</si>
  <si>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</si>
  <si>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</si>
  <si>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</si>
  <si>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</si>
  <si>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</si>
  <si>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</si>
  <si>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</si>
  <si>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</si>
  <si>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</si>
  <si>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</si>
  <si>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</si>
  <si>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</si>
  <si>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</si>
  <si>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</si>
  <si>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</si>
  <si>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</si>
  <si>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</si>
  <si>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</si>
  <si>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</si>
  <si>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</si>
  <si>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</si>
  <si>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</si>
  <si>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</si>
  <si>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</si>
  <si>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</si>
  <si>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</si>
  <si>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</si>
  <si>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</si>
  <si>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</si>
  <si>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</si>
  <si>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</si>
  <si>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</si>
  <si>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</si>
  <si>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</si>
  <si>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</si>
  <si>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</si>
  <si>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</si>
  <si>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</si>
  <si>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</si>
  <si>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</si>
  <si>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</si>
  <si>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</si>
  <si>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</si>
  <si>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</si>
  <si>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</si>
  <si>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</si>
  <si>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</si>
  <si>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</si>
  <si>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</si>
  <si>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</si>
  <si>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</si>
  <si>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</si>
  <si>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</si>
  <si>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</si>
  <si>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</si>
  <si>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</si>
  <si>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</si>
  <si>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</si>
  <si>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</si>
  <si>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</si>
  <si>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</si>
  <si>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</si>
  <si>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</si>
  <si>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</si>
  <si>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</si>
  <si>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</si>
  <si>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</si>
  <si>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</si>
  <si>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</si>
  <si>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</si>
  <si>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</si>
  <si>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</si>
  <si>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</si>
  <si>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</si>
  <si>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</si>
  <si>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</si>
  <si>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</si>
  <si>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</si>
  <si>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</si>
  <si>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</si>
  <si>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</si>
  <si>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</si>
  <si>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</si>
  <si>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</si>
  <si>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</si>
  <si>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</si>
  <si>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</si>
  <si>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</si>
  <si>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</si>
  <si>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</si>
  <si>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</si>
  <si>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</si>
  <si>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</si>
  <si>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</si>
  <si>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</si>
  <si>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</si>
  <si>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</si>
  <si>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</si>
  <si>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</si>
  <si>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</si>
  <si>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</si>
  <si>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</si>
  <si>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</si>
  <si>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</si>
  <si>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</si>
  <si>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</si>
  <si>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</si>
  <si>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</si>
  <si>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</si>
  <si>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</si>
  <si>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</si>
  <si>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</si>
  <si>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</si>
  <si>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</si>
  <si>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</si>
  <si>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</si>
  <si>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</si>
  <si>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</si>
  <si>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</si>
  <si>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</si>
  <si>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</si>
  <si>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</si>
  <si>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</si>
  <si>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</si>
  <si>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</si>
  <si>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</si>
  <si>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</si>
  <si>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</si>
  <si>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</si>
  <si>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</si>
  <si>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</si>
  <si>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</si>
  <si>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</si>
  <si>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</si>
  <si>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</si>
  <si>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</si>
  <si>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</si>
  <si>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</si>
  <si>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</si>
  <si>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</si>
  <si>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</si>
  <si>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</si>
  <si>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</si>
  <si>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</si>
  <si>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</si>
  <si>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</si>
  <si>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</si>
  <si>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</si>
  <si>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</si>
  <si>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</si>
  <si>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</si>
  <si>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</si>
  <si>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</si>
  <si>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</si>
  <si>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</si>
  <si>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</si>
  <si>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</si>
  <si>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</si>
  <si>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</si>
  <si>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</si>
  <si>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</si>
  <si>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</si>
  <si>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</si>
  <si>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</si>
  <si>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</si>
  <si>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</si>
  <si>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</si>
  <si>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</si>
  <si>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</si>
  <si>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</si>
  <si>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</si>
  <si>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</si>
  <si>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</si>
  <si>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</si>
  <si>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</si>
  <si>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</si>
  <si>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</si>
  <si>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</si>
  <si>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</si>
  <si>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</si>
  <si>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</si>
  <si>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</si>
  <si>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</si>
  <si>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</si>
  <si>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</si>
  <si>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</si>
  <si>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</si>
  <si>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</si>
  <si>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</si>
  <si>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</si>
  <si>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</si>
  <si>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</si>
  <si>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</si>
  <si>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</si>
  <si>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</si>
  <si>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</si>
  <si>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</si>
  <si>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</si>
  <si>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</si>
  <si>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</si>
  <si>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</si>
  <si>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</si>
  <si>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</si>
  <si>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</si>
  <si>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</si>
  <si>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</si>
  <si>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</si>
  <si>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</si>
  <si>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</si>
  <si>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</si>
  <si>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</si>
  <si>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</si>
  <si>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</si>
  <si>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</si>
  <si>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</si>
  <si>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</si>
  <si>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</si>
  <si>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</si>
  <si>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</si>
  <si>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</si>
  <si>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</si>
  <si>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</si>
  <si>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</si>
  <si>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</si>
  <si>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</si>
  <si>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</si>
  <si>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</si>
  <si>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</si>
  <si>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</si>
  <si>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</si>
  <si>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</si>
  <si>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</si>
  <si>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</si>
  <si>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</si>
  <si>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</si>
  <si>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</si>
  <si>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</si>
  <si>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</si>
  <si>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</si>
  <si>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</si>
  <si>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</si>
  <si>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</si>
  <si>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</si>
  <si>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</si>
  <si>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</si>
  <si>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Total Federal Expenditures for 7/1/18-6/30/19</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</si>
  <si>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t>
    </r>
    <r>
      <rPr>
        <b/>
        <i/>
        <u/>
        <sz val="11"/>
        <color theme="1"/>
        <rFont val="Calibri"/>
        <family val="2"/>
        <scheme val="minor"/>
      </rPr>
      <t>Only enter contracts that were paid in the functions listed on the indirect cost calculation, page 30.</t>
    </r>
  </si>
  <si>
    <t>If an error message is reported in Column F regarding the function and/or object number and assistance is needed, please call 217-785-8779.</t>
  </si>
  <si>
    <t>X</t>
  </si>
  <si>
    <t>15-061-2990-25</t>
  </si>
  <si>
    <t>COOK</t>
  </si>
  <si>
    <t>BOARD OF EDUCATION CITY OF CHICAGO</t>
  </si>
  <si>
    <t>42 WEST MADISON STREET</t>
  </si>
  <si>
    <t>CHICAGO</t>
  </si>
  <si>
    <t>lrmoore6@cps.edu</t>
  </si>
  <si>
    <t>BAKER TILLY VIRCHOW KRAUSE, LLP</t>
  </si>
  <si>
    <t>JASON COYLE</t>
  </si>
  <si>
    <t>205 NORTH MICHIGAN AVENUE</t>
  </si>
  <si>
    <t>IL</t>
  </si>
  <si>
    <t>630.645.6205</t>
  </si>
  <si>
    <t>066-004260</t>
  </si>
  <si>
    <t>11.30.2021</t>
  </si>
  <si>
    <t>JASON.COYLE@BAKERTILLY.COM</t>
  </si>
  <si>
    <t>General Obligation (refer to attachment for details)</t>
  </si>
  <si>
    <t>Capitalized Lease (refer to attachment for details)</t>
  </si>
  <si>
    <t>Various</t>
  </si>
  <si>
    <t>Refer to attachments for details.</t>
  </si>
  <si>
    <r>
      <t xml:space="preserve">The accompanying Schedule of Expenditures of Federal Awards includes the federal grant activity of </t>
    </r>
    <r>
      <rPr>
        <b/>
        <sz val="9"/>
        <rFont val="Calibri"/>
        <family val="2"/>
        <scheme val="minor"/>
      </rPr>
      <t>Board of Education City of Chicago</t>
    </r>
    <r>
      <rPr>
        <sz val="9"/>
        <rFont val="Calibri"/>
        <family val="2"/>
        <scheme val="minor"/>
      </rPr>
      <t xml:space="preserve"> and is presented on the </t>
    </r>
    <r>
      <rPr>
        <b/>
        <sz val="9"/>
        <rFont val="Calibri"/>
        <family val="2"/>
        <scheme val="minor"/>
      </rPr>
      <t>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</si>
  <si>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Of the federal expenditures presented in the schedule, Board of Education City of Chicago provided federal awards to subrecipients as follows:</t>
  </si>
  <si>
    <t>Title I - Grants to Local Educational Agencies</t>
  </si>
  <si>
    <t>Title III - English Language Acquisition State Grants</t>
  </si>
  <si>
    <t>Title II - Supporting Effective Instruction State Grants</t>
  </si>
  <si>
    <t>Title IV - Student Support and Academic Enrichment Program</t>
  </si>
  <si>
    <t>See attachment for breakout by individual subrecipient</t>
  </si>
  <si>
    <t>84.010</t>
  </si>
  <si>
    <t>CHICAGO PUBLIC SCHOOLS</t>
  </si>
  <si>
    <t>Chicago Board of Education</t>
  </si>
  <si>
    <t>SUPPLEMENTARY SCHEDULE OF EXPENDITURES OF FEDERAL AWARDS by Federal Catalog Number</t>
  </si>
  <si>
    <t>For the Fiscal Year Ended June 30, 2019</t>
  </si>
  <si>
    <t>Federal Catalog</t>
  </si>
  <si>
    <t>Federal Award</t>
  </si>
  <si>
    <t xml:space="preserve">Pass Through to </t>
  </si>
  <si>
    <t>Program Name</t>
  </si>
  <si>
    <t>Number</t>
  </si>
  <si>
    <t>Cluster Total</t>
  </si>
  <si>
    <r>
      <t xml:space="preserve">School Breakfast Program </t>
    </r>
    <r>
      <rPr>
        <b/>
        <sz val="10"/>
        <rFont val="Arial"/>
        <family val="2"/>
      </rPr>
      <t>(1)</t>
    </r>
  </si>
  <si>
    <r>
      <t xml:space="preserve">National School Lunch Program </t>
    </r>
    <r>
      <rPr>
        <b/>
        <sz val="10"/>
        <rFont val="Arial"/>
        <family val="2"/>
      </rPr>
      <t>(1)</t>
    </r>
  </si>
  <si>
    <t>(1)</t>
  </si>
  <si>
    <t>Child and Adult Care Food Program</t>
  </si>
  <si>
    <r>
      <t xml:space="preserve">Summer Food Service Program for Children </t>
    </r>
    <r>
      <rPr>
        <b/>
        <sz val="10"/>
        <rFont val="Arial"/>
        <family val="2"/>
      </rPr>
      <t>(1)</t>
    </r>
  </si>
  <si>
    <t>Supplemental Nutrition Assistance Program</t>
  </si>
  <si>
    <t>(5)</t>
  </si>
  <si>
    <t>Fresh Fruit and Vegetable Program</t>
  </si>
  <si>
    <t>Basic and Applied Scientific Research</t>
  </si>
  <si>
    <t>Basic Scientific Research</t>
  </si>
  <si>
    <t>Language Grant Program</t>
  </si>
  <si>
    <t>National Institute of Justice Research, Evaluation and Development Project Grants</t>
  </si>
  <si>
    <t>Youthbuild</t>
  </si>
  <si>
    <r>
      <t>Computer and Information Science and Engineering</t>
    </r>
    <r>
      <rPr>
        <b/>
        <sz val="10"/>
        <rFont val="Arial"/>
        <family val="2"/>
      </rPr>
      <t xml:space="preserve"> (6)</t>
    </r>
  </si>
  <si>
    <t>(6)</t>
  </si>
  <si>
    <r>
      <t xml:space="preserve">Education and Human Resources </t>
    </r>
    <r>
      <rPr>
        <b/>
        <sz val="10"/>
        <rFont val="Arial"/>
        <family val="2"/>
      </rPr>
      <t>(6)</t>
    </r>
  </si>
  <si>
    <t>Environmental Education Grant Program</t>
  </si>
  <si>
    <t>Title I Grants to Local Education Agencies</t>
  </si>
  <si>
    <r>
      <t xml:space="preserve">Special Education Grants to State </t>
    </r>
    <r>
      <rPr>
        <b/>
        <sz val="10"/>
        <rFont val="Arial"/>
        <family val="2"/>
      </rPr>
      <t>(2)</t>
    </r>
  </si>
  <si>
    <t>(2)</t>
  </si>
  <si>
    <t>Impact Aid</t>
  </si>
  <si>
    <r>
      <t xml:space="preserve">TRIO - Talent Search </t>
    </r>
    <r>
      <rPr>
        <b/>
        <sz val="10"/>
        <rFont val="Arial"/>
        <family val="2"/>
      </rPr>
      <t>(3)</t>
    </r>
  </si>
  <si>
    <t>(3)</t>
  </si>
  <si>
    <t>Career and Technical Education</t>
  </si>
  <si>
    <t>Indian Education - Grants to Local Education Agencies</t>
  </si>
  <si>
    <t>Rehabilitation Grants to States</t>
  </si>
  <si>
    <t>Magnet Schools Assistance Program</t>
  </si>
  <si>
    <r>
      <t xml:space="preserve">Special Education - Preschool Grants </t>
    </r>
    <r>
      <rPr>
        <b/>
        <sz val="10"/>
        <rFont val="Arial"/>
        <family val="2"/>
      </rPr>
      <t>(2)</t>
    </r>
  </si>
  <si>
    <t>Safe and Drug-Free Schools and Communities</t>
  </si>
  <si>
    <t>Education for Homeless Children and Youth</t>
  </si>
  <si>
    <t>Fund for the Improvement of Education</t>
  </si>
  <si>
    <t>Twenty-First Century Community Learning Centers</t>
  </si>
  <si>
    <t>Gaining Early Awareness and Readiness for Undergraduate Program</t>
  </si>
  <si>
    <t>Arts in Education</t>
  </si>
  <si>
    <t>English Language Acquisition Grants</t>
  </si>
  <si>
    <t>Supporting Effective Instruction State Grants</t>
  </si>
  <si>
    <t>Teacher Incentive Fund</t>
  </si>
  <si>
    <t>School Improvement Grants</t>
  </si>
  <si>
    <t>Preschool Expansion</t>
  </si>
  <si>
    <t>Student Support and Academic Enrichment Program</t>
  </si>
  <si>
    <t>Cooperative Agreements to Promote Adolscent Health through Substance Abuse and Mental Health Services</t>
  </si>
  <si>
    <t>Teen Pregnancy Prevention Program</t>
  </si>
  <si>
    <t>Refugee and Entrant Assistance</t>
  </si>
  <si>
    <t>Projects of Regional and National Significance Children's Health Insurance Program</t>
  </si>
  <si>
    <r>
      <t xml:space="preserve">Medical Assistance Program </t>
    </r>
    <r>
      <rPr>
        <b/>
        <sz val="10"/>
        <rFont val="Arial"/>
        <family val="2"/>
      </rPr>
      <t>(4)</t>
    </r>
  </si>
  <si>
    <t>(4)</t>
  </si>
  <si>
    <t xml:space="preserve">Maternal and Child Health Services </t>
  </si>
  <si>
    <t>Clusters:</t>
  </si>
  <si>
    <r>
      <rPr>
        <b/>
        <sz val="10"/>
        <color rgb="FF000000"/>
        <rFont val="Arial"/>
        <family val="2"/>
      </rPr>
      <t>(1)</t>
    </r>
    <r>
      <rPr>
        <sz val="10"/>
        <color rgb="FF000000"/>
        <rFont val="Arial"/>
        <family val="2"/>
      </rPr>
      <t xml:space="preserve"> Child Nutrition Cluster</t>
    </r>
  </si>
  <si>
    <r>
      <rPr>
        <b/>
        <sz val="10"/>
        <color rgb="FF000000"/>
        <rFont val="Arial"/>
        <family val="2"/>
      </rPr>
      <t>(2)</t>
    </r>
    <r>
      <rPr>
        <sz val="10"/>
        <color rgb="FF000000"/>
        <rFont val="Arial"/>
        <family val="2"/>
      </rPr>
      <t xml:space="preserve"> Special Education Cluster (IDEA)</t>
    </r>
  </si>
  <si>
    <r>
      <rPr>
        <b/>
        <sz val="10"/>
        <color rgb="FF000000"/>
        <rFont val="Arial"/>
        <family val="2"/>
      </rPr>
      <t>(3)</t>
    </r>
    <r>
      <rPr>
        <sz val="10"/>
        <color rgb="FF000000"/>
        <rFont val="Arial"/>
        <family val="2"/>
      </rPr>
      <t xml:space="preserve"> TRIO Cluster</t>
    </r>
  </si>
  <si>
    <r>
      <rPr>
        <b/>
        <sz val="10"/>
        <color rgb="FF000000"/>
        <rFont val="Arial"/>
        <family val="2"/>
      </rPr>
      <t>(4)</t>
    </r>
    <r>
      <rPr>
        <sz val="10"/>
        <color rgb="FF000000"/>
        <rFont val="Arial"/>
        <family val="2"/>
      </rPr>
      <t xml:space="preserve"> Medicaid Cluster</t>
    </r>
  </si>
  <si>
    <r>
      <rPr>
        <b/>
        <sz val="10"/>
        <color rgb="FF000000"/>
        <rFont val="Arial"/>
        <family val="2"/>
      </rPr>
      <t>(5)</t>
    </r>
    <r>
      <rPr>
        <sz val="10"/>
        <color rgb="FF000000"/>
        <rFont val="Arial"/>
        <family val="2"/>
      </rPr>
      <t xml:space="preserve"> Supplemental Nutrition Assistance Program Cluster</t>
    </r>
  </si>
  <si>
    <r>
      <rPr>
        <b/>
        <sz val="10"/>
        <color rgb="FF000000"/>
        <rFont val="Arial"/>
        <family val="2"/>
      </rPr>
      <t>(6)</t>
    </r>
    <r>
      <rPr>
        <sz val="10"/>
        <color rgb="FF000000"/>
        <rFont val="Arial"/>
        <family val="2"/>
      </rPr>
      <t xml:space="preserve"> Research and Development Cluster</t>
    </r>
  </si>
  <si>
    <r>
      <t xml:space="preserve">The following amounts were expended in the form of non-cash assistance by </t>
    </r>
    <r>
      <rPr>
        <b/>
        <sz val="9"/>
        <rFont val="Calibri"/>
        <family val="2"/>
        <scheme val="minor"/>
      </rPr>
      <t xml:space="preserve">Board of Education City of Chicago </t>
    </r>
    <r>
      <rPr>
        <sz val="9"/>
        <rFont val="Calibri"/>
        <family val="2"/>
        <scheme val="minor"/>
      </rPr>
      <t xml:space="preserve">and </t>
    </r>
    <r>
      <rPr>
        <b/>
        <sz val="9"/>
        <rFont val="Calibri"/>
        <family val="2"/>
        <scheme val="minor"/>
      </rPr>
      <t>should be</t>
    </r>
    <r>
      <rPr>
        <sz val="9"/>
        <rFont val="Calibri"/>
        <family val="2"/>
        <scheme val="minor"/>
      </rPr>
      <t xml:space="preserve"> included in the Schedule of Expenditures of Federal Awards:</t>
    </r>
  </si>
  <si>
    <t>Unmodified</t>
  </si>
  <si>
    <t>Special Education Grants to States</t>
  </si>
  <si>
    <t>Special Education - Preschool Grants</t>
  </si>
  <si>
    <t>Career and Technical Education - Basic Grants</t>
  </si>
  <si>
    <t>Medical Assistance Program</t>
  </si>
  <si>
    <t>N/A</t>
  </si>
  <si>
    <t>None</t>
  </si>
  <si>
    <t>Donated Foods Included in SEFA</t>
  </si>
  <si>
    <t>Build American Bonds</t>
  </si>
  <si>
    <t>U.S. Department of Defence Reserve Office Training Corps (ROTC)</t>
  </si>
  <si>
    <t>Adjustments to record revenue that do not provide current financial resources</t>
  </si>
  <si>
    <t>Year Ended June 30, 2019</t>
  </si>
  <si>
    <t>Expenditure/Disbursements (4)</t>
  </si>
  <si>
    <t>Federal Grantor/Pass-Through Grantor Subrecipients *</t>
  </si>
  <si>
    <t>Final Status</t>
  </si>
  <si>
    <t>Number (2)</t>
  </si>
  <si>
    <t>or Contract Number (3)</t>
  </si>
  <si>
    <t>Encumbrances</t>
  </si>
  <si>
    <t>(E + F + G)</t>
  </si>
  <si>
    <t>Major Program Destination</t>
  </si>
  <si>
    <t>Pass Through to Subs</t>
  </si>
  <si>
    <t>U.S. DEPARTMENT OF AGRICULTURE</t>
  </si>
  <si>
    <t xml:space="preserve">      Passed Through Illinois State Board of Education (ISBE)</t>
  </si>
  <si>
    <t xml:space="preserve">      Child Nutrition Cluster</t>
  </si>
  <si>
    <t xml:space="preserve">       National School Lunch Program</t>
  </si>
  <si>
    <t>19-4210-00</t>
  </si>
  <si>
    <t xml:space="preserve">             N/A</t>
  </si>
  <si>
    <t>18-4210-00</t>
  </si>
  <si>
    <t xml:space="preserve">       Food Donation Program</t>
  </si>
  <si>
    <t>19-4290-00</t>
  </si>
  <si>
    <t xml:space="preserve">       Summer Food Service Program for Children</t>
  </si>
  <si>
    <t>19-4225-00</t>
  </si>
  <si>
    <t xml:space="preserve">       School Breakfast Program</t>
  </si>
  <si>
    <t>19-4220-00</t>
  </si>
  <si>
    <t>18-4220-00</t>
  </si>
  <si>
    <t xml:space="preserve">     Passed Through Illinois State Board of Education (ISBE)</t>
  </si>
  <si>
    <t xml:space="preserve">       Child and Adult Care Food Program</t>
  </si>
  <si>
    <t>19-4226-00</t>
  </si>
  <si>
    <t xml:space="preserve">                     N/A</t>
  </si>
  <si>
    <t>18-4226-00</t>
  </si>
  <si>
    <t xml:space="preserve">       Fresh Fruit and Vegetable Program</t>
  </si>
  <si>
    <t>17-4240-17 / 17-4240-18</t>
  </si>
  <si>
    <t>19-4240-00</t>
  </si>
  <si>
    <t xml:space="preserve">     Passed Through Illinois Department of Human Services (IDHS)</t>
  </si>
  <si>
    <t xml:space="preserve">     Supplemental Nutrition Assistance Program Cluster</t>
  </si>
  <si>
    <t xml:space="preserve">       Supplemental Nutrition Assistance Program</t>
  </si>
  <si>
    <t>FCSXQ04965</t>
  </si>
  <si>
    <t>U.S. DEPARTMENT OF EDUCATION</t>
  </si>
  <si>
    <t xml:space="preserve">     Special Education Cluster (IDEA)</t>
  </si>
  <si>
    <r>
      <t xml:space="preserve">       Special Education Grants to State </t>
    </r>
    <r>
      <rPr>
        <b/>
        <sz val="8"/>
        <rFont val="Arial"/>
        <family val="2"/>
      </rPr>
      <t>(M)</t>
    </r>
  </si>
  <si>
    <t>84.027A</t>
  </si>
  <si>
    <t>18-4620-00</t>
  </si>
  <si>
    <t>19-4620-00</t>
  </si>
  <si>
    <t>19-4625-00</t>
  </si>
  <si>
    <t>18-4625-00</t>
  </si>
  <si>
    <r>
      <t xml:space="preserve">      Special Education - Preschool Grants </t>
    </r>
    <r>
      <rPr>
        <b/>
        <sz val="8"/>
        <color rgb="FF000000"/>
        <rFont val="Arial"/>
        <family val="2"/>
      </rPr>
      <t>(M)</t>
    </r>
  </si>
  <si>
    <t>84.173A</t>
  </si>
  <si>
    <t>18-4600-00</t>
  </si>
  <si>
    <t>19-4600-00</t>
  </si>
  <si>
    <t>18-4605-01</t>
  </si>
  <si>
    <t>19-4605-01</t>
  </si>
  <si>
    <t xml:space="preserve">       Title I Grants to Local Education Agencies</t>
  </si>
  <si>
    <t>84.010A</t>
  </si>
  <si>
    <t>18-4300-00</t>
  </si>
  <si>
    <t>19-4300-00</t>
  </si>
  <si>
    <t>18-4331-SS</t>
  </si>
  <si>
    <t>18-4305-00</t>
  </si>
  <si>
    <t>19-4305-00</t>
  </si>
  <si>
    <t>18-4306-00</t>
  </si>
  <si>
    <t>19-4306-00</t>
  </si>
  <si>
    <t>18-4399-IP</t>
  </si>
  <si>
    <t xml:space="preserve">       Supporting Effective Instruction State Grants</t>
  </si>
  <si>
    <t>84.367A</t>
  </si>
  <si>
    <t>18-4932-00</t>
  </si>
  <si>
    <t>19-4932-00</t>
  </si>
  <si>
    <t>18-4935-02</t>
  </si>
  <si>
    <t>19-4935-02</t>
  </si>
  <si>
    <t xml:space="preserve">        English Language Acquisition Grants</t>
  </si>
  <si>
    <t>84.365A</t>
  </si>
  <si>
    <t>17-4909-00</t>
  </si>
  <si>
    <t>18-4909-00</t>
  </si>
  <si>
    <t>19-4909-00</t>
  </si>
  <si>
    <t>18-4905-00</t>
  </si>
  <si>
    <t>19-4905-00</t>
  </si>
  <si>
    <t xml:space="preserve">       Student Support and Academic Enrichment Program</t>
  </si>
  <si>
    <t>84.424A</t>
  </si>
  <si>
    <t>18-4400-00</t>
  </si>
  <si>
    <t>19-4400-00</t>
  </si>
  <si>
    <r>
      <t xml:space="preserve">       Career and Technical Education </t>
    </r>
    <r>
      <rPr>
        <b/>
        <sz val="8"/>
        <rFont val="Arial"/>
        <family val="2"/>
      </rPr>
      <t>(M)</t>
    </r>
  </si>
  <si>
    <t>84.048A</t>
  </si>
  <si>
    <t>18-4745-00</t>
  </si>
  <si>
    <t>19-4745-00</t>
  </si>
  <si>
    <r>
      <t xml:space="preserve">       School Improvement Grants </t>
    </r>
    <r>
      <rPr>
        <b/>
        <sz val="8"/>
        <rFont val="Arial"/>
        <family val="2"/>
      </rPr>
      <t>(M)</t>
    </r>
  </si>
  <si>
    <t>84.377A</t>
  </si>
  <si>
    <t>18-4339-15</t>
  </si>
  <si>
    <t>19-4339-15</t>
  </si>
  <si>
    <t>18-4339-16</t>
  </si>
  <si>
    <t>19-4339-16</t>
  </si>
  <si>
    <t xml:space="preserve">       Twenty-First Century Community Learning Centers</t>
  </si>
  <si>
    <t>18-4421-13</t>
  </si>
  <si>
    <t>18-4421-15</t>
  </si>
  <si>
    <t>18-4421-25</t>
  </si>
  <si>
    <t>18-4421-35</t>
  </si>
  <si>
    <t>18-4421-45</t>
  </si>
  <si>
    <t>18-4421-55</t>
  </si>
  <si>
    <t>18-4421-65</t>
  </si>
  <si>
    <t>19-4421-13</t>
  </si>
  <si>
    <t>19-4421-15</t>
  </si>
  <si>
    <t>19-4421-25</t>
  </si>
  <si>
    <t>19-4421-35</t>
  </si>
  <si>
    <t>19-4421-45</t>
  </si>
  <si>
    <t>19-4421-55</t>
  </si>
  <si>
    <t>19-4421-65</t>
  </si>
  <si>
    <t>18-4421-75</t>
  </si>
  <si>
    <t>19-4421-75</t>
  </si>
  <si>
    <t>19-4421-19</t>
  </si>
  <si>
    <t>19-4421-29</t>
  </si>
  <si>
    <t>19-4421-39</t>
  </si>
  <si>
    <t>19-4421-49</t>
  </si>
  <si>
    <t>19-4421-59</t>
  </si>
  <si>
    <t xml:space="preserve">       Education for Homeless Children and Youth</t>
  </si>
  <si>
    <t>84.196A</t>
  </si>
  <si>
    <t>18-4920-00</t>
  </si>
  <si>
    <t>19-4920-00</t>
  </si>
  <si>
    <t xml:space="preserve">       Preschool Development Grants </t>
  </si>
  <si>
    <t>84.419B</t>
  </si>
  <si>
    <t>18-4902-PE</t>
  </si>
  <si>
    <t>19-4902-PE</t>
  </si>
  <si>
    <t xml:space="preserve">     Direct Funding</t>
  </si>
  <si>
    <t xml:space="preserve">     TRIO Cluster</t>
  </si>
  <si>
    <t xml:space="preserve">       TRIO - Talent Search</t>
  </si>
  <si>
    <t>84.044A</t>
  </si>
  <si>
    <t>P044A160585</t>
  </si>
  <si>
    <t xml:space="preserve">       Impact Aid</t>
  </si>
  <si>
    <t>S041B-2016-1446</t>
  </si>
  <si>
    <t xml:space="preserve">       Indian Education - Grants to Local Education</t>
  </si>
  <si>
    <t>84.060A</t>
  </si>
  <si>
    <t>S060A160666</t>
  </si>
  <si>
    <t>S060A170666</t>
  </si>
  <si>
    <t>S060A140666</t>
  </si>
  <si>
    <t xml:space="preserve">       Magnet Schools Assistance Program</t>
  </si>
  <si>
    <t>84.165A</t>
  </si>
  <si>
    <t>U165A170071</t>
  </si>
  <si>
    <t xml:space="preserve">       Skills for Success</t>
  </si>
  <si>
    <t>84.215H</t>
  </si>
  <si>
    <t>U215H150069</t>
  </si>
  <si>
    <t xml:space="preserve">       Arts in Education</t>
  </si>
  <si>
    <t>84.351C</t>
  </si>
  <si>
    <t>U351C140052-16</t>
  </si>
  <si>
    <t>U351C140052</t>
  </si>
  <si>
    <t>84.351D</t>
  </si>
  <si>
    <t>U351D180107</t>
  </si>
  <si>
    <t xml:space="preserve">       Teacher Incentive Fund</t>
  </si>
  <si>
    <t>84.374A</t>
  </si>
  <si>
    <t>U374A170088</t>
  </si>
  <si>
    <t xml:space="preserve">       School Safety National Activities</t>
  </si>
  <si>
    <t>84.184C</t>
  </si>
  <si>
    <t>S184C160002</t>
  </si>
  <si>
    <t xml:space="preserve">     Passed Through Illinois Department of Human Services</t>
  </si>
  <si>
    <t xml:space="preserve">        Rehabilitation Grants to States</t>
  </si>
  <si>
    <t>46CWF00155</t>
  </si>
  <si>
    <t>46CXF00155</t>
  </si>
  <si>
    <t xml:space="preserve">     Passed Through Northeastern Illinois University</t>
  </si>
  <si>
    <t xml:space="preserve">       Gaining Early Awareness and  Readiness for Undergraduate Program</t>
  </si>
  <si>
    <t>84.334A</t>
  </si>
  <si>
    <t>P334A110082 / P0048086</t>
  </si>
  <si>
    <t>P334A140132 / P0048087</t>
  </si>
  <si>
    <t>PO#0047632</t>
  </si>
  <si>
    <t>PO 00050041</t>
  </si>
  <si>
    <t>P0#0047628</t>
  </si>
  <si>
    <t>PO#0047772</t>
  </si>
  <si>
    <t>PO 00051435</t>
  </si>
  <si>
    <t>U.S. DEPARTMENT OF HEALTH AND HUMAN SERVICES</t>
  </si>
  <si>
    <t xml:space="preserve">     Passed Through Centers for Disease Control</t>
  </si>
  <si>
    <t xml:space="preserve">       Promote Adolescent Health through School-based HIV/STD prevention and School-Based Survillance</t>
  </si>
  <si>
    <t>1U87PS004162-05</t>
  </si>
  <si>
    <t>NU87PS004311-01-00</t>
  </si>
  <si>
    <t xml:space="preserve">     Passed Through City of Chicago Department of Family and Support Services</t>
  </si>
  <si>
    <r>
      <t xml:space="preserve">       Head Start</t>
    </r>
    <r>
      <rPr>
        <b/>
        <sz val="8"/>
        <color rgb="FF000000"/>
        <rFont val="Arial"/>
        <family val="2"/>
      </rPr>
      <t xml:space="preserve"> (M)</t>
    </r>
  </si>
  <si>
    <t>PO#33360-3</t>
  </si>
  <si>
    <t>PO#33360-4</t>
  </si>
  <si>
    <t>IGA</t>
  </si>
  <si>
    <t xml:space="preserve">      Direct Funding</t>
  </si>
  <si>
    <t xml:space="preserve">       Teen Pregnancy Prevention Program</t>
  </si>
  <si>
    <t>TP2AH000034-00-00</t>
  </si>
  <si>
    <t xml:space="preserve">       Children's Health Insurance Program</t>
  </si>
  <si>
    <t>1Z0CMS331507-02-03</t>
  </si>
  <si>
    <t xml:space="preserve">       Refugee and Entrant Assistance State/Replacement Designee Administered Programs</t>
  </si>
  <si>
    <t>FCSWK01131</t>
  </si>
  <si>
    <t>9FCSXK04937</t>
  </si>
  <si>
    <t xml:space="preserve">     Passed Through Illinois Department of Healthcare </t>
  </si>
  <si>
    <t xml:space="preserve">     and Family Services (IDHFS)</t>
  </si>
  <si>
    <t xml:space="preserve">     Medicaid Cluster</t>
  </si>
  <si>
    <r>
      <t xml:space="preserve">        Medical Assistance Program </t>
    </r>
    <r>
      <rPr>
        <b/>
        <sz val="8"/>
        <color rgb="FF000000"/>
        <rFont val="Arial"/>
        <family val="2"/>
      </rPr>
      <t>(M)</t>
    </r>
  </si>
  <si>
    <t>95-4900-00</t>
  </si>
  <si>
    <t>$                      N/A</t>
  </si>
  <si>
    <t xml:space="preserve">     Passed Through Illinois Department of Public Health</t>
  </si>
  <si>
    <t xml:space="preserve">      Maternal and Child Health Services Block Grant to the States</t>
  </si>
  <si>
    <t>86380013F</t>
  </si>
  <si>
    <t>U.S. DEPARTMENT OF JUSTICE</t>
  </si>
  <si>
    <t xml:space="preserve">       National Institute of Justice Research, Evaluation and Development Project Grants</t>
  </si>
  <si>
    <t>2014-CK-BX-0002</t>
  </si>
  <si>
    <t>U.S. DEPARTMENT OF LABOR</t>
  </si>
  <si>
    <t xml:space="preserve">     Passed Through Manufacturing Renaissance</t>
  </si>
  <si>
    <t xml:space="preserve">       Youthbuild</t>
  </si>
  <si>
    <t>YC-25414-14-60-A-17</t>
  </si>
  <si>
    <t>U.S. DEPARTMENT OF DEFENSE</t>
  </si>
  <si>
    <t xml:space="preserve">     Passed Through City Colleges of Chicago</t>
  </si>
  <si>
    <t xml:space="preserve">         Basic and Applied Scientific Research</t>
  </si>
  <si>
    <t>18-12-1-0738</t>
  </si>
  <si>
    <t>19-12-1-0738</t>
  </si>
  <si>
    <t xml:space="preserve">       Direct Funding</t>
  </si>
  <si>
    <t xml:space="preserve">       Language Grant Program</t>
  </si>
  <si>
    <t>H-98230-18-1-0159</t>
  </si>
  <si>
    <t xml:space="preserve">       Basic Scientific Research</t>
  </si>
  <si>
    <t>W911NF-15-1-0251</t>
  </si>
  <si>
    <t>ENVIRONMENTAL PROTECTION AGENCY</t>
  </si>
  <si>
    <t xml:space="preserve">       Environmental Education Grant Program</t>
  </si>
  <si>
    <t>NE-83619701-0</t>
  </si>
  <si>
    <t>NATIONAL SCIENCE FOUNDATION</t>
  </si>
  <si>
    <t xml:space="preserve">     Research and Development Cluster</t>
  </si>
  <si>
    <t xml:space="preserve">     Passed Through DePaul University</t>
  </si>
  <si>
    <t xml:space="preserve">       Computer and Information Science and Engineering</t>
  </si>
  <si>
    <t>501165SG125</t>
  </si>
  <si>
    <t>500165SG155</t>
  </si>
  <si>
    <t>501334SG159</t>
  </si>
  <si>
    <t xml:space="preserve">       Education and Human Resources</t>
  </si>
  <si>
    <t>501313SG151</t>
  </si>
  <si>
    <t xml:space="preserve">     Passed Through The Learning Partnership</t>
  </si>
  <si>
    <t>LP201801</t>
  </si>
  <si>
    <t xml:space="preserve">     Passed Through The University of Chicago</t>
  </si>
  <si>
    <t>FP066563-01</t>
  </si>
  <si>
    <t xml:space="preserve">     Passed Through University of Massachusetts</t>
  </si>
  <si>
    <t>DUE-1104145</t>
  </si>
  <si>
    <t>(M) Program was audited as a major program as defied by 200.518.</t>
  </si>
  <si>
    <t>* Also include the total amount provided to subrecipients from each Federal Program (200.510 (b)(4).</t>
  </si>
  <si>
    <t>The accompanying notes are an intergral part of this schedule.</t>
  </si>
  <si>
    <t xml:space="preserve">(1) To meet state or other requirements, auditees may decide to include certain nonfederal awards (for example, state awards) in this schedule. If such nonfederal data are presented, </t>
  </si>
  <si>
    <t xml:space="preserve">they should be segregated and clearly designated as nonfederal. The title of the schedule should also be modified to indicate that nonfederal awards are included. </t>
  </si>
  <si>
    <t xml:space="preserve">(2) When the CFDA number is not available, the auditee should indicate that the CFDA number is not available and include in the schedule the program's name and, if applicable, </t>
  </si>
  <si>
    <t>other identifying number</t>
  </si>
  <si>
    <t>(3) When awards are received as a subrecipient, the name of the pass-through entity and identifying number assigned by the pass-through entity must be included in the schedule 200.510 (b)(2)</t>
  </si>
  <si>
    <t>(4) The Uniform Guidance requires that the value of federal awards expended in the form of non-cash assistance, the amount of insurance in effect during the year, and loans or loan guarantees</t>
  </si>
  <si>
    <t xml:space="preserve">outstanding at year end be included in the schedule and suggests to include the amounts in the SEFA notes. </t>
  </si>
  <si>
    <t>Student Improvement Grants</t>
  </si>
  <si>
    <t xml:space="preserve">19-4339-16 </t>
  </si>
  <si>
    <t>Illinois State Board of Education</t>
  </si>
  <si>
    <t>U.S. Department of Education</t>
  </si>
  <si>
    <t xml:space="preserve">Procurement Standards of Title 2 of the Code of Federal Regulations (CFR) Part 200 Uniform Administrative Requirements, Costs Principles, and Audit Requirements for Federal Awards (Uniform Guidance) state that all non-federal entities will follow Sections 200.318 through Section 200.326.  Section 200.320 identifies four methods of procurement to be followed:
(a) Procurement by micro-purchases
(b) Procurement by small purchases procedures 
(c) Procurement by sealed bids (formal advertising)
(d) Procurement by competitive proposals
(e) Procurement by noncompetitive proposals
Per Section 320(b) if small purchases procedures are used, price or rate quotations must be obtained from an adequate number of qualified sources.  
Title 2 CFR section 200.303 states the following regarding internal control:
“The auditee shall maintain internal control over Federal programs that provides reasonable assurance that the auditee is managing Federal awards in compliance with law, regulations, and the provisions of contracts or grant agreements that could have a material effect on each of its Federal programs.”
</t>
  </si>
  <si>
    <t>Questioned costs are unable to be determined, however, actual purchase orders that did not comply with the small purchase requirements of the Uniform Guidance totaled $16,066 for CFDA Number 84.377.</t>
  </si>
  <si>
    <t xml:space="preserve">CPS procurement policies and procedures do not account for the small purchase requirements of 2 CFR section 200.320(b) of the Uniform Guidance.  </t>
  </si>
  <si>
    <t>CPS has not complied with the requirements of the Uniform Guidance as it relates to small purchases that fall between $3,500 and $25,000.</t>
  </si>
  <si>
    <t xml:space="preserve">We recommend that CPS review and revise its procurement policies and procedures in order to comply with the small purchase requirements of the Uniform Guidance. </t>
  </si>
  <si>
    <t>We tested nine purchase orders totaling $527,347.  Two purchase orders totaling $16,066 were purchases greater than $3,500 but less than $25,000, and for which CPS did not obtain an adequate number of price or rate quotations as required by the Uniform Guidance.</t>
  </si>
  <si>
    <t xml:space="preserve">Chicago Public Schools’ (CPS) procurement policies and procedures state that no purchases shall be made except as provided by applicable Illinois law, federal law and the Board of Education of the City of Chicago.  The procurement policy also states that all purchases for Biddable Items and Non-biddable Items that do not exceed $25,000 shall be completed via a purchase order, however, our procedures revealed that the purchase order process does not require solicitation of an adequate number of price or rate quotations for such purchases that exceed the micro-purchase threshold of $3,500 as established by the Uniform Guidance.
</t>
  </si>
  <si>
    <t>The Department of Procurement and Business Diversity will update the CPS Procurement Manual to require that all departments using designated Federal Funds to procure goods or services between $10,000 and $25,000 in value will do so after requesting and evaluating quotes from at least three prospective suppliers.</t>
  </si>
  <si>
    <t>10-1000-300</t>
  </si>
  <si>
    <t>10-1000-400</t>
  </si>
  <si>
    <t>10-2100-300</t>
  </si>
  <si>
    <t>10-2100-400</t>
  </si>
  <si>
    <t>10-2200-300</t>
  </si>
  <si>
    <t>10-2300-200</t>
  </si>
  <si>
    <t>10-2300-300</t>
  </si>
  <si>
    <t>10-2300-400</t>
  </si>
  <si>
    <t>10-2400-400</t>
  </si>
  <si>
    <t>10-2510-300</t>
  </si>
  <si>
    <t>10-2540-300</t>
  </si>
  <si>
    <t>10-2540-400</t>
  </si>
  <si>
    <t>10-2550-300</t>
  </si>
  <si>
    <t>10-2550-400</t>
  </si>
  <si>
    <t>10-2560-300</t>
  </si>
  <si>
    <t>10-2560-400</t>
  </si>
  <si>
    <t>10-2570-300</t>
  </si>
  <si>
    <t>10-2610-300</t>
  </si>
  <si>
    <t>10-2620-300</t>
  </si>
  <si>
    <t>10-2640-300</t>
  </si>
  <si>
    <t>10-2640-400</t>
  </si>
  <si>
    <t>10-2660-300</t>
  </si>
  <si>
    <t>10-2660-400</t>
  </si>
  <si>
    <t>10-2900-300</t>
  </si>
  <si>
    <t>10-3000-300</t>
  </si>
  <si>
    <t>10-3000-400</t>
  </si>
  <si>
    <t>10-2200-400</t>
  </si>
  <si>
    <t>10-2520-300</t>
  </si>
  <si>
    <t>80-2300-300</t>
  </si>
  <si>
    <t>20-2540-300</t>
  </si>
  <si>
    <t>20-2540-400</t>
  </si>
  <si>
    <t>ED-Instruction-Purchased Services</t>
  </si>
  <si>
    <t>ED-Instruction-Supplies and Materials.</t>
  </si>
  <si>
    <t>ED-Pupil-Purchased Services</t>
  </si>
  <si>
    <t>ED-Pupil-Supplies and Materials</t>
  </si>
  <si>
    <t>ED-Instructional Staff-Purchased Services</t>
  </si>
  <si>
    <t>ED-Instructional Staff-Supplies and Materials</t>
  </si>
  <si>
    <t>ED-General Admin-Employee Benefits</t>
  </si>
  <si>
    <t>ED-General Admin-Purchased Services</t>
  </si>
  <si>
    <t>ED-General Admin-Supplies and Materials</t>
  </si>
  <si>
    <t>ED-School Admin-Supplies and Materials</t>
  </si>
  <si>
    <t>ED-Direction of Business Spt. Srv.-Purchased Services</t>
  </si>
  <si>
    <t>ED-Fiscal Services-Purchased Services</t>
  </si>
  <si>
    <t>ED-Oper. &amp; Maint. Plant Services-Purchased Services</t>
  </si>
  <si>
    <t>ED-Oper. &amp; Maint. Plant Services-Supplies and Materials</t>
  </si>
  <si>
    <t>ED-Pupil Transportation-Purchased Services</t>
  </si>
  <si>
    <t>ED-Pupil Transportation-Supplies and Materials</t>
  </si>
  <si>
    <t>ED-Food Services-Purchased Services</t>
  </si>
  <si>
    <t>ED-Food Services-Supplies and Materials</t>
  </si>
  <si>
    <t>ED-Internal Services-Purchased Services</t>
  </si>
  <si>
    <t>ED-Direction of Central Spt. Srv.-Purchased Services</t>
  </si>
  <si>
    <t>ED-Plan, Rsrch, Dvlp, Eval. Srv-Purchased Services</t>
  </si>
  <si>
    <t>ED-Staff Services-Purchased Services</t>
  </si>
  <si>
    <t>ED-Staff Services-Supplies and Materials</t>
  </si>
  <si>
    <t>ED-Data Processing Services-Purchased Services</t>
  </si>
  <si>
    <t>ED-Data Processing Services-Supplies and Materials</t>
  </si>
  <si>
    <t>ED-Other-Purchased Services</t>
  </si>
  <si>
    <t>ED-Community Service-Purchased Services</t>
  </si>
  <si>
    <t>ED-Community Service-Supplies and Materials</t>
  </si>
  <si>
    <t>O&amp;M-Oper. &amp; Maint. Plant Services-Purchased Services</t>
  </si>
  <si>
    <t>O&amp;M-Oper. &amp; Maint. Plant Services-Supplies and Materials</t>
  </si>
  <si>
    <t>TORT-General Admin-Purchased Services</t>
  </si>
  <si>
    <t>See 'Contracts Paid in FY19 - AFR' File for detail</t>
  </si>
  <si>
    <t>Baker Tilly Virchow Krause, LLP</t>
  </si>
  <si>
    <t>See PDF in Opinion Page with Signature</t>
  </si>
  <si>
    <t>Lenny Moore, Controller</t>
  </si>
  <si>
    <t xml:space="preserve">lrmoore6@cps.edu </t>
  </si>
  <si>
    <t>773.553.2711</t>
  </si>
  <si>
    <t>773.553.2595</t>
  </si>
  <si>
    <t>City of Chicago SD 299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</si>
</sst>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0">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 numFmtId="182" formatCode="[$-409]mmmm\ d\,\ yyyy"/>
    <numFmt numFmtId="183" formatCode="_(&quot;$&quot;* #,##0_);_(&quot;$&quot;* \(#,##0\);_(&quot;$&quot;* &quot;-&quot;??_);_(@_)"/>
    <numFmt numFmtId="184" formatCode="_-* #,##0.00_-;\-* #,##0.00_-;_-* &quot;-&quot;??_-;_-@_-"/>
    <numFmt numFmtId="185" formatCode="000000"/>
    <numFmt numFmtId="186" formatCode="0_);\(0\)"/>
  </numFmts>
  <fonts count="14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sz val="10"/>
      <color rgb="FF000000"/>
      <name val="Arial"/>
      <family val="2"/>
    </font>
    <font>
      <sz val="10"/>
      <color rgb="FF000000"/>
      <name val="Arial"/>
      <family val="2"/>
    </font>
    <font>
      <b/>
      <sz val="10"/>
      <color rgb="FF000000"/>
      <name val="Arial"/>
      <family val="2"/>
    </font>
    <font>
      <sz val="8"/>
      <color rgb="FF000000"/>
      <name val="Arial"/>
      <family val="2"/>
    </font>
    <font>
      <b/>
      <sz val="8"/>
      <color rgb="FFFF0000"/>
      <name val="Arial"/>
      <family val="2"/>
    </font>
    <font>
      <b/>
      <sz val="8"/>
      <color rgb="FF000000"/>
      <name val="Arial"/>
      <family val="2"/>
    </font>
    <font>
      <b/>
      <u/>
      <sz val="8"/>
      <name val="Arial"/>
      <family val="2"/>
    </font>
    <font>
      <sz val="8"/>
      <color indexed="8"/>
      <name val="Arial"/>
      <family val="2"/>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0"/>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
      <left/>
      <right/>
      <top/>
      <bottom style="thin">
        <color rgb="FF000000"/>
      </bottom>
      <diagonal/>
    </border>
    <border>
      <left/>
      <right/>
      <top style="thin">
        <color rgb="FF000000"/>
      </top>
      <bottom style="double">
        <color rgb="FF000000"/>
      </bottom>
      <diagonal/>
    </border>
  </borders>
  <cellStyleXfs count="25">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5" fillId="0" borderId="0"/>
    <xf numFmtId="0" fontId="140" fillId="0" borderId="0"/>
    <xf numFmtId="43" fontId="141" fillId="0" borderId="0" applyFont="0" applyFill="0" applyBorder="0" applyAlignment="0" applyProtection="0"/>
    <xf numFmtId="0" fontId="141" fillId="0" borderId="0"/>
    <xf numFmtId="44" fontId="141" fillId="0" borderId="0" applyFont="0" applyFill="0" applyBorder="0" applyAlignment="0" applyProtection="0"/>
    <xf numFmtId="0" fontId="3" fillId="0" borderId="0"/>
    <xf numFmtId="184" fontId="3" fillId="0" borderId="0" applyFont="0" applyFill="0" applyBorder="0" applyAlignment="0" applyProtection="0"/>
  </cellStyleXfs>
  <cellXfs count="2524">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3" fillId="0" borderId="0" xfId="12" applyFont="1" applyBorder="1" applyAlignment="1" applyProtection="1">
      <alignment horizontal="left" vertical="center"/>
    </xf>
    <xf numFmtId="0" fontId="15" fillId="0" borderId="0" xfId="12" quotePrefix="1" applyNumberFormat="1" applyFont="1" applyBorder="1" applyAlignment="1" applyProtection="1">
      <alignment horizontal="left" vertical="center"/>
    </xf>
    <xf numFmtId="0" fontId="12" fillId="0" borderId="12" xfId="12" applyFont="1" applyBorder="1" applyAlignment="1" applyProtection="1">
      <alignmen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2" fillId="0" borderId="17"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1" fontId="11" fillId="0" borderId="0" xfId="0" applyNumberFormat="1" applyFont="1" applyFill="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1" xfId="12" applyNumberFormat="1" applyFont="1" applyBorder="1" applyAlignment="1" applyProtection="1">
      <alignment horizontal="right" vertical="center"/>
    </xf>
    <xf numFmtId="0" fontId="12" fillId="0" borderId="121" xfId="12" applyFont="1" applyBorder="1" applyAlignment="1" applyProtection="1">
      <alignment vertical="center"/>
    </xf>
    <xf numFmtId="0" fontId="15" fillId="0" borderId="124" xfId="12" applyFont="1" applyBorder="1" applyAlignment="1" applyProtection="1">
      <alignment vertical="center"/>
    </xf>
    <xf numFmtId="0" fontId="15" fillId="0" borderId="122" xfId="12" applyFont="1" applyBorder="1" applyAlignment="1" applyProtection="1">
      <alignment vertical="center"/>
    </xf>
    <xf numFmtId="1" fontId="11" fillId="0" borderId="0" xfId="0" applyNumberFormat="1" applyFont="1" applyAlignment="1">
      <alignment horizontal="center" vertical="center"/>
    </xf>
    <xf numFmtId="0" fontId="12" fillId="0" borderId="131"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4"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96"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97" xfId="0" applyFont="1" applyFill="1" applyBorder="1" applyAlignment="1">
      <alignment horizontal="center" vertical="center"/>
    </xf>
    <xf numFmtId="0" fontId="77" fillId="9" borderId="98" xfId="0" applyFont="1" applyFill="1" applyBorder="1" applyAlignment="1">
      <alignment horizontal="center" vertical="center"/>
    </xf>
    <xf numFmtId="0" fontId="55" fillId="17" borderId="117" xfId="0" applyFont="1" applyFill="1" applyBorder="1" applyAlignment="1" applyProtection="1">
      <alignment horizontal="left" vertical="center"/>
    </xf>
    <xf numFmtId="164" fontId="55" fillId="17" borderId="117" xfId="0" applyNumberFormat="1" applyFont="1" applyFill="1" applyBorder="1" applyAlignment="1" applyProtection="1">
      <alignment horizontal="center" vertical="center"/>
    </xf>
    <xf numFmtId="164" fontId="65" fillId="17" borderId="117" xfId="0" applyNumberFormat="1" applyFont="1" applyFill="1" applyBorder="1" applyAlignment="1" applyProtection="1">
      <alignment vertical="center"/>
    </xf>
    <xf numFmtId="0" fontId="78" fillId="10" borderId="118" xfId="0" applyFont="1" applyFill="1" applyBorder="1" applyAlignment="1">
      <alignment horizontal="left" vertical="center"/>
    </xf>
    <xf numFmtId="38" fontId="50" fillId="10" borderId="99" xfId="0" applyNumberFormat="1" applyFont="1" applyFill="1" applyBorder="1" applyAlignment="1">
      <alignment horizontal="right"/>
    </xf>
    <xf numFmtId="38" fontId="50" fillId="10" borderId="106" xfId="0" applyNumberFormat="1" applyFont="1" applyFill="1" applyBorder="1" applyAlignment="1">
      <alignment horizontal="right"/>
    </xf>
    <xf numFmtId="0" fontId="79" fillId="11" borderId="99" xfId="0" applyFont="1" applyFill="1" applyBorder="1" applyAlignment="1">
      <alignment vertical="center"/>
    </xf>
    <xf numFmtId="164" fontId="55" fillId="13" borderId="113" xfId="0" applyNumberFormat="1" applyFont="1" applyFill="1" applyBorder="1" applyAlignment="1" applyProtection="1">
      <alignment horizontal="center" vertical="center"/>
    </xf>
    <xf numFmtId="164" fontId="65" fillId="13" borderId="106" xfId="0" applyNumberFormat="1" applyFont="1" applyFill="1" applyBorder="1" applyAlignment="1" applyProtection="1">
      <alignment vertical="center"/>
    </xf>
    <xf numFmtId="0" fontId="58" fillId="13" borderId="99" xfId="0" applyFont="1" applyFill="1" applyBorder="1" applyAlignment="1" applyProtection="1">
      <alignment vertical="center"/>
    </xf>
    <xf numFmtId="38" fontId="50" fillId="11" borderId="116" xfId="0" applyNumberFormat="1" applyFont="1" applyFill="1" applyBorder="1" applyAlignment="1" applyProtection="1">
      <alignment horizontal="right"/>
      <protection locked="0"/>
    </xf>
    <xf numFmtId="38" fontId="50" fillId="11" borderId="99" xfId="0" applyNumberFormat="1" applyFont="1" applyFill="1" applyBorder="1" applyAlignment="1" applyProtection="1">
      <alignment horizontal="right"/>
      <protection locked="0"/>
    </xf>
    <xf numFmtId="38" fontId="50" fillId="11" borderId="106" xfId="0" applyNumberFormat="1" applyFont="1" applyFill="1" applyBorder="1" applyAlignment="1" applyProtection="1">
      <alignment horizontal="right"/>
      <protection locked="0"/>
    </xf>
    <xf numFmtId="0" fontId="55" fillId="17" borderId="106" xfId="0" applyFont="1" applyFill="1" applyBorder="1" applyAlignment="1" applyProtection="1">
      <alignment horizontal="center" vertical="center"/>
    </xf>
    <xf numFmtId="164" fontId="55" fillId="17" borderId="106" xfId="0" applyNumberFormat="1" applyFont="1" applyFill="1" applyBorder="1" applyAlignment="1" applyProtection="1">
      <alignment horizontal="center" vertical="center"/>
    </xf>
    <xf numFmtId="164" fontId="65" fillId="17" borderId="106" xfId="0" applyNumberFormat="1" applyFont="1" applyFill="1" applyBorder="1" applyAlignment="1" applyProtection="1">
      <alignment vertical="center"/>
    </xf>
    <xf numFmtId="0" fontId="78" fillId="10" borderId="99"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63" fillId="13" borderId="113" xfId="0" applyFont="1" applyFill="1" applyBorder="1" applyAlignment="1" applyProtection="1">
      <alignment horizontal="left" vertical="center"/>
    </xf>
    <xf numFmtId="164" fontId="55" fillId="13" borderId="106" xfId="0" applyNumberFormat="1" applyFont="1" applyFill="1" applyBorder="1" applyAlignment="1" applyProtection="1">
      <alignment horizontal="center" vertical="center"/>
    </xf>
    <xf numFmtId="164" fontId="63" fillId="13" borderId="106" xfId="0" applyNumberFormat="1" applyFont="1" applyFill="1" applyBorder="1" applyAlignment="1" applyProtection="1">
      <alignment vertical="center"/>
    </xf>
    <xf numFmtId="0" fontId="79" fillId="11" borderId="99" xfId="0" applyFont="1" applyFill="1" applyBorder="1" applyAlignment="1">
      <alignment horizontal="left" vertical="center"/>
    </xf>
    <xf numFmtId="0" fontId="55" fillId="13" borderId="114" xfId="0" applyFont="1" applyFill="1" applyBorder="1" applyAlignment="1" applyProtection="1">
      <alignment horizontal="center" vertical="center"/>
    </xf>
    <xf numFmtId="164" fontId="55" fillId="13" borderId="115" xfId="0" applyNumberFormat="1" applyFont="1" applyFill="1" applyBorder="1" applyAlignment="1" applyProtection="1">
      <alignment horizontal="center" vertical="center"/>
    </xf>
    <xf numFmtId="164" fontId="65" fillId="13" borderId="115" xfId="0" applyNumberFormat="1" applyFont="1" applyFill="1" applyBorder="1" applyAlignment="1" applyProtection="1">
      <alignment vertical="center"/>
    </xf>
    <xf numFmtId="38" fontId="50" fillId="11" borderId="106" xfId="0" applyNumberFormat="1" applyFont="1" applyFill="1" applyBorder="1" applyAlignment="1">
      <alignment horizontal="right"/>
    </xf>
    <xf numFmtId="0" fontId="78" fillId="10" borderId="100" xfId="0" applyFont="1" applyFill="1" applyBorder="1" applyAlignment="1">
      <alignment horizontal="left" vertical="center"/>
    </xf>
    <xf numFmtId="38" fontId="50" fillId="10" borderId="100" xfId="0" applyNumberFormat="1" applyFont="1" applyFill="1" applyBorder="1" applyAlignment="1">
      <alignment horizontal="right"/>
    </xf>
    <xf numFmtId="38" fontId="50" fillId="10" borderId="0" xfId="0" applyNumberFormat="1" applyFont="1" applyFill="1" applyBorder="1" applyAlignment="1" applyProtection="1">
      <alignment horizontal="right"/>
      <protection locked="0"/>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38" fontId="58" fillId="0" borderId="2" xfId="0" applyNumberFormat="1" applyFont="1" applyBorder="1" applyAlignment="1" applyProtection="1">
      <alignment vertical="center"/>
      <protection locked="0"/>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0" fontId="58" fillId="0" borderId="0" xfId="5" applyNumberFormat="1"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5" fontId="63" fillId="0" borderId="0" xfId="0" applyNumberFormat="1" applyFont="1" applyFill="1" applyBorder="1" applyAlignment="1" applyProtection="1">
      <alignment horizontal="right"/>
    </xf>
    <xf numFmtId="173" fontId="63" fillId="0" borderId="0" xfId="0" applyNumberFormat="1" applyFont="1" applyBorder="1" applyProtection="1"/>
    <xf numFmtId="0" fontId="63" fillId="0" borderId="0" xfId="5" applyNumberFormat="1" applyFont="1" applyBorder="1" applyAlignment="1" applyProtection="1">
      <alignment horizontal="right"/>
    </xf>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2" fontId="63" fillId="0" borderId="0" xfId="0" applyNumberFormat="1"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5" quotePrefix="1" applyNumberFormat="1" applyFont="1" applyBorder="1" applyAlignment="1" applyProtection="1">
      <alignment horizontal="right"/>
    </xf>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40" fontId="63" fillId="0" borderId="0" xfId="0" applyNumberFormat="1" applyFont="1" applyFill="1" applyBorder="1" applyAlignment="1" applyProtection="1">
      <alignment horizontal="right"/>
    </xf>
    <xf numFmtId="1" fontId="63" fillId="0" borderId="0" xfId="0" applyNumberFormat="1" applyFont="1" applyBorder="1" applyProtection="1"/>
    <xf numFmtId="39" fontId="63" fillId="0" borderId="0" xfId="0" applyNumberFormat="1" applyFont="1" applyBorder="1" applyProtection="1"/>
    <xf numFmtId="1" fontId="58" fillId="0" borderId="0" xfId="5" applyNumberFormat="1" applyFont="1" applyBorder="1" applyAlignment="1" applyProtection="1">
      <alignment horizontal="right"/>
    </xf>
    <xf numFmtId="40" fontId="63" fillId="0" borderId="0" xfId="0" applyNumberFormat="1" applyFont="1" applyBorder="1" applyAlignment="1" applyProtection="1">
      <alignment horizontal="right" vertical="center"/>
    </xf>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2" fontId="63" fillId="0" borderId="0" xfId="0" applyNumberFormat="1" applyFont="1" applyBorder="1" applyAlignment="1" applyProtection="1">
      <alignment horizontal="right" vertical="center"/>
    </xf>
    <xf numFmtId="40" fontId="63" fillId="0" borderId="0" xfId="0" applyNumberFormat="1" applyFont="1" applyFill="1" applyBorder="1" applyAlignment="1" applyProtection="1">
      <alignment horizontal="right" vertical="center"/>
    </xf>
    <xf numFmtId="49" fontId="63" fillId="0" borderId="0" xfId="0" applyNumberFormat="1" applyFont="1" applyBorder="1" applyProtection="1"/>
    <xf numFmtId="0" fontId="63" fillId="0" borderId="0" xfId="0" applyFont="1" applyBorder="1" applyAlignment="1" applyProtection="1">
      <alignment horizontal="center"/>
    </xf>
    <xf numFmtId="172" fontId="63" fillId="0" borderId="0" xfId="0" applyNumberFormat="1" applyFont="1" applyBorder="1" applyAlignment="1" applyProtection="1">
      <alignment horizontal="right"/>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2" fontId="66" fillId="0" borderId="0" xfId="0" applyNumberFormat="1"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0" fontId="67" fillId="0" borderId="0" xfId="5" applyNumberFormat="1" applyFont="1" applyFill="1" applyBorder="1" applyAlignment="1" applyProtection="1">
      <alignment horizontal="right"/>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38" fontId="56" fillId="0" borderId="14" xfId="0" applyNumberFormat="1" applyFont="1" applyBorder="1" applyAlignment="1" applyProtection="1">
      <alignment horizontal="right"/>
      <protection locked="0"/>
    </xf>
    <xf numFmtId="38" fontId="56" fillId="0" borderId="2" xfId="0" applyNumberFormat="1" applyFont="1" applyBorder="1" applyAlignment="1" applyProtection="1">
      <alignment horizontal="right"/>
      <protection locked="0"/>
    </xf>
    <xf numFmtId="38" fontId="56" fillId="0" borderId="2" xfId="0" applyNumberFormat="1" applyFont="1" applyFill="1" applyBorder="1" applyAlignment="1" applyProtection="1">
      <alignment horizontal="right"/>
      <protection locked="0"/>
    </xf>
    <xf numFmtId="38" fontId="56" fillId="3" borderId="26" xfId="0" applyNumberFormat="1" applyFont="1" applyFill="1" applyBorder="1" applyAlignment="1" applyProtection="1">
      <alignment horizontal="right"/>
    </xf>
    <xf numFmtId="38" fontId="56" fillId="3" borderId="18" xfId="0" applyNumberFormat="1" applyFont="1" applyFill="1" applyBorder="1" applyAlignment="1" applyProtection="1">
      <alignment horizontal="right"/>
    </xf>
    <xf numFmtId="0" fontId="63" fillId="0" borderId="2" xfId="0" applyFont="1" applyBorder="1" applyAlignment="1" applyProtection="1">
      <alignment horizontal="center" vertical="center"/>
    </xf>
    <xf numFmtId="38" fontId="56" fillId="0" borderId="3" xfId="0" applyNumberFormat="1" applyFont="1" applyBorder="1" applyAlignment="1" applyProtection="1">
      <alignment horizontal="right"/>
      <protection locked="0"/>
    </xf>
    <xf numFmtId="38" fontId="56" fillId="0" borderId="0" xfId="0" applyNumberFormat="1" applyFont="1" applyBorder="1" applyAlignment="1" applyProtection="1">
      <alignment horizontal="right"/>
      <protection locked="0"/>
    </xf>
    <xf numFmtId="0" fontId="63" fillId="0" borderId="14" xfId="0" applyFont="1" applyBorder="1" applyAlignment="1" applyProtection="1">
      <alignment horizontal="left" vertical="center" indent="1"/>
    </xf>
    <xf numFmtId="38" fontId="56" fillId="0" borderId="3" xfId="0" applyNumberFormat="1" applyFont="1" applyFill="1" applyBorder="1" applyAlignment="1" applyProtection="1">
      <alignment horizontal="right"/>
      <protection locked="0"/>
    </xf>
    <xf numFmtId="38" fontId="56" fillId="6" borderId="3" xfId="0" applyNumberFormat="1" applyFont="1" applyFill="1" applyBorder="1" applyAlignment="1" applyProtection="1">
      <alignment horizontal="right"/>
    </xf>
    <xf numFmtId="38" fontId="56" fillId="0" borderId="14" xfId="0" applyNumberFormat="1" applyFont="1" applyFill="1" applyBorder="1" applyAlignment="1" applyProtection="1">
      <alignment horizontal="right"/>
      <protection locked="0"/>
    </xf>
    <xf numFmtId="38" fontId="56" fillId="6" borderId="26" xfId="0" applyNumberFormat="1" applyFont="1" applyFill="1" applyBorder="1" applyAlignment="1" applyProtection="1">
      <alignment horizontal="right"/>
    </xf>
    <xf numFmtId="38" fontId="56" fillId="0" borderId="4" xfId="0" applyNumberFormat="1" applyFont="1" applyFill="1" applyBorder="1" applyAlignment="1" applyProtection="1">
      <alignment horizontal="right"/>
      <protection locked="0"/>
    </xf>
    <xf numFmtId="38" fontId="56" fillId="0" borderId="26" xfId="0" applyNumberFormat="1" applyFont="1" applyFill="1" applyBorder="1" applyAlignment="1" applyProtection="1">
      <alignment horizontal="right"/>
      <protection locked="0"/>
    </xf>
    <xf numFmtId="38" fontId="56" fillId="6" borderId="4" xfId="0" applyNumberFormat="1" applyFont="1" applyFill="1" applyBorder="1" applyAlignment="1" applyProtection="1">
      <alignment horizontal="right"/>
    </xf>
    <xf numFmtId="38" fontId="56" fillId="0" borderId="4" xfId="0" applyNumberFormat="1" applyFont="1" applyBorder="1" applyAlignment="1" applyProtection="1">
      <alignment horizontal="right"/>
      <protection locked="0"/>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38" fontId="56" fillId="6" borderId="18" xfId="0" applyNumberFormat="1" applyFont="1" applyFill="1" applyBorder="1" applyAlignment="1" applyProtection="1">
      <alignment horizontal="right"/>
    </xf>
    <xf numFmtId="0" fontId="58" fillId="0" borderId="0" xfId="0" applyFont="1" applyFill="1" applyAlignment="1" applyProtection="1">
      <alignment vertical="center"/>
    </xf>
    <xf numFmtId="38" fontId="56" fillId="6" borderId="0"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xf>
    <xf numFmtId="38" fontId="56" fillId="0" borderId="12" xfId="0" applyNumberFormat="1" applyFont="1" applyFill="1" applyBorder="1" applyAlignment="1" applyProtection="1">
      <alignment horizontal="right"/>
      <protection locked="0"/>
    </xf>
    <xf numFmtId="38" fontId="56" fillId="0" borderId="13" xfId="0" applyNumberFormat="1" applyFont="1" applyFill="1" applyBorder="1" applyAlignment="1" applyProtection="1">
      <alignment horizontal="right"/>
      <protection locked="0"/>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38" fontId="56" fillId="0" borderId="26" xfId="0" applyNumberFormat="1" applyFont="1" applyBorder="1" applyAlignment="1" applyProtection="1">
      <alignment horizontal="right"/>
      <protection locked="0"/>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38" fontId="56" fillId="0" borderId="4" xfId="0" applyNumberFormat="1" applyFont="1" applyBorder="1" applyAlignment="1" applyProtection="1">
      <alignment horizontal="right"/>
    </xf>
    <xf numFmtId="0" fontId="63" fillId="0" borderId="2" xfId="0" applyFont="1" applyFill="1" applyBorder="1" applyAlignment="1" applyProtection="1">
      <alignment horizontal="left" vertical="center" indent="1"/>
    </xf>
    <xf numFmtId="38" fontId="58" fillId="6" borderId="26" xfId="0" applyNumberFormat="1" applyFont="1" applyFill="1" applyBorder="1" applyAlignment="1">
      <alignment horizontal="right"/>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38" fontId="56" fillId="6" borderId="3" xfId="0" applyNumberFormat="1" applyFont="1" applyFill="1" applyBorder="1" applyAlignment="1">
      <alignment horizontal="right"/>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8" fontId="56" fillId="3" borderId="21" xfId="0" applyNumberFormat="1" applyFont="1" applyFill="1" applyBorder="1" applyAlignment="1" applyProtection="1">
      <alignment horizontal="right"/>
    </xf>
    <xf numFmtId="38" fontId="56" fillId="3" borderId="0" xfId="0" applyNumberFormat="1" applyFont="1" applyFill="1" applyBorder="1" applyAlignment="1" applyProtection="1">
      <alignment horizontal="right"/>
    </xf>
    <xf numFmtId="38" fontId="56" fillId="3" borderId="3" xfId="0" applyNumberFormat="1" applyFont="1" applyFill="1" applyBorder="1" applyAlignment="1" applyProtection="1">
      <alignment horizontal="right"/>
    </xf>
    <xf numFmtId="38" fontId="56" fillId="3" borderId="13" xfId="0" applyNumberFormat="1" applyFont="1" applyFill="1" applyBorder="1" applyAlignment="1" applyProtection="1">
      <alignment horizontal="right"/>
    </xf>
    <xf numFmtId="38" fontId="56" fillId="3" borderId="2" xfId="0" applyNumberFormat="1" applyFont="1" applyFill="1" applyBorder="1" applyAlignment="1" applyProtection="1">
      <alignment horizontal="right"/>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38" fontId="56" fillId="0" borderId="19" xfId="0" applyNumberFormat="1" applyFont="1" applyBorder="1" applyAlignment="1" applyProtection="1">
      <alignment horizontal="right"/>
      <protection locked="0"/>
    </xf>
    <xf numFmtId="38" fontId="56" fillId="0" borderId="11" xfId="0" applyNumberFormat="1" applyFont="1" applyBorder="1" applyAlignment="1" applyProtection="1">
      <alignment horizontal="right"/>
      <protection locked="0"/>
    </xf>
    <xf numFmtId="0" fontId="55" fillId="0" borderId="0" xfId="0" applyFont="1" applyAlignment="1" applyProtection="1">
      <alignment vertical="center"/>
    </xf>
    <xf numFmtId="0" fontId="66" fillId="0" borderId="0" xfId="0" applyFont="1" applyAlignment="1" applyProtection="1">
      <alignment vertical="center"/>
    </xf>
    <xf numFmtId="38" fontId="56" fillId="3" borderId="11" xfId="0" applyNumberFormat="1" applyFont="1" applyFill="1" applyBorder="1" applyAlignment="1" applyProtection="1">
      <alignment horizontal="right"/>
    </xf>
    <xf numFmtId="38" fontId="56" fillId="3" borderId="4" xfId="0" applyNumberFormat="1" applyFont="1" applyFill="1" applyBorder="1" applyAlignment="1" applyProtection="1">
      <alignment horizontal="right"/>
    </xf>
    <xf numFmtId="38" fontId="56" fillId="3" borderId="19" xfId="0" applyNumberFormat="1" applyFont="1" applyFill="1" applyBorder="1" applyAlignment="1" applyProtection="1">
      <alignment horizontal="right"/>
    </xf>
    <xf numFmtId="38" fontId="56" fillId="3" borderId="14" xfId="0" applyNumberFormat="1" applyFont="1" applyFill="1" applyBorder="1" applyAlignment="1" applyProtection="1">
      <alignment horizontal="right"/>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38" fontId="56" fillId="6" borderId="2" xfId="0" applyNumberFormat="1" applyFont="1" applyFill="1" applyBorder="1" applyAlignment="1" applyProtection="1">
      <alignment horizontal="right"/>
    </xf>
    <xf numFmtId="0" fontId="63" fillId="0" borderId="2" xfId="0" applyFont="1" applyFill="1" applyBorder="1" applyAlignment="1" applyProtection="1">
      <alignment horizontal="center" vertical="top"/>
    </xf>
    <xf numFmtId="38" fontId="56" fillId="6" borderId="28" xfId="0" applyNumberFormat="1" applyFont="1" applyFill="1" applyBorder="1" applyAlignment="1" applyProtection="1">
      <alignment horizontal="right"/>
    </xf>
    <xf numFmtId="0" fontId="56" fillId="0" borderId="0" xfId="0" applyFont="1" applyFill="1" applyBorder="1" applyAlignment="1" applyProtection="1">
      <alignment vertical="center"/>
    </xf>
    <xf numFmtId="38" fontId="56" fillId="0" borderId="27" xfId="0" applyNumberFormat="1" applyFont="1" applyFill="1" applyBorder="1" applyAlignment="1" applyProtection="1">
      <alignment horizontal="right"/>
      <protection locked="0"/>
    </xf>
    <xf numFmtId="38" fontId="56" fillId="0" borderId="33" xfId="0" applyNumberFormat="1" applyFont="1" applyFill="1" applyBorder="1" applyAlignment="1" applyProtection="1">
      <alignment horizontal="right"/>
      <protection locked="0"/>
    </xf>
    <xf numFmtId="38" fontId="56" fillId="0" borderId="32" xfId="0" applyNumberFormat="1" applyFont="1" applyFill="1" applyBorder="1" applyAlignment="1" applyProtection="1">
      <alignment horizontal="right"/>
      <protection locked="0"/>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38" fontId="56" fillId="0" borderId="29" xfId="0" applyNumberFormat="1" applyFont="1" applyFill="1" applyBorder="1" applyAlignment="1" applyProtection="1">
      <alignment horizontal="right"/>
      <protection locked="0"/>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38" fontId="56" fillId="0" borderId="0" xfId="0" applyNumberFormat="1" applyFont="1" applyAlignment="1" applyProtection="1">
      <alignment horizontal="right"/>
      <protection locked="0"/>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6" fillId="0" borderId="13" xfId="0" applyNumberFormat="1" applyFont="1" applyBorder="1" applyAlignment="1" applyProtection="1">
      <alignment horizontal="right"/>
      <protection locked="0"/>
    </xf>
    <xf numFmtId="38" fontId="58" fillId="0" borderId="0" xfId="0" applyNumberFormat="1" applyFont="1" applyProtection="1"/>
    <xf numFmtId="38" fontId="56" fillId="3" borderId="17" xfId="0" applyNumberFormat="1" applyFont="1" applyFill="1" applyBorder="1" applyAlignment="1" applyProtection="1">
      <alignment horizontal="right"/>
    </xf>
    <xf numFmtId="37" fontId="56" fillId="3" borderId="17" xfId="0" applyNumberFormat="1" applyFont="1" applyFill="1" applyBorder="1" applyAlignment="1" applyProtection="1">
      <alignment horizontal="right"/>
    </xf>
    <xf numFmtId="37" fontId="56" fillId="3" borderId="26" xfId="0" applyNumberFormat="1" applyFont="1" applyFill="1" applyBorder="1" applyAlignment="1" applyProtection="1">
      <alignment horizontal="right"/>
    </xf>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38" fontId="56" fillId="0" borderId="19" xfId="0" applyNumberFormat="1" applyFont="1" applyFill="1" applyBorder="1" applyAlignment="1" applyProtection="1">
      <alignment horizontal="right"/>
      <protection locked="0"/>
    </xf>
    <xf numFmtId="38" fontId="56" fillId="3" borderId="0" xfId="0" applyNumberFormat="1" applyFont="1" applyFill="1" applyAlignment="1" applyProtection="1">
      <alignment horizontal="right"/>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38" fontId="56" fillId="3" borderId="38" xfId="0" applyNumberFormat="1" applyFont="1" applyFill="1" applyBorder="1" applyAlignment="1" applyProtection="1">
      <alignment horizontal="right"/>
    </xf>
    <xf numFmtId="38" fontId="56" fillId="3" borderId="28" xfId="0" applyNumberFormat="1" applyFont="1" applyFill="1" applyBorder="1" applyAlignment="1" applyProtection="1">
      <alignment horizontal="right"/>
    </xf>
    <xf numFmtId="1" fontId="63" fillId="0" borderId="4" xfId="0" applyNumberFormat="1" applyFont="1" applyBorder="1" applyAlignment="1" applyProtection="1">
      <alignment horizontal="center" vertical="center"/>
    </xf>
    <xf numFmtId="1" fontId="63" fillId="0" borderId="123" xfId="0" applyNumberFormat="1" applyFont="1" applyBorder="1" applyAlignment="1" applyProtection="1">
      <alignment horizontal="center" vertical="center"/>
    </xf>
    <xf numFmtId="38" fontId="56" fillId="0" borderId="123" xfId="0" applyNumberFormat="1" applyFont="1" applyBorder="1" applyAlignment="1" applyProtection="1">
      <alignment horizontal="right"/>
      <protection locked="0"/>
    </xf>
    <xf numFmtId="38" fontId="56" fillId="3" borderId="123" xfId="0" applyNumberFormat="1" applyFont="1" applyFill="1" applyBorder="1" applyAlignment="1" applyProtection="1">
      <alignment horizontal="right"/>
    </xf>
    <xf numFmtId="38" fontId="56" fillId="3" borderId="29" xfId="0" applyNumberFormat="1" applyFont="1" applyFill="1" applyBorder="1" applyAlignment="1" applyProtection="1">
      <alignment horizontal="right"/>
    </xf>
    <xf numFmtId="1" fontId="63" fillId="0" borderId="32" xfId="0" applyNumberFormat="1" applyFont="1" applyBorder="1" applyAlignment="1" applyProtection="1">
      <alignment horizontal="center" vertical="center"/>
    </xf>
    <xf numFmtId="38" fontId="56" fillId="0" borderId="32" xfId="0" applyNumberFormat="1" applyFont="1" applyBorder="1" applyAlignment="1" applyProtection="1">
      <alignment horizontal="right"/>
      <protection locked="0"/>
    </xf>
    <xf numFmtId="1" fontId="63" fillId="0" borderId="33" xfId="0" applyNumberFormat="1" applyFont="1" applyBorder="1" applyAlignment="1" applyProtection="1">
      <alignment horizontal="center" vertical="center"/>
    </xf>
    <xf numFmtId="38" fontId="56" fillId="0" borderId="37" xfId="0" applyNumberFormat="1" applyFont="1" applyBorder="1" applyAlignment="1" applyProtection="1">
      <alignment horizontal="right"/>
      <protection locked="0"/>
    </xf>
    <xf numFmtId="38" fontId="56" fillId="0" borderId="33" xfId="0" applyNumberFormat="1" applyFont="1" applyBorder="1" applyAlignment="1" applyProtection="1">
      <alignment horizontal="right"/>
      <protection locked="0"/>
    </xf>
    <xf numFmtId="38" fontId="56" fillId="0" borderId="36" xfId="0" applyNumberFormat="1" applyFont="1" applyFill="1" applyBorder="1" applyAlignment="1" applyProtection="1">
      <alignment horizontal="right"/>
      <protection locked="0"/>
    </xf>
    <xf numFmtId="38" fontId="56" fillId="0" borderId="27" xfId="0" applyNumberFormat="1" applyFont="1" applyBorder="1" applyAlignment="1" applyProtection="1">
      <alignment horizontal="right"/>
      <protection locked="0"/>
    </xf>
    <xf numFmtId="38" fontId="56" fillId="0" borderId="55" xfId="0" applyNumberFormat="1" applyFont="1" applyBorder="1" applyAlignment="1" applyProtection="1">
      <alignment horizontal="right" vertical="center"/>
      <protection locked="0"/>
    </xf>
    <xf numFmtId="38" fontId="56" fillId="0" borderId="32" xfId="0" applyNumberFormat="1" applyFont="1" applyBorder="1" applyAlignment="1" applyProtection="1">
      <alignment horizontal="right" vertical="center"/>
      <protection locked="0"/>
    </xf>
    <xf numFmtId="38" fontId="56" fillId="0" borderId="27" xfId="0" applyNumberFormat="1" applyFont="1" applyFill="1" applyBorder="1" applyAlignment="1" applyProtection="1">
      <alignment horizontal="right" vertical="center"/>
      <protection locked="0"/>
    </xf>
    <xf numFmtId="38" fontId="56" fillId="0" borderId="32" xfId="0" applyNumberFormat="1" applyFont="1" applyFill="1" applyBorder="1" applyAlignment="1" applyProtection="1">
      <alignment horizontal="right" vertical="center"/>
      <protection locked="0"/>
    </xf>
    <xf numFmtId="0" fontId="63" fillId="0" borderId="2" xfId="0" applyFont="1" applyBorder="1" applyAlignment="1" applyProtection="1">
      <alignment horizontal="center" vertical="top" wrapText="1"/>
    </xf>
    <xf numFmtId="38" fontId="56" fillId="3" borderId="39"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vertical="center"/>
      <protection locked="0"/>
    </xf>
    <xf numFmtId="38" fontId="56" fillId="6" borderId="2" xfId="0" applyNumberFormat="1" applyFont="1" applyFill="1" applyBorder="1" applyAlignment="1" applyProtection="1">
      <alignment horizontal="right" vertical="center"/>
    </xf>
    <xf numFmtId="0" fontId="63" fillId="0" borderId="26" xfId="0" applyFont="1" applyBorder="1" applyAlignment="1" applyProtection="1">
      <alignment horizontal="center" vertical="center"/>
    </xf>
    <xf numFmtId="0" fontId="63" fillId="0" borderId="126" xfId="0" applyFont="1" applyFill="1" applyBorder="1" applyAlignment="1" applyProtection="1">
      <alignment horizontal="center" vertical="center"/>
    </xf>
    <xf numFmtId="38" fontId="56" fillId="0" borderId="120" xfId="0" applyNumberFormat="1" applyFont="1" applyFill="1" applyBorder="1" applyAlignment="1" applyProtection="1">
      <alignment horizontal="right"/>
      <protection locked="0"/>
    </xf>
    <xf numFmtId="0" fontId="63" fillId="0" borderId="96" xfId="0" applyFont="1" applyFill="1" applyBorder="1" applyAlignment="1" applyProtection="1">
      <alignment horizontal="center" vertical="center"/>
    </xf>
    <xf numFmtId="38" fontId="56" fillId="0" borderId="119" xfId="0" applyNumberFormat="1" applyFont="1" applyFill="1" applyBorder="1" applyAlignment="1" applyProtection="1">
      <alignment horizontal="right"/>
      <protection locked="0"/>
    </xf>
    <xf numFmtId="38" fontId="56" fillId="0" borderId="107" xfId="0" applyNumberFormat="1" applyFont="1" applyFill="1" applyBorder="1" applyAlignment="1" applyProtection="1">
      <alignment horizontal="right"/>
      <protection locked="0"/>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38" fontId="56" fillId="3" borderId="31" xfId="0" applyNumberFormat="1" applyFont="1" applyFill="1" applyBorder="1" applyAlignment="1" applyProtection="1">
      <alignment horizontal="right" vertical="center"/>
    </xf>
    <xf numFmtId="38" fontId="56" fillId="3" borderId="28" xfId="0" applyNumberFormat="1" applyFont="1" applyFill="1" applyBorder="1" applyAlignment="1" applyProtection="1">
      <alignment horizontal="right" vertical="center"/>
    </xf>
    <xf numFmtId="38" fontId="56" fillId="3" borderId="0" xfId="0" applyNumberFormat="1" applyFont="1" applyFill="1" applyAlignment="1" applyProtection="1">
      <alignment horizontal="right" vertical="center"/>
    </xf>
    <xf numFmtId="38" fontId="56" fillId="3" borderId="26" xfId="0" applyNumberFormat="1" applyFont="1" applyFill="1" applyBorder="1" applyAlignment="1" applyProtection="1">
      <alignment horizontal="right" vertical="center"/>
    </xf>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3" fontId="56" fillId="3" borderId="123" xfId="0" applyNumberFormat="1" applyFont="1" applyFill="1" applyBorder="1" applyAlignment="1">
      <alignment horizontal="center"/>
    </xf>
    <xf numFmtId="3" fontId="56" fillId="3" borderId="26" xfId="0" applyNumberFormat="1" applyFont="1" applyFill="1" applyBorder="1" applyAlignment="1">
      <alignment horizontal="center"/>
    </xf>
    <xf numFmtId="3" fontId="56" fillId="3" borderId="123" xfId="0" applyNumberFormat="1" applyFont="1" applyFill="1" applyBorder="1" applyAlignment="1">
      <alignment horizontal="right"/>
    </xf>
    <xf numFmtId="0" fontId="63" fillId="0" borderId="0" xfId="0" applyFont="1" applyBorder="1" applyAlignment="1"/>
    <xf numFmtId="49" fontId="63" fillId="0" borderId="2" xfId="0" applyNumberFormat="1" applyFont="1" applyBorder="1" applyAlignment="1">
      <alignment horizontal="center" vertical="center"/>
    </xf>
    <xf numFmtId="38" fontId="56" fillId="2" borderId="2" xfId="0" applyNumberFormat="1" applyFont="1" applyFill="1" applyBorder="1" applyAlignment="1">
      <alignment horizontal="right"/>
    </xf>
    <xf numFmtId="38" fontId="56" fillId="3" borderId="26" xfId="0" applyNumberFormat="1" applyFont="1" applyFill="1" applyBorder="1" applyAlignment="1">
      <alignment horizontal="right"/>
    </xf>
    <xf numFmtId="49" fontId="65" fillId="2" borderId="27" xfId="0" applyNumberFormat="1" applyFont="1" applyFill="1" applyBorder="1" applyAlignment="1">
      <alignment horizontal="center" vertical="center"/>
    </xf>
    <xf numFmtId="38" fontId="56" fillId="3" borderId="28" xfId="0" applyNumberFormat="1" applyFont="1" applyFill="1" applyBorder="1" applyAlignment="1">
      <alignment horizontal="right"/>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38" fontId="56" fillId="3" borderId="4" xfId="0" applyNumberFormat="1" applyFont="1" applyFill="1" applyBorder="1" applyAlignment="1">
      <alignment horizontal="right"/>
    </xf>
    <xf numFmtId="164" fontId="65" fillId="3" borderId="121"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38" fontId="56" fillId="3" borderId="29" xfId="0" applyNumberFormat="1" applyFont="1" applyFill="1" applyBorder="1" applyAlignment="1">
      <alignment horizontal="right"/>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38" fontId="56" fillId="3" borderId="31" xfId="0" applyNumberFormat="1" applyFont="1" applyFill="1" applyBorder="1" applyAlignment="1">
      <alignment horizontal="right"/>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38" fontId="56" fillId="5" borderId="4" xfId="0" applyNumberFormat="1" applyFont="1" applyFill="1" applyBorder="1" applyAlignment="1" applyProtection="1">
      <alignment horizontal="right"/>
      <protection locked="0"/>
    </xf>
    <xf numFmtId="0" fontId="63" fillId="0" borderId="29" xfId="0" applyFont="1" applyFill="1" applyBorder="1" applyAlignment="1">
      <alignment horizontal="center" vertical="center"/>
    </xf>
    <xf numFmtId="38" fontId="56" fillId="6" borderId="28" xfId="0" applyNumberFormat="1" applyFont="1" applyFill="1" applyBorder="1" applyAlignment="1">
      <alignment horizontal="right"/>
    </xf>
    <xf numFmtId="0" fontId="63" fillId="0" borderId="4" xfId="0" applyFont="1" applyFill="1" applyBorder="1" applyAlignment="1">
      <alignment horizontal="center" vertical="center"/>
    </xf>
    <xf numFmtId="38" fontId="56" fillId="6" borderId="26" xfId="0" applyNumberFormat="1" applyFont="1" applyFill="1" applyBorder="1" applyAlignment="1">
      <alignment horizontal="right"/>
    </xf>
    <xf numFmtId="0" fontId="63" fillId="0" borderId="2" xfId="0" applyFont="1" applyFill="1" applyBorder="1" applyAlignment="1">
      <alignment horizontal="center" vertical="center"/>
    </xf>
    <xf numFmtId="0" fontId="63" fillId="0" borderId="123" xfId="0" applyFont="1" applyFill="1" applyBorder="1" applyAlignment="1">
      <alignment horizontal="center" vertical="center"/>
    </xf>
    <xf numFmtId="38" fontId="56" fillId="0" borderId="123" xfId="0" applyNumberFormat="1" applyFont="1" applyFill="1" applyBorder="1" applyAlignment="1" applyProtection="1">
      <alignment horizontal="right"/>
      <protection locked="0"/>
    </xf>
    <xf numFmtId="38" fontId="56" fillId="6" borderId="4" xfId="0" applyNumberFormat="1" applyFont="1" applyFill="1" applyBorder="1" applyAlignment="1">
      <alignment horizontal="right"/>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38" fontId="56" fillId="0" borderId="21" xfId="0" applyNumberFormat="1" applyFont="1" applyFill="1" applyBorder="1" applyAlignment="1">
      <alignment horizontal="right"/>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38" fontId="56" fillId="3" borderId="2" xfId="0" applyNumberFormat="1" applyFont="1" applyFill="1" applyBorder="1" applyAlignment="1">
      <alignment horizontal="right"/>
    </xf>
    <xf numFmtId="49" fontId="63" fillId="0" borderId="29" xfId="0" applyNumberFormat="1" applyFont="1" applyFill="1" applyBorder="1" applyAlignment="1">
      <alignment horizontal="center" vertical="center"/>
    </xf>
    <xf numFmtId="38" fontId="56" fillId="0" borderId="29" xfId="0" applyNumberFormat="1" applyFont="1" applyBorder="1" applyAlignment="1" applyProtection="1">
      <alignment horizontal="right"/>
      <protection locked="0"/>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8" fontId="56" fillId="6" borderId="29" xfId="0" applyNumberFormat="1" applyFont="1" applyFill="1" applyBorder="1" applyAlignment="1">
      <alignment horizontal="right"/>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1"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2" xfId="0" applyNumberFormat="1" applyFont="1" applyFill="1" applyBorder="1" applyAlignment="1">
      <alignment horizontal="center" vertical="center"/>
    </xf>
    <xf numFmtId="49" fontId="63" fillId="0" borderId="123"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38" fontId="56" fillId="3" borderId="123" xfId="0" applyNumberFormat="1" applyFont="1" applyFill="1" applyBorder="1" applyAlignment="1">
      <alignment horizontal="right"/>
    </xf>
    <xf numFmtId="38" fontId="56" fillId="3" borderId="3" xfId="0" applyNumberFormat="1" applyFont="1" applyFill="1" applyBorder="1" applyAlignment="1">
      <alignment horizontal="right"/>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1"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38" fontId="56" fillId="0" borderId="20" xfId="0" applyNumberFormat="1" applyFont="1" applyFill="1" applyBorder="1" applyAlignment="1">
      <alignment horizontal="right"/>
    </xf>
    <xf numFmtId="38" fontId="56" fillId="0" borderId="0" xfId="0" applyNumberFormat="1" applyFont="1" applyFill="1" applyBorder="1" applyAlignment="1">
      <alignment horizontal="right"/>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0" fontId="58" fillId="6" borderId="0" xfId="0" applyFont="1" applyFill="1" applyAlignment="1">
      <alignment vertical="center"/>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38" fontId="56" fillId="6" borderId="0" xfId="8" applyNumberFormat="1" applyFont="1" applyFill="1" applyBorder="1" applyAlignment="1" applyProtection="1">
      <alignment horizontal="right"/>
    </xf>
    <xf numFmtId="38" fontId="56" fillId="6" borderId="26" xfId="8" applyNumberFormat="1" applyFont="1" applyFill="1" applyBorder="1" applyAlignment="1" applyProtection="1">
      <alignment horizontal="right"/>
    </xf>
    <xf numFmtId="38" fontId="56" fillId="0" borderId="2" xfId="8" applyNumberFormat="1" applyFont="1" applyFill="1" applyBorder="1" applyAlignment="1" applyProtection="1">
      <alignment horizontal="right"/>
      <protection locked="0"/>
    </xf>
    <xf numFmtId="38" fontId="56" fillId="0" borderId="2" xfId="6" applyNumberFormat="1" applyFont="1" applyBorder="1" applyProtection="1">
      <protection locked="0"/>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38" fontId="65" fillId="6" borderId="3" xfId="0" applyNumberFormat="1" applyFont="1" applyFill="1" applyBorder="1" applyAlignment="1">
      <alignment horizontal="center" vertical="center" wrapText="1"/>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5" fillId="0" borderId="2" xfId="0" applyNumberFormat="1" applyFont="1" applyFill="1" applyBorder="1" applyAlignment="1" applyProtection="1">
      <alignment horizontal="center" vertical="center" wrapText="1"/>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0" borderId="2" xfId="0" applyNumberFormat="1" applyFont="1" applyBorder="1" applyAlignment="1" applyProtection="1">
      <alignment horizontal="right" vertical="center"/>
      <protection locked="0"/>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 fontId="56" fillId="0" borderId="2" xfId="9" applyNumberFormat="1" applyFont="1" applyFill="1" applyBorder="1" applyAlignment="1" applyProtection="1">
      <alignment horizontal="right" vertical="center"/>
      <protection locked="0"/>
    </xf>
    <xf numFmtId="0" fontId="58" fillId="0" borderId="0" xfId="9" applyFont="1" applyFill="1" applyAlignment="1"/>
    <xf numFmtId="0" fontId="63" fillId="0" borderId="0" xfId="9" applyFont="1" applyFill="1" applyAlignment="1"/>
    <xf numFmtId="38" fontId="56" fillId="0" borderId="2" xfId="9" applyNumberFormat="1" applyFont="1" applyFill="1" applyBorder="1" applyAlignment="1" applyProtection="1">
      <alignment horizontal="right" vertical="center"/>
      <protection locked="0"/>
    </xf>
    <xf numFmtId="0" fontId="82" fillId="0" borderId="0" xfId="9" applyFont="1" applyFill="1" applyAlignment="1">
      <alignment vertical="top"/>
    </xf>
    <xf numFmtId="0" fontId="56" fillId="0" borderId="2" xfId="0" applyFont="1" applyFill="1" applyBorder="1" applyAlignment="1" applyProtection="1">
      <alignment horizontal="right"/>
      <protection locked="0"/>
    </xf>
    <xf numFmtId="0" fontId="56" fillId="0" borderId="2" xfId="9" applyFont="1" applyFill="1" applyBorder="1" applyAlignment="1" applyProtection="1">
      <alignment horizontal="right" vertical="top"/>
      <protection locked="0"/>
    </xf>
    <xf numFmtId="38" fontId="56" fillId="0" borderId="2" xfId="9" applyNumberFormat="1" applyFont="1" applyFill="1" applyBorder="1" applyAlignment="1" applyProtection="1">
      <alignment horizontal="right" vertical="top"/>
      <protection locked="0"/>
    </xf>
    <xf numFmtId="38" fontId="56" fillId="0" borderId="2" xfId="9" quotePrefix="1" applyNumberFormat="1" applyFont="1" applyFill="1" applyBorder="1" applyAlignment="1" applyProtection="1">
      <alignment horizontal="right"/>
      <protection locked="0"/>
    </xf>
    <xf numFmtId="0" fontId="63" fillId="0" borderId="0" xfId="9" applyFont="1" applyFill="1" applyBorder="1" applyAlignment="1"/>
    <xf numFmtId="38" fontId="56" fillId="6" borderId="2" xfId="9" applyNumberFormat="1" applyFont="1" applyFill="1" applyBorder="1" applyAlignment="1" applyProtection="1">
      <alignment horizontal="right"/>
    </xf>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vertical="center"/>
    </xf>
    <xf numFmtId="38" fontId="56" fillId="6" borderId="22" xfId="0" applyNumberFormat="1"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0" borderId="22" xfId="0" applyNumberFormat="1" applyFont="1" applyFill="1" applyBorder="1" applyAlignment="1" applyProtection="1">
      <alignment vertical="center"/>
      <protection locked="0"/>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vertical="center"/>
    </xf>
    <xf numFmtId="49" fontId="63" fillId="0" borderId="6" xfId="0" applyNumberFormat="1" applyFont="1" applyBorder="1" applyAlignment="1" applyProtection="1">
      <alignment horizontal="center" vertical="center"/>
    </xf>
    <xf numFmtId="38" fontId="56" fillId="0" borderId="7" xfId="0" applyNumberFormat="1" applyFont="1" applyBorder="1" applyAlignment="1" applyProtection="1">
      <alignment vertical="center"/>
      <protection locked="0"/>
    </xf>
    <xf numFmtId="49" fontId="63" fillId="6" borderId="59" xfId="0" applyNumberFormat="1" applyFont="1" applyFill="1" applyBorder="1" applyAlignment="1" applyProtection="1">
      <alignment horizontal="center" vertical="center"/>
    </xf>
    <xf numFmtId="0" fontId="56" fillId="6" borderId="42" xfId="0" applyFont="1" applyFill="1" applyBorder="1" applyAlignment="1" applyProtection="1">
      <alignment horizontal="right" vertical="center"/>
    </xf>
    <xf numFmtId="0" fontId="56" fillId="6" borderId="43" xfId="0" applyFont="1" applyFill="1" applyBorder="1" applyAlignment="1" applyProtection="1">
      <alignment horizontal="right" vertical="center"/>
    </xf>
    <xf numFmtId="0" fontId="56" fillId="6" borderId="40" xfId="0" applyFont="1" applyFill="1" applyBorder="1" applyAlignment="1" applyProtection="1">
      <alignment horizontal="right"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45" xfId="0" applyNumberFormat="1" applyFont="1" applyFill="1" applyBorder="1" applyAlignment="1" applyProtection="1">
      <alignment vertical="center"/>
    </xf>
    <xf numFmtId="38" fontId="56" fillId="3" borderId="44" xfId="0" applyNumberFormat="1" applyFont="1" applyFill="1" applyBorder="1" applyAlignment="1" applyProtection="1">
      <alignment vertical="center"/>
    </xf>
    <xf numFmtId="38" fontId="56" fillId="3" borderId="8" xfId="0" applyNumberFormat="1" applyFont="1" applyFill="1" applyBorder="1" applyAlignment="1" applyProtection="1">
      <alignment horizontal="right" vertical="center"/>
    </xf>
    <xf numFmtId="38" fontId="56" fillId="3" borderId="44"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38" fontId="56" fillId="3" borderId="8" xfId="0" applyNumberFormat="1" applyFont="1" applyFill="1" applyBorder="1" applyAlignment="1" applyProtection="1">
      <alignment vertical="center"/>
    </xf>
    <xf numFmtId="38" fontId="56" fillId="0" borderId="8" xfId="0" applyNumberFormat="1" applyFont="1" applyFill="1" applyBorder="1" applyAlignment="1" applyProtection="1">
      <alignment horizontal="right" vertical="center"/>
      <protection locked="0"/>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38" fontId="56" fillId="0" borderId="8" xfId="0" applyNumberFormat="1" applyFont="1" applyFill="1" applyBorder="1" applyAlignment="1" applyProtection="1">
      <alignment vertical="center"/>
      <protection locked="0"/>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38" fontId="56" fillId="0" borderId="8" xfId="0" applyNumberFormat="1" applyFont="1" applyBorder="1" applyAlignment="1" applyProtection="1">
      <alignment horizontal="right" vertical="center"/>
      <protection locked="0"/>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38" fontId="56" fillId="0" borderId="22" xfId="0" applyNumberFormat="1" applyFont="1" applyBorder="1" applyAlignment="1" applyProtection="1">
      <alignment horizontal="right" vertical="center"/>
      <protection locked="0"/>
    </xf>
    <xf numFmtId="0" fontId="63" fillId="0" borderId="46" xfId="0" applyFont="1" applyBorder="1" applyAlignment="1" applyProtection="1">
      <alignment horizontal="left" vertical="center" wrapText="1" indent="1"/>
    </xf>
    <xf numFmtId="38" fontId="56" fillId="0" borderId="22" xfId="0" applyNumberFormat="1" applyFont="1" applyBorder="1" applyAlignment="1" applyProtection="1">
      <alignment horizontal="right"/>
      <protection locked="0"/>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38" fontId="63" fillId="0" borderId="0" xfId="10" applyNumberFormat="1" applyFont="1" applyFill="1" applyAlignment="1">
      <alignment horizontal="right"/>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40" fontId="63" fillId="0" borderId="9" xfId="10" applyNumberFormat="1" applyFont="1" applyFill="1" applyBorder="1" applyAlignment="1" applyProtection="1">
      <alignment horizontal="right"/>
      <protection locked="0"/>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4" fontId="65" fillId="0" borderId="0" xfId="10" applyNumberFormat="1" applyFont="1" applyFill="1" applyBorder="1" applyAlignment="1" applyProtection="1">
      <alignmen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38" fontId="63" fillId="0" borderId="0" xfId="11" applyNumberFormat="1" applyFont="1" applyFill="1" applyAlignment="1">
      <alignment horizontal="right"/>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38" fontId="56" fillId="0" borderId="13" xfId="0" applyNumberFormat="1" applyFont="1" applyBorder="1" applyAlignment="1" applyProtection="1">
      <alignment vertical="center"/>
      <protection locked="0"/>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19" borderId="13" xfId="0" applyNumberFormat="1" applyFont="1" applyFill="1" applyBorder="1" applyAlignment="1" applyProtection="1">
      <protection locked="0"/>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63" fillId="0" borderId="0" xfId="3" applyNumberFormat="1" applyFont="1" applyBorder="1" applyAlignment="1">
      <alignment vertical="center"/>
    </xf>
    <xf numFmtId="0" fontId="58" fillId="0" borderId="0" xfId="3" applyNumberFormat="1" applyFont="1" applyBorder="1" applyAlignment="1">
      <alignment vertical="center"/>
    </xf>
    <xf numFmtId="0" fontId="58" fillId="0" borderId="0" xfId="3" applyNumberFormat="1" applyFont="1" applyAlignment="1">
      <alignment vertical="center"/>
    </xf>
    <xf numFmtId="0" fontId="63" fillId="0" borderId="0" xfId="3" applyNumberFormat="1" applyFont="1" applyAlignment="1">
      <alignment vertical="center"/>
    </xf>
    <xf numFmtId="0" fontId="65" fillId="0" borderId="0" xfId="3" applyNumberFormat="1" applyFont="1" applyAlignment="1">
      <alignment horizontal="center" vertical="center"/>
    </xf>
    <xf numFmtId="0" fontId="65" fillId="0" borderId="0" xfId="3" applyNumberFormat="1" applyFont="1" applyBorder="1" applyAlignment="1">
      <alignment horizontal="left" vertical="center"/>
    </xf>
    <xf numFmtId="0" fontId="63" fillId="0" borderId="0" xfId="3" applyNumberFormat="1" applyFont="1" applyAlignment="1">
      <alignment horizontal="center" vertical="center"/>
    </xf>
    <xf numFmtId="0" fontId="63" fillId="0" borderId="17" xfId="3" applyNumberFormat="1" applyFont="1" applyBorder="1" applyAlignment="1">
      <alignment horizontal="center" vertical="center"/>
    </xf>
    <xf numFmtId="0" fontId="63" fillId="0" borderId="0" xfId="3" applyNumberFormat="1" applyFont="1" applyBorder="1" applyAlignment="1">
      <alignment horizontal="right" vertical="center" indent="1"/>
    </xf>
    <xf numFmtId="0" fontId="58" fillId="0" borderId="17" xfId="3" applyNumberFormat="1" applyFont="1" applyBorder="1" applyAlignment="1">
      <alignment vertical="center"/>
    </xf>
    <xf numFmtId="0" fontId="58" fillId="0" borderId="19" xfId="3" applyNumberFormat="1" applyFont="1" applyBorder="1" applyAlignment="1">
      <alignment vertical="center"/>
    </xf>
    <xf numFmtId="0" fontId="58" fillId="0" borderId="20" xfId="3" applyNumberFormat="1" applyFont="1" applyBorder="1" applyAlignment="1">
      <alignment vertical="center"/>
    </xf>
    <xf numFmtId="0" fontId="58" fillId="0" borderId="12"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6" xfId="3" applyNumberFormat="1" applyFont="1" applyFill="1" applyBorder="1" applyAlignment="1">
      <alignment horizontal="centerContinuous" vertical="center"/>
    </xf>
    <xf numFmtId="0" fontId="58" fillId="0" borderId="10" xfId="3" applyNumberFormat="1" applyFont="1" applyFill="1" applyBorder="1" applyAlignment="1">
      <alignment horizontal="centerContinuous" vertical="center"/>
    </xf>
    <xf numFmtId="0" fontId="56" fillId="0" borderId="17" xfId="3" applyNumberFormat="1" applyFont="1" applyFill="1" applyBorder="1" applyAlignment="1">
      <alignment vertical="center"/>
    </xf>
    <xf numFmtId="0" fontId="56" fillId="0" borderId="0" xfId="3" applyNumberFormat="1" applyFont="1" applyFill="1" applyBorder="1" applyAlignment="1">
      <alignment vertical="center"/>
    </xf>
    <xf numFmtId="0" fontId="56" fillId="0" borderId="0" xfId="3" applyNumberFormat="1" applyFont="1" applyFill="1" applyBorder="1" applyAlignment="1">
      <alignment horizontal="center" vertical="center"/>
    </xf>
    <xf numFmtId="0" fontId="56"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56" fillId="0" borderId="0" xfId="3" applyNumberFormat="1" applyFont="1" applyAlignment="1">
      <alignment vertical="center"/>
    </xf>
    <xf numFmtId="0" fontId="65" fillId="0" borderId="4" xfId="3" applyNumberFormat="1" applyFont="1" applyBorder="1" applyAlignment="1">
      <alignment horizontal="center" vertical="center" wrapText="1"/>
    </xf>
    <xf numFmtId="0" fontId="65" fillId="0" borderId="4" xfId="3" applyNumberFormat="1" applyFont="1" applyBorder="1" applyAlignment="1">
      <alignment horizontal="center" vertical="center"/>
    </xf>
    <xf numFmtId="164" fontId="65" fillId="0" borderId="13" xfId="3" applyNumberFormat="1" applyFont="1" applyBorder="1" applyAlignment="1">
      <alignment horizontal="right" vertical="center"/>
    </xf>
    <xf numFmtId="0" fontId="63" fillId="0" borderId="21" xfId="3" applyNumberFormat="1" applyFont="1" applyBorder="1" applyAlignment="1">
      <alignment horizontal="left" vertical="center"/>
    </xf>
    <xf numFmtId="0" fontId="58" fillId="0" borderId="14" xfId="3" applyNumberFormat="1" applyFont="1" applyBorder="1" applyAlignment="1">
      <alignment horizontal="left" vertical="center"/>
    </xf>
    <xf numFmtId="0" fontId="63" fillId="0" borderId="2" xfId="3" applyNumberFormat="1" applyFont="1" applyBorder="1" applyAlignment="1">
      <alignment horizontal="left" vertical="center" indent="1"/>
    </xf>
    <xf numFmtId="0" fontId="56" fillId="15" borderId="2" xfId="3" applyNumberFormat="1" applyFont="1" applyFill="1" applyBorder="1" applyAlignment="1">
      <alignment vertical="center"/>
    </xf>
    <xf numFmtId="38" fontId="56" fillId="0" borderId="2" xfId="3" applyNumberFormat="1" applyFont="1" applyBorder="1" applyAlignment="1" applyProtection="1">
      <alignment vertical="center"/>
      <protection locked="0"/>
    </xf>
    <xf numFmtId="0" fontId="63" fillId="0" borderId="2" xfId="3" applyNumberFormat="1" applyFont="1" applyBorder="1" applyAlignment="1">
      <alignment horizontal="left" vertical="top" indent="1"/>
    </xf>
    <xf numFmtId="164" fontId="65" fillId="0" borderId="13" xfId="3" applyNumberFormat="1" applyFont="1" applyBorder="1" applyAlignment="1">
      <alignment vertical="top"/>
    </xf>
    <xf numFmtId="38" fontId="56" fillId="0" borderId="2" xfId="3" applyNumberFormat="1" applyFont="1" applyFill="1" applyBorder="1" applyAlignment="1" applyProtection="1">
      <alignment vertical="center"/>
      <protection locked="0"/>
    </xf>
    <xf numFmtId="0" fontId="65" fillId="0" borderId="21" xfId="3" applyNumberFormat="1" applyFont="1" applyBorder="1" applyAlignment="1">
      <alignment horizontal="left" vertical="center"/>
    </xf>
    <xf numFmtId="0" fontId="63" fillId="0" borderId="14" xfId="3" applyNumberFormat="1" applyFont="1" applyBorder="1" applyAlignment="1">
      <alignment horizontal="center" vertical="center"/>
    </xf>
    <xf numFmtId="0" fontId="56" fillId="15" borderId="4" xfId="3" applyNumberFormat="1" applyFont="1" applyFill="1" applyBorder="1" applyAlignment="1">
      <alignment vertical="center"/>
    </xf>
    <xf numFmtId="0" fontId="58" fillId="0" borderId="0" xfId="3" applyNumberFormat="1" applyFont="1" applyAlignment="1">
      <alignment horizontal="right" vertical="center"/>
    </xf>
    <xf numFmtId="0" fontId="66" fillId="0" borderId="0" xfId="3" applyNumberFormat="1" applyFont="1" applyAlignment="1">
      <alignment vertical="center"/>
    </xf>
    <xf numFmtId="0" fontId="74" fillId="0" borderId="0" xfId="3" applyNumberFormat="1" applyFont="1" applyAlignment="1">
      <alignment vertical="center"/>
    </xf>
    <xf numFmtId="171" fontId="58" fillId="0" borderId="0" xfId="3" applyNumberFormat="1" applyFont="1" applyBorder="1" applyAlignment="1" applyProtection="1">
      <alignment horizontal="center"/>
    </xf>
    <xf numFmtId="0" fontId="74" fillId="0" borderId="129" xfId="3" applyNumberFormat="1" applyFont="1" applyBorder="1" applyAlignment="1">
      <alignment horizontal="center" vertical="center"/>
    </xf>
    <xf numFmtId="0" fontId="58" fillId="0" borderId="129" xfId="3" applyNumberFormat="1" applyFont="1" applyBorder="1" applyAlignment="1">
      <alignment vertical="center"/>
    </xf>
    <xf numFmtId="0" fontId="74" fillId="0" borderId="0" xfId="3" applyNumberFormat="1" applyFont="1" applyBorder="1" applyAlignment="1">
      <alignment vertical="center" wrapText="1"/>
    </xf>
    <xf numFmtId="0" fontId="58" fillId="0" borderId="0" xfId="3" applyNumberFormat="1" applyFont="1" applyBorder="1" applyAlignment="1">
      <alignment wrapText="1"/>
    </xf>
    <xf numFmtId="0" fontId="74" fillId="0" borderId="129" xfId="3" applyNumberFormat="1" applyFont="1" applyBorder="1" applyAlignment="1">
      <alignment horizontal="center"/>
    </xf>
    <xf numFmtId="0" fontId="74" fillId="0" borderId="0" xfId="3" applyNumberFormat="1" applyFont="1" applyBorder="1" applyAlignment="1"/>
    <xf numFmtId="0" fontId="65" fillId="0" borderId="0" xfId="3" applyNumberFormat="1" applyFont="1" applyAlignment="1">
      <alignment horizontal="right"/>
    </xf>
    <xf numFmtId="0" fontId="56" fillId="0" borderId="0" xfId="3" applyNumberFormat="1" applyFont="1" applyBorder="1" applyAlignment="1">
      <alignment horizontal="center" wrapText="1"/>
    </xf>
    <xf numFmtId="0" fontId="74" fillId="0" borderId="0" xfId="3" applyFont="1" applyBorder="1" applyAlignment="1">
      <alignment horizontal="center" vertical="center" wrapText="1"/>
    </xf>
    <xf numFmtId="0" fontId="80" fillId="0" borderId="0" xfId="3" applyNumberFormat="1" applyFont="1" applyAlignment="1">
      <alignment vertical="center"/>
    </xf>
    <xf numFmtId="0" fontId="66" fillId="0" borderId="22" xfId="3" applyNumberFormat="1" applyFont="1" applyBorder="1" applyAlignment="1" applyProtection="1">
      <alignment horizontal="center" vertical="center"/>
      <protection locked="0"/>
    </xf>
    <xf numFmtId="0" fontId="63" fillId="0" borderId="0" xfId="3" applyNumberFormat="1" applyFont="1" applyAlignment="1">
      <alignment horizontal="left" vertical="center" indent="2"/>
    </xf>
    <xf numFmtId="0" fontId="58" fillId="0" borderId="0" xfId="3" applyFont="1" applyAlignment="1">
      <alignment horizontal="left" wrapText="1" indent="2"/>
    </xf>
    <xf numFmtId="0" fontId="56" fillId="0" borderId="0" xfId="3" applyNumberFormat="1" applyFont="1" applyBorder="1" applyAlignment="1">
      <alignment vertical="center"/>
    </xf>
    <xf numFmtId="0" fontId="84" fillId="0" borderId="0" xfId="3" applyNumberFormat="1" applyFont="1" applyBorder="1" applyAlignment="1">
      <alignment horizontal="centerContinuous" vertical="center"/>
    </xf>
    <xf numFmtId="0" fontId="57" fillId="0" borderId="0" xfId="2" applyNumberFormat="1" applyFont="1" applyBorder="1" applyAlignment="1" applyProtection="1">
      <alignment horizontal="centerContinuous" vertical="center"/>
    </xf>
    <xf numFmtId="0" fontId="58" fillId="0" borderId="0" xfId="3" applyFont="1" applyAlignment="1">
      <alignment vertical="top" wrapText="1"/>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48" xfId="0" applyFont="1" applyBorder="1"/>
    <xf numFmtId="0" fontId="56" fillId="0" borderId="13" xfId="0" applyFont="1" applyBorder="1"/>
    <xf numFmtId="0" fontId="56" fillId="0" borderId="121" xfId="0" applyFont="1" applyBorder="1" applyAlignment="1">
      <alignment horizontal="left" vertical="top"/>
    </xf>
    <xf numFmtId="164" fontId="114" fillId="0" borderId="124" xfId="0" applyNumberFormat="1" applyFont="1" applyBorder="1" applyAlignment="1">
      <alignment horizontal="right" vertical="top"/>
    </xf>
    <xf numFmtId="0" fontId="56" fillId="0" borderId="124" xfId="0" applyNumberFormat="1" applyFont="1" applyBorder="1" applyAlignment="1">
      <alignment horizontal="left" vertical="center" wrapText="1" indent="1"/>
    </xf>
    <xf numFmtId="0" fontId="86" fillId="0" borderId="123" xfId="0" applyFont="1" applyBorder="1" applyAlignment="1">
      <alignment horizontal="left" vertical="center" wrapText="1"/>
    </xf>
    <xf numFmtId="0" fontId="56" fillId="0" borderId="124" xfId="0" applyFont="1" applyBorder="1" applyAlignment="1">
      <alignment horizontal="left" vertical="top"/>
    </xf>
    <xf numFmtId="0" fontId="56" fillId="0" borderId="0" xfId="0" applyFont="1" applyBorder="1" applyAlignment="1">
      <alignment vertical="top"/>
    </xf>
    <xf numFmtId="0" fontId="116" fillId="0" borderId="124" xfId="0" applyNumberFormat="1" applyFont="1" applyBorder="1" applyAlignment="1">
      <alignment horizontal="left" vertical="center"/>
    </xf>
    <xf numFmtId="0" fontId="114" fillId="0" borderId="124" xfId="0" applyFont="1" applyBorder="1" applyAlignment="1">
      <alignment vertical="top"/>
    </xf>
    <xf numFmtId="0" fontId="114" fillId="0" borderId="124" xfId="0" applyFont="1" applyBorder="1" applyAlignment="1">
      <alignment horizontal="left" vertical="top"/>
    </xf>
    <xf numFmtId="0" fontId="56" fillId="0" borderId="121" xfId="0" applyFont="1" applyBorder="1" applyAlignment="1"/>
    <xf numFmtId="164" fontId="114" fillId="0" borderId="124" xfId="0" applyNumberFormat="1" applyFont="1" applyBorder="1" applyAlignment="1"/>
    <xf numFmtId="0" fontId="56" fillId="0" borderId="124" xfId="0" applyFont="1" applyBorder="1" applyAlignment="1"/>
    <xf numFmtId="0" fontId="63" fillId="0" borderId="122"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0"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1" xfId="0" applyFont="1" applyFill="1" applyBorder="1" applyAlignment="1"/>
    <xf numFmtId="0" fontId="55" fillId="0" borderId="124" xfId="0" applyFont="1" applyFill="1" applyBorder="1" applyAlignment="1">
      <alignment horizontal="left" vertical="top"/>
    </xf>
    <xf numFmtId="0" fontId="55" fillId="0" borderId="122"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2"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39" xfId="3" quotePrefix="1" applyNumberFormat="1" applyFont="1" applyBorder="1" applyAlignment="1" applyProtection="1">
      <alignment horizontal="left"/>
    </xf>
    <xf numFmtId="0" fontId="63" fillId="0" borderId="140" xfId="3" applyNumberFormat="1" applyFont="1" applyBorder="1" applyAlignment="1" applyProtection="1">
      <alignment horizontal="center"/>
    </xf>
    <xf numFmtId="0" fontId="63" fillId="0" borderId="140" xfId="3" applyNumberFormat="1" applyFont="1" applyBorder="1" applyProtection="1"/>
    <xf numFmtId="0" fontId="56" fillId="0" borderId="139" xfId="3" applyNumberFormat="1" applyFont="1" applyBorder="1" applyAlignment="1" applyProtection="1"/>
    <xf numFmtId="0" fontId="63" fillId="0" borderId="141" xfId="3" applyNumberFormat="1" applyFont="1" applyBorder="1" applyAlignment="1" applyProtection="1">
      <alignment horizontal="centerContinuous"/>
    </xf>
    <xf numFmtId="0" fontId="56" fillId="0" borderId="139" xfId="3" applyNumberFormat="1" applyFont="1" applyBorder="1" applyAlignment="1" applyProtection="1">
      <alignment horizontal="left"/>
    </xf>
    <xf numFmtId="0" fontId="63" fillId="0" borderId="141" xfId="3" applyNumberFormat="1" applyFont="1" applyBorder="1" applyProtection="1"/>
    <xf numFmtId="0" fontId="63" fillId="0" borderId="140"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39"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3"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0"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4"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2" xfId="3" applyFont="1" applyBorder="1" applyProtection="1"/>
    <xf numFmtId="0" fontId="56" fillId="0" borderId="143" xfId="3" applyFont="1" applyBorder="1" applyProtection="1">
      <protection locked="0"/>
    </xf>
    <xf numFmtId="0" fontId="56" fillId="0" borderId="142"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4" xfId="3" applyNumberFormat="1" applyFont="1" applyBorder="1" applyAlignment="1" applyProtection="1">
      <protection locked="0"/>
    </xf>
    <xf numFmtId="5" fontId="56" fillId="0" borderId="72"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4" xfId="3" applyNumberFormat="1" applyFont="1" applyBorder="1" applyAlignment="1" applyProtection="1">
      <alignment horizontal="center"/>
      <protection locked="0"/>
    </xf>
    <xf numFmtId="5" fontId="56" fillId="0" borderId="72"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4" xfId="3" applyFont="1" applyBorder="1" applyAlignment="1" applyProtection="1">
      <alignment vertical="top"/>
    </xf>
    <xf numFmtId="0" fontId="58" fillId="0" borderId="74"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169" fontId="63" fillId="0" borderId="0" xfId="3" applyNumberFormat="1" applyFont="1" applyBorder="1" applyProtection="1"/>
    <xf numFmtId="169" fontId="58" fillId="0" borderId="0" xfId="3" applyNumberFormat="1" applyFont="1" applyProtection="1"/>
    <xf numFmtId="169" fontId="58" fillId="0" borderId="74" xfId="3" applyNumberFormat="1" applyFont="1" applyBorder="1" applyProtection="1"/>
    <xf numFmtId="169" fontId="63" fillId="0" borderId="0" xfId="3" applyNumberFormat="1" applyFont="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0" xfId="3" applyFont="1" applyBorder="1" applyProtection="1"/>
    <xf numFmtId="0" fontId="58" fillId="0" borderId="140" xfId="3" applyFont="1" applyBorder="1" applyProtection="1"/>
    <xf numFmtId="0" fontId="58" fillId="0" borderId="140"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0" fontId="66" fillId="0" borderId="0" xfId="3" applyFont="1" applyBorder="1" applyAlignment="1" applyProtection="1">
      <alignment horizontal="right"/>
    </xf>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0" xfId="3" quotePrefix="1" applyFont="1" applyBorder="1" applyAlignment="1" applyProtection="1">
      <alignment horizontal="left"/>
    </xf>
    <xf numFmtId="0" fontId="56" fillId="0" borderId="140" xfId="3" applyFont="1" applyBorder="1" applyProtection="1"/>
    <xf numFmtId="0" fontId="56" fillId="0" borderId="140"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0" xfId="3" applyFont="1" applyBorder="1" applyProtection="1"/>
    <xf numFmtId="0" fontId="58" fillId="0" borderId="0" xfId="3" applyFont="1" applyBorder="1" applyAlignment="1" applyProtection="1">
      <alignment horizontal="left"/>
    </xf>
    <xf numFmtId="0" fontId="65" fillId="0" borderId="140" xfId="3" applyFont="1" applyBorder="1" applyAlignment="1" applyProtection="1">
      <alignment horizontal="left"/>
    </xf>
    <xf numFmtId="0" fontId="58" fillId="0" borderId="74" xfId="3" applyFont="1" applyFill="1" applyBorder="1" applyProtection="1"/>
    <xf numFmtId="0" fontId="58" fillId="0" borderId="74"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0"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5" xfId="3" applyNumberFormat="1" applyFont="1" applyBorder="1" applyAlignment="1" applyProtection="1">
      <alignment horizontal="center"/>
    </xf>
    <xf numFmtId="169" fontId="63" fillId="0" borderId="73" xfId="3" applyNumberFormat="1" applyFont="1" applyBorder="1" applyAlignment="1" applyProtection="1">
      <alignment horizontal="center"/>
      <protection locked="0"/>
    </xf>
    <xf numFmtId="169" fontId="123" fillId="0" borderId="0" xfId="3" applyNumberFormat="1" applyFont="1" applyProtection="1"/>
    <xf numFmtId="6" fontId="119" fillId="0" borderId="72" xfId="3" applyNumberFormat="1" applyFont="1" applyBorder="1" applyProtection="1"/>
    <xf numFmtId="6" fontId="119" fillId="0" borderId="0" xfId="3" applyNumberFormat="1" applyFont="1" applyBorder="1" applyProtection="1"/>
    <xf numFmtId="10" fontId="65" fillId="0" borderId="73"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4" xfId="3" applyNumberFormat="1" applyFont="1" applyBorder="1" applyProtection="1"/>
    <xf numFmtId="0" fontId="76" fillId="0" borderId="74" xfId="3" applyFont="1" applyBorder="1" applyAlignment="1" applyProtection="1">
      <alignment horizontal="center"/>
    </xf>
    <xf numFmtId="0" fontId="76" fillId="0" borderId="74"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0" fontId="66" fillId="0" borderId="0" xfId="3" applyFont="1" applyAlignment="1" applyProtection="1">
      <alignment horizontal="right"/>
    </xf>
    <xf numFmtId="178" fontId="66" fillId="0" borderId="70"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0"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47" xfId="3" applyFont="1" applyBorder="1" applyAlignment="1" applyProtection="1">
      <alignment horizontal="left"/>
    </xf>
    <xf numFmtId="0" fontId="58" fillId="0" borderId="147" xfId="3" applyFont="1" applyBorder="1" applyProtection="1"/>
    <xf numFmtId="0" fontId="58" fillId="0" borderId="147"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4" xfId="3" applyNumberFormat="1" applyFont="1" applyBorder="1" applyAlignment="1" applyProtection="1">
      <protection locked="0"/>
    </xf>
    <xf numFmtId="0" fontId="58" fillId="0" borderId="74"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5" fillId="0" borderId="20" xfId="0" applyFont="1" applyFill="1" applyBorder="1" applyAlignment="1" applyProtection="1">
      <alignment horizontal="left" vertical="center" indent="2"/>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4"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5" xfId="0" applyFont="1" applyFill="1" applyBorder="1" applyAlignment="1" applyProtection="1">
      <alignment horizontal="left" vertical="center" indent="1"/>
    </xf>
    <xf numFmtId="0" fontId="63" fillId="0" borderId="96"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3" xfId="0" applyNumberFormat="1" applyFont="1" applyBorder="1" applyAlignment="1">
      <alignment horizontal="left" vertical="center" wrapText="1" indent="1"/>
    </xf>
    <xf numFmtId="3" fontId="63" fillId="0" borderId="121"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3"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6" fillId="0" borderId="123" xfId="0" applyNumberFormat="1" applyFont="1" applyFill="1" applyBorder="1" applyAlignment="1" applyProtection="1">
      <alignment horizontal="right" vertical="center"/>
      <protection locked="0"/>
    </xf>
    <xf numFmtId="38" fontId="55" fillId="6" borderId="151" xfId="0" applyNumberFormat="1" applyFont="1" applyFill="1" applyBorder="1" applyAlignment="1">
      <alignment horizontal="center" vertical="center" wrapText="1"/>
    </xf>
    <xf numFmtId="38" fontId="55" fillId="6" borderId="151" xfId="0" applyNumberFormat="1" applyFont="1" applyFill="1" applyBorder="1" applyAlignment="1">
      <alignment horizontal="center" vertical="top" wrapText="1"/>
    </xf>
    <xf numFmtId="38" fontId="65" fillId="6" borderId="151" xfId="0" applyNumberFormat="1" applyFont="1" applyFill="1" applyBorder="1" applyAlignment="1">
      <alignment horizontal="center" vertical="center" wrapText="1"/>
    </xf>
    <xf numFmtId="38" fontId="65" fillId="6" borderId="10"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0" fontId="8" fillId="0" borderId="0" xfId="17"/>
    <xf numFmtId="0" fontId="100" fillId="0" borderId="136" xfId="17" applyFont="1" applyBorder="1" applyAlignment="1">
      <alignment horizontal="left" vertical="top"/>
    </xf>
    <xf numFmtId="0" fontId="127" fillId="0" borderId="137" xfId="17" applyFont="1" applyBorder="1" applyAlignment="1">
      <alignment horizontal="center" vertical="top"/>
    </xf>
    <xf numFmtId="0" fontId="127" fillId="0" borderId="138" xfId="17" applyFont="1" applyBorder="1" applyAlignment="1">
      <alignment horizontal="center" vertical="top"/>
    </xf>
    <xf numFmtId="0" fontId="128" fillId="0" borderId="92" xfId="17" applyFont="1" applyBorder="1" applyAlignment="1">
      <alignment vertical="top"/>
    </xf>
    <xf numFmtId="0" fontId="128" fillId="0" borderId="0" xfId="17" applyFont="1" applyBorder="1" applyAlignment="1">
      <alignment vertical="top"/>
    </xf>
    <xf numFmtId="0" fontId="128" fillId="0" borderId="93" xfId="17" applyFont="1" applyBorder="1" applyAlignment="1">
      <alignment vertical="top"/>
    </xf>
    <xf numFmtId="38" fontId="8" fillId="21" borderId="153" xfId="17" applyNumberFormat="1" applyFill="1" applyBorder="1" applyAlignment="1">
      <alignment horizontal="right" vertical="top"/>
    </xf>
    <xf numFmtId="38" fontId="8" fillId="21" borderId="154" xfId="17" applyNumberFormat="1" applyFill="1" applyBorder="1" applyAlignment="1">
      <alignment horizontal="right" vertical="top"/>
    </xf>
    <xf numFmtId="0" fontId="8" fillId="0" borderId="0" xfId="17" applyAlignment="1">
      <alignment horizontal="left" vertical="top" wrapText="1"/>
    </xf>
    <xf numFmtId="0" fontId="8" fillId="0" borderId="0" xfId="17" applyAlignment="1">
      <alignment vertical="top"/>
    </xf>
    <xf numFmtId="38" fontId="8" fillId="0" borderId="0" xfId="17" applyNumberFormat="1" applyAlignment="1">
      <alignment horizontal="right" vertical="top"/>
    </xf>
    <xf numFmtId="0" fontId="8" fillId="0" borderId="0" xfId="17" applyAlignment="1">
      <alignment horizontal="center" vertical="top" wrapText="1"/>
    </xf>
    <xf numFmtId="0" fontId="126" fillId="22" borderId="152" xfId="17" applyFont="1" applyFill="1" applyBorder="1" applyAlignment="1">
      <alignment horizontal="center" vertical="center" wrapText="1"/>
    </xf>
    <xf numFmtId="38" fontId="126" fillId="22" borderId="152" xfId="17" applyNumberFormat="1" applyFont="1" applyFill="1" applyBorder="1" applyAlignment="1">
      <alignment horizontal="center" vertical="center" wrapText="1"/>
    </xf>
    <xf numFmtId="3" fontId="56" fillId="22" borderId="127" xfId="0" applyNumberFormat="1" applyFont="1" applyFill="1" applyBorder="1" applyAlignment="1">
      <alignment horizontal="center"/>
    </xf>
    <xf numFmtId="3" fontId="56" fillId="22" borderId="127" xfId="0" applyNumberFormat="1" applyFont="1" applyFill="1" applyBorder="1" applyAlignment="1">
      <alignment horizontal="right"/>
    </xf>
    <xf numFmtId="3" fontId="56" fillId="22" borderId="128" xfId="0" applyNumberFormat="1" applyFont="1" applyFill="1" applyBorder="1" applyAlignment="1">
      <alignment horizontal="center"/>
    </xf>
    <xf numFmtId="38" fontId="56" fillId="22" borderId="19" xfId="0" applyNumberFormat="1" applyFont="1" applyFill="1" applyBorder="1" applyAlignment="1">
      <alignment horizontal="right"/>
    </xf>
    <xf numFmtId="38" fontId="56" fillId="22" borderId="20" xfId="0" applyNumberFormat="1" applyFont="1" applyFill="1" applyBorder="1" applyAlignment="1">
      <alignment horizontal="right"/>
    </xf>
    <xf numFmtId="38" fontId="56" fillId="22" borderId="11" xfId="0" applyNumberFormat="1" applyFont="1" applyFill="1" applyBorder="1" applyAlignment="1">
      <alignment horizontal="right"/>
    </xf>
    <xf numFmtId="3" fontId="66" fillId="22" borderId="121"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6" fillId="22" borderId="13" xfId="0" applyNumberFormat="1" applyFont="1" applyFill="1" applyBorder="1" applyAlignment="1">
      <alignment horizontal="right"/>
    </xf>
    <xf numFmtId="38" fontId="56" fillId="22" borderId="21" xfId="0" applyNumberFormat="1" applyFont="1" applyFill="1" applyBorder="1" applyAlignment="1">
      <alignment horizontal="right"/>
    </xf>
    <xf numFmtId="38" fontId="56" fillId="22" borderId="14" xfId="0" applyNumberFormat="1" applyFont="1" applyFill="1" applyBorder="1" applyAlignment="1">
      <alignment horizontal="right"/>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38" fontId="56" fillId="22" borderId="19" xfId="0" applyNumberFormat="1" applyFont="1" applyFill="1" applyBorder="1" applyAlignment="1" applyProtection="1">
      <alignment horizontal="right"/>
    </xf>
    <xf numFmtId="38" fontId="56" fillId="22" borderId="20" xfId="0" applyNumberFormat="1" applyFont="1" applyFill="1" applyBorder="1" applyAlignment="1" applyProtection="1">
      <alignment horizontal="right"/>
    </xf>
    <xf numFmtId="38" fontId="56" fillId="22" borderId="21" xfId="0" applyNumberFormat="1" applyFont="1" applyFill="1" applyBorder="1" applyAlignment="1" applyProtection="1">
      <alignment horizontal="right"/>
    </xf>
    <xf numFmtId="38" fontId="56"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8" fontId="56" fillId="22" borderId="13" xfId="0" applyNumberFormat="1" applyFont="1" applyFill="1" applyBorder="1" applyAlignment="1" applyProtection="1">
      <alignment horizontal="right"/>
    </xf>
    <xf numFmtId="38" fontId="56" fillId="22" borderId="11" xfId="0" applyNumberFormat="1" applyFont="1" applyFill="1" applyBorder="1" applyAlignment="1" applyProtection="1">
      <alignment horizontal="right"/>
    </xf>
    <xf numFmtId="38" fontId="56" fillId="22" borderId="49" xfId="0" applyNumberFormat="1" applyFont="1" applyFill="1" applyBorder="1" applyAlignment="1" applyProtection="1">
      <alignment horizontal="right"/>
    </xf>
    <xf numFmtId="38" fontId="56" fillId="22" borderId="34" xfId="0" applyNumberFormat="1" applyFont="1" applyFill="1" applyBorder="1" applyAlignment="1" applyProtection="1">
      <alignment horizontal="right"/>
    </xf>
    <xf numFmtId="38" fontId="56" fillId="22" borderId="31" xfId="0" applyNumberFormat="1" applyFont="1" applyFill="1" applyBorder="1" applyAlignment="1" applyProtection="1">
      <alignment horizontal="right"/>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3"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1" xfId="0" applyNumberFormat="1" applyFont="1" applyFill="1" applyBorder="1" applyAlignment="1">
      <alignment horizontal="left" vertical="center" wrapText="1"/>
    </xf>
    <xf numFmtId="49" fontId="65" fillId="17" borderId="123"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1"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3" xfId="0" applyFont="1" applyFill="1" applyBorder="1" applyAlignment="1">
      <alignment horizontal="left" vertical="center" wrapText="1"/>
    </xf>
    <xf numFmtId="3" fontId="65" fillId="17" borderId="123" xfId="0" applyNumberFormat="1" applyFont="1" applyFill="1" applyBorder="1" applyAlignment="1">
      <alignment horizontal="left" vertical="center" wrapText="1"/>
    </xf>
    <xf numFmtId="38" fontId="56" fillId="23" borderId="19" xfId="0" applyNumberFormat="1" applyFont="1" applyFill="1" applyBorder="1" applyAlignment="1">
      <alignment horizontal="right"/>
    </xf>
    <xf numFmtId="38" fontId="56" fillId="23" borderId="20" xfId="0" applyNumberFormat="1" applyFont="1" applyFill="1" applyBorder="1" applyAlignment="1">
      <alignment horizontal="right"/>
    </xf>
    <xf numFmtId="38" fontId="56" fillId="23" borderId="11" xfId="0" applyNumberFormat="1" applyFont="1" applyFill="1" applyBorder="1" applyAlignment="1">
      <alignment horizontal="right"/>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5" xfId="0" applyFont="1" applyBorder="1" applyAlignment="1">
      <alignment horizontal="centerContinuous" vertical="center"/>
    </xf>
    <xf numFmtId="0" fontId="56" fillId="0" borderId="156" xfId="0" applyFont="1" applyBorder="1" applyAlignment="1">
      <alignment horizontal="centerContinuous" vertical="center"/>
    </xf>
    <xf numFmtId="0" fontId="58" fillId="0" borderId="156" xfId="0" applyFont="1" applyBorder="1" applyAlignment="1">
      <alignment horizontal="centerContinuous" vertical="center"/>
    </xf>
    <xf numFmtId="0" fontId="65" fillId="0" borderId="101"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58" fillId="22" borderId="19" xfId="3" applyNumberFormat="1" applyFont="1" applyFill="1" applyBorder="1" applyAlignment="1">
      <alignment vertical="center"/>
    </xf>
    <xf numFmtId="0" fontId="58" fillId="22" borderId="20" xfId="3" applyNumberFormat="1" applyFont="1" applyFill="1" applyBorder="1" applyAlignment="1">
      <alignment vertical="center"/>
    </xf>
    <xf numFmtId="0" fontId="58" fillId="22" borderId="11" xfId="3" applyNumberFormat="1" applyFont="1" applyFill="1" applyBorder="1" applyAlignment="1">
      <alignment vertical="center"/>
    </xf>
    <xf numFmtId="0" fontId="7" fillId="0" borderId="0" xfId="17" quotePrefix="1" applyNumberFormat="1" applyFont="1"/>
    <xf numFmtId="0" fontId="128" fillId="20" borderId="153" xfId="17" applyFont="1" applyFill="1" applyBorder="1" applyAlignment="1" applyProtection="1">
      <alignment horizontal="left" vertical="top" wrapText="1"/>
    </xf>
    <xf numFmtId="49" fontId="128" fillId="20" borderId="153" xfId="17" applyNumberFormat="1" applyFont="1" applyFill="1" applyBorder="1" applyAlignment="1" applyProtection="1">
      <alignment horizontal="center" vertical="top"/>
    </xf>
    <xf numFmtId="0" fontId="128" fillId="20" borderId="153" xfId="17" applyFont="1" applyFill="1" applyBorder="1" applyAlignment="1" applyProtection="1">
      <alignment vertical="top"/>
    </xf>
    <xf numFmtId="38" fontId="128" fillId="20" borderId="153" xfId="17" applyNumberFormat="1" applyFont="1" applyFill="1" applyBorder="1" applyAlignment="1" applyProtection="1">
      <alignment horizontal="right" vertical="top"/>
    </xf>
    <xf numFmtId="38" fontId="128" fillId="20" borderId="153" xfId="17" applyNumberFormat="1" applyFont="1" applyFill="1" applyBorder="1" applyAlignment="1" applyProtection="1">
      <alignment vertical="top"/>
    </xf>
    <xf numFmtId="0" fontId="8" fillId="0" borderId="153" xfId="17" applyBorder="1" applyAlignment="1" applyProtection="1">
      <alignment horizontal="left" vertical="top" wrapText="1"/>
      <protection locked="0"/>
    </xf>
    <xf numFmtId="0" fontId="8" fillId="0" borderId="153" xfId="17" applyBorder="1" applyAlignment="1" applyProtection="1">
      <alignment vertical="top"/>
      <protection locked="0"/>
    </xf>
    <xf numFmtId="0" fontId="7" fillId="0" borderId="153" xfId="17" applyFont="1" applyBorder="1" applyAlignment="1" applyProtection="1">
      <alignment horizontal="left" vertical="top" wrapText="1"/>
      <protection locked="0"/>
    </xf>
    <xf numFmtId="0" fontId="7" fillId="0" borderId="153" xfId="17" applyFont="1" applyBorder="1" applyAlignment="1" applyProtection="1">
      <alignment vertical="top"/>
      <protection locked="0"/>
    </xf>
    <xf numFmtId="0" fontId="8" fillId="0" borderId="0" xfId="17" applyAlignment="1">
      <alignment horizontal="center" vertical="center" wrapText="1"/>
    </xf>
    <xf numFmtId="0" fontId="6" fillId="0" borderId="0" xfId="17" applyFont="1" applyAlignment="1">
      <alignment horizontal="left" vertical="center" wrapText="1"/>
    </xf>
    <xf numFmtId="0" fontId="6" fillId="0" borderId="0" xfId="17" applyFont="1" applyAlignment="1">
      <alignment vertical="center"/>
    </xf>
    <xf numFmtId="0" fontId="8" fillId="0" borderId="0" xfId="17" applyAlignment="1">
      <alignment vertical="center"/>
    </xf>
    <xf numFmtId="0" fontId="128" fillId="0" borderId="94" xfId="17" applyFont="1" applyBorder="1" applyAlignment="1">
      <alignment horizontal="left" vertical="top"/>
    </xf>
    <xf numFmtId="0" fontId="128" fillId="0" borderId="74" xfId="17" applyFont="1" applyBorder="1" applyAlignment="1">
      <alignment horizontal="left" vertical="top"/>
    </xf>
    <xf numFmtId="0" fontId="128" fillId="0" borderId="95" xfId="17" applyFont="1" applyBorder="1" applyAlignment="1">
      <alignment horizontal="left" vertical="top"/>
    </xf>
    <xf numFmtId="0" fontId="34" fillId="0" borderId="0" xfId="2" applyNumberFormat="1" applyAlignment="1" applyProtection="1">
      <alignment vertical="center"/>
    </xf>
    <xf numFmtId="49" fontId="8" fillId="0" borderId="153" xfId="17" applyNumberFormat="1" applyBorder="1" applyAlignment="1" applyProtection="1">
      <alignment horizontal="center" vertical="center"/>
      <protection locked="0"/>
    </xf>
    <xf numFmtId="49" fontId="6" fillId="0" borderId="153" xfId="17" applyNumberFormat="1" applyFont="1" applyBorder="1" applyAlignment="1" applyProtection="1">
      <alignment horizontal="center" vertical="center"/>
      <protection locked="0"/>
    </xf>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38" fontId="56" fillId="16" borderId="27" xfId="0" applyNumberFormat="1" applyFont="1" applyFill="1" applyBorder="1" applyAlignment="1">
      <alignment horizontal="right"/>
    </xf>
    <xf numFmtId="38" fontId="56" fillId="16" borderId="2" xfId="0" applyNumberFormat="1" applyFont="1" applyFill="1" applyBorder="1" applyAlignment="1">
      <alignment horizontal="right"/>
    </xf>
    <xf numFmtId="38" fontId="56" fillId="16" borderId="4" xfId="0" applyNumberFormat="1" applyFont="1" applyFill="1" applyBorder="1" applyAlignment="1">
      <alignment horizontal="right"/>
    </xf>
    <xf numFmtId="49" fontId="65" fillId="16" borderId="36" xfId="0" applyNumberFormat="1" applyFont="1" applyFill="1" applyBorder="1" applyAlignment="1">
      <alignment horizontal="center" vertical="center"/>
    </xf>
    <xf numFmtId="38" fontId="56" fillId="16" borderId="30" xfId="0" applyNumberFormat="1" applyFont="1" applyFill="1" applyBorder="1" applyAlignment="1">
      <alignment horizontal="right"/>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38" fontId="56" fillId="16" borderId="32" xfId="0" applyNumberFormat="1" applyFont="1" applyFill="1" applyBorder="1" applyAlignment="1">
      <alignment horizontal="right"/>
    </xf>
    <xf numFmtId="0" fontId="65" fillId="16" borderId="27" xfId="0" applyFont="1" applyFill="1" applyBorder="1" applyAlignment="1">
      <alignment horizontal="center" vertical="center"/>
    </xf>
    <xf numFmtId="38" fontId="56" fillId="16" borderId="33" xfId="0" applyNumberFormat="1" applyFont="1" applyFill="1" applyBorder="1" applyAlignment="1">
      <alignment horizontal="right"/>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8" fontId="56" fillId="16" borderId="26" xfId="0" applyNumberFormat="1" applyFont="1" applyFill="1" applyBorder="1" applyAlignment="1">
      <alignment horizontal="right"/>
    </xf>
    <xf numFmtId="38" fontId="56" fillId="16" borderId="28" xfId="0" applyNumberFormat="1" applyFont="1" applyFill="1" applyBorder="1" applyAlignment="1">
      <alignment horizontal="right"/>
    </xf>
    <xf numFmtId="38" fontId="56" fillId="16" borderId="29" xfId="0" applyNumberFormat="1" applyFont="1" applyFill="1" applyBorder="1" applyAlignment="1">
      <alignment horizontal="right"/>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8" fontId="56" fillId="16" borderId="27" xfId="0" applyNumberFormat="1" applyFont="1" applyFill="1" applyBorder="1" applyAlignment="1" applyProtection="1">
      <alignment horizontal="right"/>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38" fontId="56" fillId="16" borderId="3" xfId="0" applyNumberFormat="1" applyFont="1" applyFill="1" applyBorder="1" applyAlignment="1">
      <alignment horizontal="right"/>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38" fontId="56" fillId="16" borderId="33" xfId="0" applyNumberFormat="1" applyFont="1" applyFill="1" applyBorder="1" applyAlignment="1" applyProtection="1">
      <alignment horizontal="right"/>
    </xf>
    <xf numFmtId="38" fontId="56" fillId="16" borderId="32" xfId="0" applyNumberFormat="1" applyFont="1" applyFill="1" applyBorder="1" applyAlignment="1" applyProtection="1">
      <alignment horizontal="right"/>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38" fontId="56" fillId="16" borderId="36" xfId="0" applyNumberFormat="1" applyFont="1" applyFill="1" applyBorder="1" applyAlignment="1" applyProtection="1">
      <alignment horizontal="right"/>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37" fontId="56" fillId="16" borderId="36" xfId="0" applyNumberFormat="1" applyFont="1" applyFill="1" applyBorder="1" applyAlignment="1" applyProtection="1">
      <alignment horizontal="right"/>
    </xf>
    <xf numFmtId="37" fontId="56" fillId="16" borderId="27" xfId="0" applyNumberFormat="1" applyFont="1" applyFill="1" applyBorder="1" applyAlignment="1" applyProtection="1">
      <alignment horizontal="right"/>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38" fontId="56" fillId="16" borderId="37" xfId="0" applyNumberFormat="1" applyFont="1" applyFill="1" applyBorder="1" applyAlignment="1" applyProtection="1">
      <alignment horizontal="right"/>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38" fontId="56" fillId="16" borderId="12" xfId="0" applyNumberFormat="1" applyFont="1" applyFill="1" applyBorder="1" applyAlignment="1" applyProtection="1">
      <alignment horizontal="right"/>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38" fontId="56" fillId="16" borderId="3" xfId="0" applyNumberFormat="1" applyFont="1" applyFill="1" applyBorder="1" applyAlignment="1" applyProtection="1">
      <alignment horizontal="right"/>
    </xf>
    <xf numFmtId="38" fontId="56" fillId="16" borderId="55" xfId="0" applyNumberFormat="1" applyFont="1" applyFill="1" applyBorder="1" applyAlignment="1" applyProtection="1">
      <alignment horizontal="right"/>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8" fontId="58" fillId="16" borderId="2" xfId="0" applyNumberFormat="1" applyFont="1" applyFill="1" applyBorder="1" applyAlignment="1" applyProtection="1">
      <alignment horizontal="right" vertical="center"/>
    </xf>
    <xf numFmtId="38"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38" fontId="56" fillId="16" borderId="30" xfId="0" applyNumberFormat="1" applyFont="1" applyFill="1" applyBorder="1" applyAlignment="1" applyProtection="1">
      <alignment horizontal="right"/>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38" fontId="56" fillId="16" borderId="26" xfId="0" applyNumberFormat="1" applyFont="1" applyFill="1" applyBorder="1" applyAlignment="1" applyProtection="1">
      <alignment horizontal="right"/>
    </xf>
    <xf numFmtId="0" fontId="65" fillId="16" borderId="30" xfId="0" applyFont="1" applyFill="1" applyBorder="1" applyAlignment="1" applyProtection="1">
      <alignment horizontal="center" vertical="center"/>
    </xf>
    <xf numFmtId="38" fontId="56" fillId="16" borderId="4" xfId="0" applyNumberFormat="1" applyFont="1" applyFill="1" applyBorder="1" applyAlignment="1" applyProtection="1">
      <alignment horizontal="right"/>
    </xf>
    <xf numFmtId="38" fontId="56" fillId="16" borderId="2" xfId="0" applyNumberFormat="1" applyFont="1" applyFill="1" applyBorder="1" applyAlignment="1" applyProtection="1">
      <alignment horizontal="right"/>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38" fontId="56" fillId="16" borderId="28" xfId="0" applyNumberFormat="1" applyFont="1" applyFill="1" applyBorder="1" applyAlignment="1" applyProtection="1">
      <alignment horizontal="right"/>
    </xf>
    <xf numFmtId="38" fontId="56" fillId="16" borderId="18" xfId="0" applyNumberFormat="1" applyFont="1" applyFill="1" applyBorder="1" applyAlignment="1" applyProtection="1">
      <alignment horizontal="right"/>
    </xf>
    <xf numFmtId="38" fontId="56" fillId="16" borderId="0" xfId="0" applyNumberFormat="1" applyFont="1" applyFill="1" applyAlignment="1" applyProtection="1">
      <alignment horizontal="right"/>
    </xf>
    <xf numFmtId="38" fontId="56" fillId="16" borderId="123" xfId="0" applyNumberFormat="1" applyFont="1" applyFill="1" applyBorder="1" applyAlignment="1" applyProtection="1">
      <alignment horizontal="right" vertical="center"/>
      <protection locked="0"/>
    </xf>
    <xf numFmtId="38" fontId="56" fillId="16" borderId="2" xfId="0" applyNumberFormat="1" applyFont="1" applyFill="1" applyBorder="1" applyAlignment="1" applyProtection="1">
      <alignment horizontal="right" vertical="center"/>
      <protection locked="0"/>
    </xf>
    <xf numFmtId="38" fontId="56" fillId="16" borderId="27" xfId="0" applyNumberFormat="1" applyFont="1" applyFill="1" applyBorder="1" applyAlignment="1" applyProtection="1">
      <alignment horizontal="right" vertical="center"/>
      <protection locked="0"/>
    </xf>
    <xf numFmtId="38" fontId="56" fillId="16" borderId="123"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horizontal="right" vertical="center"/>
    </xf>
    <xf numFmtId="0" fontId="65" fillId="16" borderId="27" xfId="0" applyFont="1" applyFill="1" applyBorder="1" applyAlignment="1">
      <alignment horizontal="left" vertical="center" wrapText="1" indent="1"/>
    </xf>
    <xf numFmtId="38" fontId="56" fillId="16" borderId="27" xfId="0" applyNumberFormat="1" applyFont="1" applyFill="1" applyBorder="1" applyAlignment="1" applyProtection="1">
      <alignment horizontal="right" vertical="center"/>
    </xf>
    <xf numFmtId="38" fontId="56" fillId="16" borderId="2" xfId="9" applyNumberFormat="1" applyFont="1" applyFill="1" applyBorder="1" applyAlignment="1" applyProtection="1">
      <alignment horizontal="right"/>
    </xf>
    <xf numFmtId="49" fontId="63" fillId="16" borderId="41"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38" fontId="56" fillId="16" borderId="60" xfId="0" applyNumberFormat="1" applyFont="1" applyFill="1" applyBorder="1" applyAlignment="1" applyProtection="1"/>
    <xf numFmtId="38" fontId="56" fillId="16" borderId="41" xfId="0" applyNumberFormat="1" applyFont="1" applyFill="1" applyBorder="1" applyAlignment="1" applyProtection="1">
      <alignment horizontal="right"/>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3" fontId="65" fillId="16" borderId="57" xfId="10" applyNumberFormat="1" applyFont="1" applyFill="1" applyBorder="1" applyAlignment="1" applyProtection="1">
      <alignmen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38" fontId="65" fillId="16" borderId="47" xfId="10" applyNumberFormat="1" applyFont="1" applyFill="1" applyBorder="1" applyAlignment="1">
      <alignment horizontal="right"/>
    </xf>
    <xf numFmtId="0" fontId="63" fillId="16" borderId="0" xfId="10" quotePrefix="1" applyFont="1" applyFill="1" applyAlignment="1">
      <alignment horizontal="left" vertical="center"/>
    </xf>
    <xf numFmtId="38" fontId="63" fillId="16" borderId="58" xfId="10" applyNumberFormat="1" applyFont="1" applyFill="1" applyBorder="1" applyAlignment="1" applyProtection="1">
      <alignment horizontal="right"/>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40" fontId="65" fillId="16" borderId="47" xfId="10" applyNumberFormat="1" applyFont="1" applyFill="1" applyBorder="1" applyAlignment="1" applyProtection="1">
      <alignment horizontal="right"/>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38" fontId="65" fillId="16" borderId="9" xfId="11" applyNumberFormat="1" applyFont="1" applyFill="1" applyBorder="1" applyAlignment="1" applyProtection="1">
      <alignment horizontal="right"/>
    </xf>
    <xf numFmtId="38" fontId="63" fillId="16" borderId="6" xfId="11" applyNumberFormat="1" applyFont="1" applyFill="1" applyBorder="1" applyAlignment="1" applyProtection="1">
      <alignment horizontal="right"/>
    </xf>
    <xf numFmtId="0" fontId="63" fillId="16" borderId="0" xfId="11" applyFont="1" applyFill="1" applyAlignment="1">
      <alignment vertical="center"/>
    </xf>
    <xf numFmtId="40" fontId="63" fillId="16" borderId="9" xfId="11" applyNumberFormat="1" applyFont="1" applyFill="1" applyBorder="1" applyAlignment="1" applyProtection="1">
      <alignment horizontal="right"/>
    </xf>
    <xf numFmtId="40" fontId="65" fillId="16" borderId="57" xfId="11" applyNumberFormat="1" applyFont="1" applyFill="1" applyBorder="1" applyAlignment="1" applyProtection="1">
      <alignment horizontal="right"/>
    </xf>
    <xf numFmtId="38" fontId="8" fillId="16" borderId="153" xfId="17" applyNumberFormat="1" applyFill="1" applyBorder="1" applyAlignment="1" applyProtection="1">
      <alignment vertical="top"/>
    </xf>
    <xf numFmtId="38" fontId="8" fillId="16" borderId="154" xfId="17" applyNumberFormat="1" applyFill="1" applyBorder="1" applyAlignment="1" applyProtection="1">
      <alignment horizontal="right" vertical="top"/>
    </xf>
    <xf numFmtId="38" fontId="8" fillId="16" borderId="154" xfId="17" applyNumberFormat="1" applyFill="1" applyBorder="1" applyAlignment="1" applyProtection="1">
      <alignment vertical="top"/>
    </xf>
    <xf numFmtId="0" fontId="8" fillId="16" borderId="154" xfId="17" applyFill="1" applyBorder="1" applyAlignment="1" applyProtection="1">
      <alignment horizontal="left" vertical="top" wrapText="1"/>
    </xf>
    <xf numFmtId="49" fontId="8" fillId="16" borderId="154" xfId="17" applyNumberFormat="1" applyFill="1" applyBorder="1" applyAlignment="1" applyProtection="1">
      <alignment vertical="top"/>
    </xf>
    <xf numFmtId="0" fontId="8" fillId="16" borderId="154" xfId="17" applyFill="1" applyBorder="1" applyAlignment="1" applyProtection="1">
      <alignment vertical="top"/>
    </xf>
    <xf numFmtId="0" fontId="56" fillId="16" borderId="122" xfId="0" applyFont="1" applyFill="1" applyBorder="1"/>
    <xf numFmtId="37" fontId="56" fillId="16" borderId="122" xfId="0" applyNumberFormat="1" applyFont="1" applyFill="1" applyBorder="1"/>
    <xf numFmtId="37" fontId="56" fillId="16" borderId="124" xfId="0" applyNumberFormat="1" applyFont="1" applyFill="1" applyBorder="1"/>
    <xf numFmtId="0" fontId="56" fillId="16" borderId="14" xfId="0" applyFont="1" applyFill="1" applyBorder="1"/>
    <xf numFmtId="0" fontId="56" fillId="16" borderId="21" xfId="0" applyFont="1" applyFill="1" applyBorder="1"/>
    <xf numFmtId="37" fontId="56" fillId="16" borderId="14" xfId="0" applyNumberFormat="1" applyFont="1" applyFill="1" applyBorder="1"/>
    <xf numFmtId="37" fontId="56" fillId="16" borderId="21" xfId="0" applyNumberFormat="1" applyFont="1" applyFill="1" applyBorder="1"/>
    <xf numFmtId="38" fontId="56" fillId="16" borderId="14" xfId="0" applyNumberFormat="1" applyFont="1" applyFill="1" applyBorder="1"/>
    <xf numFmtId="0" fontId="63" fillId="16" borderId="0" xfId="0" applyFont="1" applyFill="1" applyBorder="1" applyAlignment="1">
      <alignment horizontal="right"/>
    </xf>
    <xf numFmtId="38" fontId="56" fillId="16" borderId="18" xfId="0" applyNumberFormat="1" applyFont="1" applyFill="1" applyBorder="1"/>
    <xf numFmtId="0" fontId="56" fillId="16" borderId="13" xfId="0" applyFont="1" applyFill="1" applyBorder="1" applyAlignment="1">
      <alignment horizontal="right"/>
    </xf>
    <xf numFmtId="10" fontId="55" fillId="16" borderId="14" xfId="0" applyNumberFormat="1" applyFont="1" applyFill="1" applyBorder="1" applyAlignment="1">
      <alignment horizontal="left" indent="2"/>
    </xf>
    <xf numFmtId="38" fontId="56" fillId="16" borderId="2" xfId="3" applyNumberFormat="1" applyFont="1" applyFill="1" applyBorder="1" applyAlignment="1">
      <alignment vertical="center"/>
    </xf>
    <xf numFmtId="38" fontId="56" fillId="16" borderId="2" xfId="3" applyNumberFormat="1" applyFont="1" applyFill="1" applyBorder="1" applyAlignment="1" applyProtection="1">
      <alignment vertical="center"/>
    </xf>
    <xf numFmtId="38" fontId="56" fillId="16" borderId="27" xfId="3" applyNumberFormat="1" applyFont="1" applyFill="1" applyBorder="1" applyAlignment="1">
      <alignment vertical="center"/>
    </xf>
    <xf numFmtId="9" fontId="56" fillId="16" borderId="4" xfId="3" applyNumberFormat="1" applyFont="1" applyFill="1" applyBorder="1" applyAlignment="1">
      <alignment horizontal="center" vertical="center"/>
    </xf>
    <xf numFmtId="38" fontId="56" fillId="16" borderId="22" xfId="3" applyNumberFormat="1" applyFont="1" applyFill="1" applyBorder="1" applyAlignment="1">
      <alignment horizontal="right" vertical="center"/>
    </xf>
    <xf numFmtId="38" fontId="56" fillId="16" borderId="41" xfId="3" applyNumberFormat="1" applyFont="1" applyFill="1" applyBorder="1" applyAlignment="1">
      <alignment horizontal="right" vertical="center"/>
    </xf>
    <xf numFmtId="38" fontId="56" fillId="16" borderId="71" xfId="3" applyNumberFormat="1" applyFont="1" applyFill="1" applyBorder="1" applyAlignment="1">
      <alignment horizontal="right" vertical="center"/>
    </xf>
    <xf numFmtId="38" fontId="55" fillId="16" borderId="71"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6" fillId="16" borderId="123" xfId="0" applyNumberFormat="1" applyFont="1" applyFill="1" applyBorder="1" applyAlignment="1" applyProtection="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38" fontId="56" fillId="15" borderId="26" xfId="0" applyNumberFormat="1" applyFont="1" applyFill="1" applyBorder="1" applyAlignment="1">
      <alignment horizontal="right"/>
    </xf>
    <xf numFmtId="38" fontId="56" fillId="15" borderId="3" xfId="0" applyNumberFormat="1" applyFont="1" applyFill="1" applyBorder="1" applyAlignment="1">
      <alignment horizontal="right"/>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8" fontId="56" fillId="25" borderId="26" xfId="0" applyNumberFormat="1" applyFont="1" applyFill="1" applyBorder="1" applyAlignment="1">
      <alignment horizontal="right"/>
    </xf>
    <xf numFmtId="3" fontId="63" fillId="0" borderId="12" xfId="0" applyNumberFormat="1" applyFont="1" applyBorder="1" applyAlignment="1">
      <alignment horizontal="left" vertical="top" wrapText="1" indent="1"/>
    </xf>
    <xf numFmtId="38" fontId="56" fillId="16" borderId="19" xfId="0" applyNumberFormat="1" applyFont="1" applyFill="1" applyBorder="1" applyAlignment="1" applyProtection="1">
      <alignment horizontal="right"/>
    </xf>
    <xf numFmtId="49" fontId="34" fillId="0" borderId="0" xfId="2" applyNumberFormat="1" applyBorder="1" applyAlignment="1" applyProtection="1">
      <alignment horizontal="center"/>
    </xf>
    <xf numFmtId="49" fontId="5" fillId="0" borderId="153" xfId="17" applyNumberFormat="1" applyFont="1" applyBorder="1" applyAlignment="1" applyProtection="1">
      <alignment horizontal="center" vertical="center"/>
      <protection locked="0"/>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57" xfId="3" applyFont="1" applyBorder="1" applyProtection="1"/>
    <xf numFmtId="49" fontId="63" fillId="0" borderId="14" xfId="0" applyNumberFormat="1" applyFont="1" applyFill="1" applyBorder="1" applyAlignment="1" applyProtection="1">
      <alignment horizontal="center" vertical="center"/>
    </xf>
    <xf numFmtId="38" fontId="56" fillId="15" borderId="3" xfId="0" applyNumberFormat="1" applyFont="1" applyFill="1" applyBorder="1" applyAlignment="1" applyProtection="1">
      <alignment horizontal="right"/>
    </xf>
    <xf numFmtId="38" fontId="56" fillId="15" borderId="26" xfId="0" applyNumberFormat="1" applyFont="1" applyFill="1" applyBorder="1" applyAlignment="1" applyProtection="1">
      <alignment horizontal="right"/>
    </xf>
    <xf numFmtId="38" fontId="8" fillId="0" borderId="153" xfId="17" applyNumberFormat="1" applyBorder="1" applyAlignment="1" applyProtection="1">
      <alignment horizontal="right" vertical="top"/>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3"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5" fillId="0" borderId="0" xfId="18" applyFont="1" applyAlignment="1">
      <alignment wrapText="1"/>
    </xf>
    <xf numFmtId="0" fontId="133" fillId="0" borderId="158" xfId="18" applyFont="1" applyFill="1" applyBorder="1" applyAlignment="1" applyProtection="1">
      <alignment horizontal="center" vertical="center"/>
      <protection locked="0"/>
    </xf>
    <xf numFmtId="0" fontId="104" fillId="0" borderId="0" xfId="18" applyNumberFormat="1" applyFont="1"/>
    <xf numFmtId="0" fontId="79" fillId="0" borderId="103" xfId="18" applyFont="1" applyBorder="1" applyAlignment="1">
      <alignment horizontal="left" vertical="center" wrapText="1"/>
    </xf>
    <xf numFmtId="0" fontId="79" fillId="0" borderId="160" xfId="18" applyFont="1" applyBorder="1" applyAlignment="1">
      <alignment horizontal="left" vertical="center" wrapText="1"/>
    </xf>
    <xf numFmtId="49" fontId="127" fillId="0" borderId="102" xfId="18" applyNumberFormat="1" applyFont="1" applyBorder="1" applyAlignment="1" applyProtection="1">
      <alignment horizontal="center" vertical="center"/>
      <protection locked="0"/>
    </xf>
    <xf numFmtId="0" fontId="127" fillId="0" borderId="102" xfId="18" applyFont="1" applyFill="1" applyBorder="1" applyAlignment="1" applyProtection="1">
      <alignment horizontal="center" vertical="center" wrapText="1"/>
      <protection locked="0"/>
    </xf>
    <xf numFmtId="0" fontId="101" fillId="0" borderId="102" xfId="18" applyFont="1" applyFill="1" applyBorder="1"/>
    <xf numFmtId="0" fontId="105" fillId="0" borderId="155" xfId="18" applyFont="1" applyBorder="1" applyAlignment="1">
      <alignment horizontal="left" vertical="center" wrapText="1"/>
    </xf>
    <xf numFmtId="0" fontId="105" fillId="0" borderId="156" xfId="18" applyFont="1" applyBorder="1" applyAlignment="1">
      <alignment horizontal="left" vertical="center" wrapText="1"/>
    </xf>
    <xf numFmtId="49" fontId="105" fillId="17" borderId="102" xfId="18" applyNumberFormat="1" applyFont="1" applyFill="1" applyBorder="1" applyAlignment="1">
      <alignment horizontal="center" vertical="center"/>
    </xf>
    <xf numFmtId="0" fontId="79" fillId="0" borderId="103" xfId="18" applyFont="1" applyFill="1" applyBorder="1" applyAlignment="1">
      <alignment horizontal="left" vertical="center" wrapText="1"/>
    </xf>
    <xf numFmtId="0" fontId="79" fillId="0" borderId="128" xfId="18" applyFont="1" applyFill="1" applyBorder="1" applyAlignment="1">
      <alignment horizontal="left" vertical="center" wrapText="1"/>
    </xf>
    <xf numFmtId="49" fontId="134" fillId="0" borderId="101" xfId="18" applyNumberFormat="1" applyFont="1" applyBorder="1" applyAlignment="1" applyProtection="1">
      <alignment horizontal="center" vertical="center"/>
      <protection locked="0"/>
    </xf>
    <xf numFmtId="49" fontId="134" fillId="0" borderId="105" xfId="18" applyNumberFormat="1" applyFont="1" applyFill="1" applyBorder="1" applyAlignment="1" applyProtection="1">
      <alignment horizontal="center" vertical="center"/>
      <protection locked="0"/>
    </xf>
    <xf numFmtId="0" fontId="101" fillId="0" borderId="101" xfId="18" applyFont="1" applyBorder="1" applyProtection="1">
      <protection locked="0"/>
    </xf>
    <xf numFmtId="49" fontId="134" fillId="0" borderId="103" xfId="18" applyNumberFormat="1" applyFont="1" applyFill="1" applyBorder="1" applyAlignment="1" applyProtection="1">
      <alignment horizontal="center" vertical="center"/>
      <protection locked="0"/>
    </xf>
    <xf numFmtId="0" fontId="101" fillId="0" borderId="0" xfId="18" applyFont="1" applyProtection="1"/>
    <xf numFmtId="0" fontId="5" fillId="0" borderId="0" xfId="18" applyFont="1"/>
    <xf numFmtId="0" fontId="49" fillId="0" borderId="136" xfId="18" applyFont="1" applyBorder="1" applyAlignment="1">
      <alignment vertical="top"/>
    </xf>
    <xf numFmtId="0" fontId="49" fillId="0" borderId="137" xfId="18" applyFont="1" applyBorder="1" applyAlignment="1">
      <alignment vertical="top"/>
    </xf>
    <xf numFmtId="0" fontId="50" fillId="15" borderId="72" xfId="18" applyFont="1" applyFill="1" applyBorder="1" applyAlignment="1">
      <alignment vertical="top"/>
    </xf>
    <xf numFmtId="0" fontId="49" fillId="0" borderId="136" xfId="18" applyFont="1" applyBorder="1" applyAlignment="1">
      <alignment vertical="top" wrapText="1"/>
    </xf>
    <xf numFmtId="0" fontId="49" fillId="0" borderId="137"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5"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49" fontId="65" fillId="0" borderId="2" xfId="0" applyNumberFormat="1" applyFont="1" applyFill="1" applyBorder="1" applyAlignment="1" applyProtection="1">
      <alignment horizontal="center" vertical="top" wrapText="1"/>
    </xf>
    <xf numFmtId="49" fontId="65" fillId="0" borderId="2" xfId="9" applyNumberFormat="1" applyFont="1" applyFill="1" applyBorder="1" applyAlignment="1">
      <alignment horizontal="center" vertical="top" wrapText="1"/>
    </xf>
    <xf numFmtId="49" fontId="65" fillId="5" borderId="2" xfId="9" applyNumberFormat="1" applyFont="1" applyFill="1" applyBorder="1" applyAlignment="1" applyProtection="1">
      <alignment horizontal="center" vertical="top" wrapText="1"/>
    </xf>
    <xf numFmtId="0" fontId="101" fillId="22" borderId="0" xfId="18" applyFont="1" applyFill="1" applyAlignment="1">
      <alignment horizontal="centerContinuous" vertical="center"/>
    </xf>
    <xf numFmtId="0" fontId="105" fillId="22" borderId="134" xfId="18" applyFont="1" applyFill="1" applyBorder="1" applyAlignment="1">
      <alignment horizontal="center" vertical="center" wrapText="1"/>
    </xf>
    <xf numFmtId="0" fontId="105" fillId="22" borderId="159" xfId="18" applyFont="1" applyFill="1" applyBorder="1" applyAlignment="1">
      <alignment horizontal="center" vertical="center" wrapText="1"/>
    </xf>
    <xf numFmtId="0" fontId="105" fillId="17" borderId="135" xfId="18" applyFont="1" applyFill="1" applyBorder="1" applyAlignment="1">
      <alignment horizontal="center" vertical="center" wrapText="1"/>
    </xf>
    <xf numFmtId="49" fontId="105" fillId="17" borderId="103" xfId="18" applyNumberFormat="1" applyFont="1" applyFill="1" applyBorder="1" applyAlignment="1">
      <alignment horizontal="center" vertical="center" wrapText="1"/>
    </xf>
    <xf numFmtId="0" fontId="50" fillId="17" borderId="104" xfId="18" applyFont="1" applyFill="1" applyBorder="1" applyAlignment="1">
      <alignment horizontal="center"/>
    </xf>
    <xf numFmtId="0" fontId="103" fillId="0" borderId="135" xfId="18" applyFont="1" applyFill="1" applyBorder="1" applyAlignment="1" applyProtection="1">
      <alignment horizontal="right"/>
    </xf>
    <xf numFmtId="0" fontId="66" fillId="22" borderId="12" xfId="3" applyNumberFormat="1" applyFont="1" applyFill="1" applyBorder="1" applyAlignment="1">
      <alignment horizontal="left"/>
    </xf>
    <xf numFmtId="0" fontId="55" fillId="0" borderId="12" xfId="3" applyNumberFormat="1" applyFont="1" applyFill="1" applyBorder="1" applyAlignment="1">
      <alignment horizontal="centerContinuous" vertical="center"/>
    </xf>
    <xf numFmtId="0" fontId="55" fillId="0" borderId="3" xfId="3" applyNumberFormat="1" applyFont="1" applyFill="1" applyBorder="1" applyAlignment="1">
      <alignment horizontal="centerContinuous" vertical="center"/>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4"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38" fontId="63" fillId="0" borderId="143" xfId="11" applyNumberFormat="1" applyFont="1" applyFill="1" applyBorder="1" applyAlignment="1" applyProtection="1">
      <alignment horizontal="right"/>
      <protection locked="0"/>
    </xf>
    <xf numFmtId="38" fontId="63" fillId="16" borderId="9" xfId="11" applyNumberFormat="1" applyFont="1" applyFill="1" applyBorder="1" applyAlignment="1" applyProtection="1">
      <alignment horizontal="right"/>
    </xf>
    <xf numFmtId="3" fontId="63" fillId="16" borderId="9" xfId="10" applyNumberFormat="1" applyFont="1" applyFill="1" applyBorder="1" applyAlignment="1" applyProtection="1">
      <alignment vertical="center"/>
    </xf>
    <xf numFmtId="3" fontId="63" fillId="16" borderId="6" xfId="10" applyNumberFormat="1" applyFont="1" applyFill="1" applyBorder="1" applyAlignment="1" applyProtection="1">
      <alignment vertical="center"/>
    </xf>
    <xf numFmtId="38" fontId="63" fillId="16" borderId="9" xfId="10" applyNumberFormat="1" applyFont="1" applyFill="1" applyBorder="1" applyAlignment="1" applyProtection="1">
      <alignment horizontal="right" vertical="center"/>
    </xf>
    <xf numFmtId="38" fontId="63" fillId="16" borderId="0" xfId="10" applyNumberFormat="1" applyFont="1" applyFill="1" applyAlignment="1">
      <alignment vertical="top"/>
    </xf>
    <xf numFmtId="38" fontId="63" fillId="16" borderId="6" xfId="10" applyNumberFormat="1" applyFont="1" applyFill="1" applyBorder="1" applyAlignment="1" applyProtection="1">
      <alignment horizontal="right" vertical="center"/>
    </xf>
    <xf numFmtId="38" fontId="63" fillId="16" borderId="6" xfId="10" applyNumberFormat="1" applyFont="1" applyFill="1" applyBorder="1" applyAlignment="1" applyProtection="1">
      <alignment horizontal="right"/>
    </xf>
    <xf numFmtId="38" fontId="63" fillId="16" borderId="0" xfId="10" applyNumberFormat="1" applyFont="1" applyFill="1" applyAlignment="1">
      <alignment horizontal="right"/>
    </xf>
    <xf numFmtId="38" fontId="63" fillId="16" borderId="9" xfId="10" applyNumberFormat="1" applyFont="1" applyFill="1" applyBorder="1" applyAlignment="1" applyProtection="1">
      <alignment horizontal="right"/>
    </xf>
    <xf numFmtId="38" fontId="63" fillId="16" borderId="6" xfId="10" applyNumberFormat="1" applyFont="1" applyFill="1" applyBorder="1" applyAlignment="1">
      <alignment horizontal="right"/>
    </xf>
    <xf numFmtId="38" fontId="63" fillId="16" borderId="143" xfId="10" applyNumberFormat="1" applyFont="1" applyFill="1" applyBorder="1" applyAlignment="1" applyProtection="1">
      <alignment horizontal="right"/>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65" fillId="0" borderId="0" xfId="11" applyFont="1" applyAlignment="1">
      <alignment horizontal="right" vertical="center"/>
    </xf>
    <xf numFmtId="0" fontId="65" fillId="0" borderId="0" xfId="0" applyFont="1" applyBorder="1" applyAlignment="1" applyProtection="1">
      <alignment horizontal="lef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38" fontId="4" fillId="16" borderId="154" xfId="17" applyNumberFormat="1" applyFont="1" applyFill="1" applyBorder="1" applyAlignment="1" applyProtection="1">
      <alignment horizontal="right" vertical="top"/>
    </xf>
    <xf numFmtId="0" fontId="58" fillId="0" borderId="73" xfId="3" applyNumberFormat="1" applyFont="1" applyBorder="1" applyAlignment="1" applyProtection="1">
      <alignment horizontal="center"/>
      <protection locked="0"/>
    </xf>
    <xf numFmtId="38" fontId="128" fillId="16" borderId="153" xfId="17" applyNumberFormat="1" applyFont="1" applyFill="1" applyBorder="1" applyAlignment="1" applyProtection="1">
      <alignment horizontal="right" vertical="top"/>
    </xf>
    <xf numFmtId="0" fontId="127" fillId="0" borderId="145" xfId="17" applyFont="1" applyFill="1" applyBorder="1" applyAlignment="1">
      <alignment vertical="center"/>
    </xf>
    <xf numFmtId="0" fontId="127" fillId="0" borderId="72" xfId="17" applyFont="1" applyFill="1" applyBorder="1" applyAlignment="1">
      <alignment vertical="center"/>
    </xf>
    <xf numFmtId="0" fontId="127" fillId="0" borderId="146" xfId="17" applyFont="1" applyFill="1" applyBorder="1" applyAlignment="1">
      <alignment vertical="center"/>
    </xf>
    <xf numFmtId="0" fontId="63" fillId="0" borderId="145" xfId="3" applyFont="1" applyBorder="1" applyAlignment="1" applyProtection="1">
      <alignment horizontal="left" vertical="center"/>
      <protection locked="0"/>
    </xf>
    <xf numFmtId="0" fontId="63" fillId="0" borderId="72" xfId="3" applyFont="1" applyBorder="1" applyAlignment="1" applyProtection="1">
      <alignment horizontal="left" vertical="center"/>
      <protection locked="0"/>
    </xf>
    <xf numFmtId="0" fontId="63" fillId="0" borderId="146" xfId="3" applyFont="1" applyBorder="1" applyAlignment="1" applyProtection="1">
      <alignment horizontal="left" vertical="center"/>
      <protection locked="0"/>
    </xf>
    <xf numFmtId="38" fontId="63" fillId="0" borderId="73" xfId="3" applyNumberFormat="1" applyFont="1" applyBorder="1" applyAlignment="1" applyProtection="1">
      <alignment horizontal="right" vertical="center"/>
      <protection locked="0"/>
    </xf>
    <xf numFmtId="0" fontId="56" fillId="0" borderId="142" xfId="3" quotePrefix="1" applyFont="1" applyBorder="1" applyAlignment="1" applyProtection="1">
      <alignment horizontal="center"/>
      <protection locked="0"/>
    </xf>
    <xf numFmtId="0" fontId="14" fillId="26" borderId="0" xfId="19" applyFont="1" applyFill="1"/>
    <xf numFmtId="0" fontId="141" fillId="26" borderId="0" xfId="19" applyFont="1" applyFill="1" applyAlignment="1"/>
    <xf numFmtId="0" fontId="141" fillId="26" borderId="0" xfId="19" applyFont="1" applyFill="1" applyAlignment="1">
      <alignment horizontal="center"/>
    </xf>
    <xf numFmtId="43" fontId="141" fillId="0" borderId="0" xfId="20" applyFont="1" applyAlignment="1"/>
    <xf numFmtId="0" fontId="141" fillId="0" borderId="0" xfId="19" applyFont="1" applyAlignment="1"/>
    <xf numFmtId="0" fontId="14" fillId="26" borderId="0" xfId="19" applyFont="1" applyFill="1" applyBorder="1" applyAlignment="1">
      <alignment horizontal="center"/>
    </xf>
    <xf numFmtId="42" fontId="14" fillId="26" borderId="0" xfId="19" applyNumberFormat="1" applyFont="1" applyFill="1" applyBorder="1" applyAlignment="1">
      <alignment horizontal="center"/>
    </xf>
    <xf numFmtId="43" fontId="141" fillId="26" borderId="0" xfId="20" applyFont="1" applyFill="1" applyBorder="1" applyAlignment="1"/>
    <xf numFmtId="0" fontId="14" fillId="26" borderId="74" xfId="19" applyFont="1" applyFill="1" applyBorder="1" applyAlignment="1">
      <alignment horizontal="center"/>
    </xf>
    <xf numFmtId="42" fontId="14" fillId="26" borderId="74" xfId="19" applyNumberFormat="1" applyFont="1" applyFill="1" applyBorder="1" applyAlignment="1">
      <alignment horizontal="center"/>
    </xf>
    <xf numFmtId="0" fontId="11" fillId="26" borderId="0" xfId="19" applyFont="1" applyFill="1" applyBorder="1"/>
    <xf numFmtId="169" fontId="11" fillId="26" borderId="0" xfId="19" applyNumberFormat="1" applyFont="1" applyFill="1" applyBorder="1" applyAlignment="1">
      <alignment horizontal="center"/>
    </xf>
    <xf numFmtId="42" fontId="11" fillId="26" borderId="0" xfId="19" applyNumberFormat="1" applyFont="1" applyFill="1" applyAlignment="1">
      <alignment horizontal="right"/>
    </xf>
    <xf numFmtId="42" fontId="141" fillId="0" borderId="0" xfId="19" applyNumberFormat="1" applyFont="1" applyAlignment="1"/>
    <xf numFmtId="41" fontId="11" fillId="26" borderId="0" xfId="19" applyNumberFormat="1" applyFont="1" applyFill="1" applyAlignment="1">
      <alignment horizontal="right"/>
    </xf>
    <xf numFmtId="41" fontId="11" fillId="26" borderId="0" xfId="19" applyNumberFormat="1" applyFont="1" applyFill="1"/>
    <xf numFmtId="0" fontId="142" fillId="26" borderId="0" xfId="19" quotePrefix="1" applyFont="1" applyFill="1" applyAlignment="1">
      <alignment horizontal="center"/>
    </xf>
    <xf numFmtId="0" fontId="142" fillId="26" borderId="0" xfId="19" applyFont="1" applyFill="1" applyAlignment="1">
      <alignment horizontal="center"/>
    </xf>
    <xf numFmtId="181" fontId="141" fillId="26" borderId="0" xfId="20" applyNumberFormat="1" applyFont="1" applyFill="1" applyAlignment="1"/>
    <xf numFmtId="0" fontId="11" fillId="26" borderId="0" xfId="19" applyFont="1" applyFill="1" applyBorder="1" applyAlignment="1">
      <alignment horizontal="center"/>
    </xf>
    <xf numFmtId="0" fontId="141" fillId="26" borderId="0" xfId="19" applyFont="1" applyFill="1" applyBorder="1" applyAlignment="1">
      <alignment horizontal="center"/>
    </xf>
    <xf numFmtId="0" fontId="142" fillId="26" borderId="0" xfId="19" applyFont="1" applyFill="1" applyAlignment="1"/>
    <xf numFmtId="42" fontId="14" fillId="26" borderId="161" xfId="19" applyNumberFormat="1" applyFont="1" applyFill="1" applyBorder="1" applyAlignment="1">
      <alignment horizontal="right"/>
    </xf>
    <xf numFmtId="43" fontId="142" fillId="0" borderId="0" xfId="20" applyFont="1" applyAlignment="1"/>
    <xf numFmtId="0" fontId="142" fillId="0" borderId="0" xfId="19" applyFont="1" applyAlignment="1"/>
    <xf numFmtId="42" fontId="141" fillId="26" borderId="0" xfId="19" applyNumberFormat="1" applyFont="1" applyFill="1" applyAlignment="1"/>
    <xf numFmtId="0" fontId="143" fillId="26" borderId="0" xfId="21" applyFont="1" applyFill="1" applyAlignment="1">
      <alignment horizontal="left"/>
    </xf>
    <xf numFmtId="0" fontId="13" fillId="26" borderId="0" xfId="21" applyFont="1" applyFill="1"/>
    <xf numFmtId="0" fontId="13" fillId="26" borderId="0" xfId="21" applyFont="1" applyFill="1" applyAlignment="1">
      <alignment horizontal="center"/>
    </xf>
    <xf numFmtId="42" fontId="13" fillId="26" borderId="0" xfId="21" applyNumberFormat="1" applyFont="1" applyFill="1"/>
    <xf numFmtId="0" fontId="143" fillId="26" borderId="0" xfId="21" applyFont="1" applyFill="1" applyAlignment="1"/>
    <xf numFmtId="42" fontId="144" fillId="26" borderId="0" xfId="21" applyNumberFormat="1" applyFont="1" applyFill="1" applyAlignment="1">
      <alignment horizontal="center"/>
    </xf>
    <xf numFmtId="0" fontId="143" fillId="26" borderId="0" xfId="21" applyFont="1" applyFill="1" applyAlignment="1">
      <alignment horizontal="center"/>
    </xf>
    <xf numFmtId="42" fontId="18" fillId="26" borderId="0" xfId="21" applyNumberFormat="1" applyFont="1" applyFill="1"/>
    <xf numFmtId="42" fontId="143" fillId="26" borderId="0" xfId="21" applyNumberFormat="1" applyFont="1" applyFill="1"/>
    <xf numFmtId="0" fontId="145" fillId="26" borderId="0" xfId="21" applyFont="1" applyFill="1" applyAlignment="1">
      <alignment horizontal="center"/>
    </xf>
    <xf numFmtId="42" fontId="13" fillId="26" borderId="0" xfId="21" applyNumberFormat="1" applyFont="1" applyFill="1" applyAlignment="1">
      <alignment horizontal="center"/>
    </xf>
    <xf numFmtId="42" fontId="13" fillId="26" borderId="0" xfId="21" applyNumberFormat="1" applyFont="1" applyFill="1" applyBorder="1" applyAlignment="1">
      <alignment horizontal="center"/>
    </xf>
    <xf numFmtId="0" fontId="145" fillId="26" borderId="0" xfId="21" applyFont="1" applyFill="1"/>
    <xf numFmtId="0" fontId="13" fillId="26" borderId="0" xfId="21" applyFont="1" applyFill="1" applyBorder="1" applyAlignment="1">
      <alignment horizontal="center"/>
    </xf>
    <xf numFmtId="0" fontId="145" fillId="26" borderId="0" xfId="21" applyFont="1" applyFill="1" applyAlignment="1">
      <alignment horizontal="left"/>
    </xf>
    <xf numFmtId="182" fontId="13" fillId="26" borderId="0" xfId="21" quotePrefix="1" applyNumberFormat="1" applyFont="1" applyFill="1" applyAlignment="1">
      <alignment horizontal="center"/>
    </xf>
    <xf numFmtId="0" fontId="13" fillId="26" borderId="74" xfId="21" applyFont="1" applyFill="1" applyBorder="1" applyAlignment="1">
      <alignment horizontal="center"/>
    </xf>
    <xf numFmtId="0" fontId="13" fillId="26" borderId="74" xfId="21" quotePrefix="1" applyFont="1" applyFill="1" applyBorder="1" applyAlignment="1">
      <alignment horizontal="center"/>
    </xf>
    <xf numFmtId="182" fontId="13" fillId="26" borderId="162" xfId="21" applyNumberFormat="1" applyFont="1" applyFill="1" applyBorder="1" applyAlignment="1">
      <alignment horizontal="center"/>
    </xf>
    <xf numFmtId="0" fontId="146" fillId="26" borderId="0" xfId="21" applyFont="1" applyFill="1" applyAlignment="1">
      <alignment horizontal="center"/>
    </xf>
    <xf numFmtId="182" fontId="13" fillId="26" borderId="0" xfId="21" applyNumberFormat="1" applyFont="1" applyFill="1" applyBorder="1" applyAlignment="1">
      <alignment horizontal="center"/>
    </xf>
    <xf numFmtId="0" fontId="13" fillId="26" borderId="0" xfId="21" applyFont="1" applyFill="1" applyBorder="1"/>
    <xf numFmtId="0" fontId="12" fillId="26" borderId="0" xfId="21" applyFont="1" applyFill="1" applyBorder="1" applyAlignment="1">
      <alignment horizontal="center"/>
    </xf>
    <xf numFmtId="42" fontId="13" fillId="26" borderId="0" xfId="21" applyNumberFormat="1" applyFont="1" applyFill="1" applyBorder="1"/>
    <xf numFmtId="169" fontId="12" fillId="26" borderId="0" xfId="21" applyNumberFormat="1" applyFont="1" applyFill="1" applyBorder="1" applyAlignment="1">
      <alignment horizontal="center"/>
    </xf>
    <xf numFmtId="0" fontId="143" fillId="26" borderId="0" xfId="21" applyFont="1" applyFill="1" applyBorder="1" applyAlignment="1">
      <alignment horizontal="center"/>
    </xf>
    <xf numFmtId="42" fontId="12" fillId="26" borderId="0" xfId="21" applyNumberFormat="1" applyFont="1" applyFill="1" applyBorder="1"/>
    <xf numFmtId="0" fontId="12" fillId="26" borderId="0" xfId="21" applyFont="1" applyFill="1" applyBorder="1"/>
    <xf numFmtId="183" fontId="12" fillId="26" borderId="0" xfId="22" applyNumberFormat="1" applyFont="1" applyFill="1" applyBorder="1"/>
    <xf numFmtId="42" fontId="12" fillId="26" borderId="0" xfId="21" applyNumberFormat="1" applyFont="1" applyFill="1" applyBorder="1" applyAlignment="1">
      <alignment horizontal="right"/>
    </xf>
    <xf numFmtId="41" fontId="12" fillId="26" borderId="0" xfId="21" applyNumberFormat="1" applyFont="1" applyFill="1" applyBorder="1" applyAlignment="1">
      <alignment horizontal="right"/>
    </xf>
    <xf numFmtId="181" fontId="12" fillId="26" borderId="0" xfId="21" applyNumberFormat="1" applyFont="1" applyFill="1" applyBorder="1"/>
    <xf numFmtId="41" fontId="12" fillId="26" borderId="0" xfId="21" applyNumberFormat="1" applyFont="1" applyFill="1" applyBorder="1"/>
    <xf numFmtId="0" fontId="143" fillId="26" borderId="0" xfId="21" applyFont="1" applyFill="1" applyBorder="1"/>
    <xf numFmtId="0" fontId="12" fillId="26" borderId="0" xfId="21" applyFont="1" applyFill="1" applyBorder="1" applyAlignment="1">
      <alignment wrapText="1"/>
    </xf>
    <xf numFmtId="169" fontId="12" fillId="26" borderId="0" xfId="21" applyNumberFormat="1" applyFont="1" applyFill="1" applyBorder="1" applyAlignment="1">
      <alignment horizontal="center" wrapText="1"/>
    </xf>
    <xf numFmtId="0" fontId="12" fillId="26" borderId="0" xfId="21" applyFont="1" applyFill="1" applyBorder="1" applyAlignment="1">
      <alignment horizontal="center" wrapText="1"/>
    </xf>
    <xf numFmtId="42" fontId="13" fillId="26" borderId="0" xfId="21" applyNumberFormat="1" applyFont="1" applyFill="1" applyBorder="1" applyAlignment="1">
      <alignment wrapText="1"/>
    </xf>
    <xf numFmtId="0" fontId="13" fillId="26" borderId="0" xfId="21" applyFont="1" applyFill="1" applyBorder="1" applyAlignment="1">
      <alignment horizontal="left" wrapText="1"/>
    </xf>
    <xf numFmtId="0" fontId="12" fillId="26" borderId="0" xfId="21" applyFont="1" applyFill="1" applyBorder="1" applyAlignment="1">
      <alignment horizontal="left" wrapText="1"/>
    </xf>
    <xf numFmtId="42" fontId="12" fillId="26" borderId="0" xfId="21" applyNumberFormat="1" applyFont="1" applyFill="1" applyBorder="1" applyAlignment="1">
      <alignment wrapText="1"/>
    </xf>
    <xf numFmtId="0" fontId="145" fillId="26" borderId="0" xfId="21" applyFont="1" applyFill="1" applyBorder="1"/>
    <xf numFmtId="42" fontId="143" fillId="26" borderId="0" xfId="21" applyNumberFormat="1" applyFont="1" applyFill="1" applyBorder="1"/>
    <xf numFmtId="42" fontId="12" fillId="26" borderId="0" xfId="21" applyNumberFormat="1" applyFont="1" applyFill="1" applyBorder="1" applyAlignment="1">
      <alignment horizontal="center"/>
    </xf>
    <xf numFmtId="41" fontId="143" fillId="26" borderId="0" xfId="21" applyNumberFormat="1" applyFont="1" applyFill="1" applyBorder="1"/>
    <xf numFmtId="181" fontId="12" fillId="26" borderId="0" xfId="20" applyNumberFormat="1" applyFont="1" applyFill="1" applyBorder="1" applyAlignment="1">
      <alignment horizontal="center"/>
    </xf>
    <xf numFmtId="0" fontId="143" fillId="26" borderId="0" xfId="21" applyFont="1" applyFill="1"/>
    <xf numFmtId="0" fontId="143" fillId="26" borderId="0" xfId="21" applyFont="1" applyFill="1" applyBorder="1" applyAlignment="1">
      <alignment horizontal="left"/>
    </xf>
    <xf numFmtId="0" fontId="147" fillId="26" borderId="0" xfId="23" applyNumberFormat="1" applyFont="1" applyFill="1" applyBorder="1" applyAlignment="1">
      <alignment horizontal="left"/>
    </xf>
    <xf numFmtId="41" fontId="12" fillId="26" borderId="0" xfId="21" applyNumberFormat="1" applyFont="1" applyFill="1" applyBorder="1" applyAlignment="1"/>
    <xf numFmtId="0" fontId="12" fillId="26" borderId="0" xfId="21" applyFont="1" applyFill="1" applyAlignment="1">
      <alignment horizontal="left"/>
    </xf>
    <xf numFmtId="41" fontId="12" fillId="26" borderId="0" xfId="21" applyNumberFormat="1" applyFont="1" applyFill="1" applyBorder="1" applyAlignment="1">
      <alignment horizontal="center"/>
    </xf>
    <xf numFmtId="185" fontId="12" fillId="26" borderId="0" xfId="24" applyNumberFormat="1" applyFont="1" applyFill="1" applyBorder="1" applyAlignment="1">
      <alignment horizontal="left"/>
    </xf>
    <xf numFmtId="0" fontId="143" fillId="26" borderId="0" xfId="21" applyFont="1" applyFill="1" applyBorder="1" applyAlignment="1"/>
    <xf numFmtId="0" fontId="143" fillId="26" borderId="0" xfId="21" applyFont="1" applyFill="1" applyBorder="1" applyAlignment="1">
      <alignment wrapText="1"/>
    </xf>
    <xf numFmtId="44" fontId="13" fillId="26" borderId="0" xfId="21" applyNumberFormat="1" applyFont="1" applyFill="1" applyBorder="1"/>
    <xf numFmtId="183" fontId="12" fillId="26" borderId="0" xfId="22" applyNumberFormat="1" applyFont="1" applyFill="1" applyBorder="1" applyAlignment="1"/>
    <xf numFmtId="186" fontId="143" fillId="26" borderId="0" xfId="21" applyNumberFormat="1" applyFont="1" applyFill="1" applyAlignment="1">
      <alignment horizontal="left"/>
    </xf>
    <xf numFmtId="41" fontId="143" fillId="26" borderId="0" xfId="21" applyNumberFormat="1" applyFont="1" applyFill="1" applyAlignment="1"/>
    <xf numFmtId="0" fontId="12" fillId="26" borderId="0" xfId="21" applyFont="1" applyFill="1" applyBorder="1" applyAlignment="1">
      <alignment horizontal="left" vertical="justify" readingOrder="1"/>
    </xf>
    <xf numFmtId="0" fontId="12" fillId="26" borderId="0" xfId="21" applyFont="1" applyFill="1" applyBorder="1" applyAlignment="1"/>
    <xf numFmtId="183" fontId="13" fillId="26" borderId="0" xfId="22" applyNumberFormat="1" applyFont="1" applyFill="1" applyBorder="1"/>
    <xf numFmtId="0" fontId="13" fillId="26" borderId="0" xfId="21" applyFont="1" applyFill="1" applyBorder="1" applyAlignment="1">
      <alignment horizontal="left"/>
    </xf>
    <xf numFmtId="0" fontId="12" fillId="26" borderId="0" xfId="21" applyFont="1" applyFill="1" applyBorder="1" applyAlignment="1">
      <alignment vertical="top"/>
    </xf>
    <xf numFmtId="0" fontId="12" fillId="26" borderId="0" xfId="21" applyFont="1" applyFill="1"/>
    <xf numFmtId="0" fontId="12" fillId="26" borderId="0" xfId="21" applyFont="1" applyFill="1" applyAlignment="1">
      <alignment horizontal="center"/>
    </xf>
    <xf numFmtId="183" fontId="12" fillId="26" borderId="0" xfId="22" applyNumberFormat="1" applyFont="1" applyFill="1"/>
    <xf numFmtId="0" fontId="13" fillId="26" borderId="163" xfId="21" applyFont="1" applyFill="1" applyBorder="1"/>
    <xf numFmtId="169" fontId="12" fillId="26" borderId="163" xfId="21" applyNumberFormat="1" applyFont="1" applyFill="1" applyBorder="1" applyAlignment="1">
      <alignment horizontal="center"/>
    </xf>
    <xf numFmtId="0" fontId="12" fillId="26" borderId="163" xfId="21" applyFont="1" applyFill="1" applyBorder="1" applyAlignment="1">
      <alignment horizontal="center"/>
    </xf>
    <xf numFmtId="42" fontId="13" fillId="26" borderId="163" xfId="21" applyNumberFormat="1" applyFont="1" applyFill="1" applyBorder="1"/>
    <xf numFmtId="183" fontId="143" fillId="26" borderId="0" xfId="21" applyNumberFormat="1" applyFont="1" applyFill="1"/>
    <xf numFmtId="49" fontId="2" fillId="0" borderId="153" xfId="17" applyNumberFormat="1" applyFont="1" applyBorder="1" applyAlignment="1" applyProtection="1">
      <alignment horizontal="center" vertical="top"/>
      <protection locked="0"/>
    </xf>
    <xf numFmtId="49" fontId="2" fillId="0" borderId="153" xfId="17" applyNumberFormat="1" applyFont="1" applyBorder="1" applyAlignment="1" applyProtection="1">
      <alignment horizontal="center" vertical="center"/>
      <protection locked="0"/>
    </xf>
    <xf numFmtId="0" fontId="2" fillId="0" borderId="153" xfId="17" applyFont="1" applyBorder="1" applyAlignment="1" applyProtection="1">
      <alignment vertical="top"/>
      <protection locked="0"/>
    </xf>
    <xf numFmtId="0" fontId="2" fillId="0" borderId="153" xfId="17" applyFont="1" applyBorder="1" applyAlignment="1" applyProtection="1">
      <alignment horizontal="left" vertical="top" wrapText="1"/>
      <protection locked="0"/>
    </xf>
    <xf numFmtId="0" fontId="1" fillId="0" borderId="153" xfId="17" applyFont="1" applyBorder="1" applyAlignment="1" applyProtection="1">
      <alignment vertical="top"/>
      <protection locked="0"/>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17" xfId="12" applyNumberFormat="1" applyFont="1" applyBorder="1" applyAlignment="1" applyProtection="1">
      <alignment horizontal="left" vertical="center" indent="1"/>
      <protection locked="0"/>
    </xf>
    <xf numFmtId="0" fontId="14" fillId="0" borderId="0"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0" fontId="14" fillId="0" borderId="19" xfId="12" applyNumberFormat="1" applyFont="1" applyBorder="1" applyAlignment="1" applyProtection="1">
      <alignment horizontal="lef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14" fontId="14" fillId="0" borderId="121" xfId="12" applyNumberFormat="1" applyFont="1" applyBorder="1" applyAlignment="1" applyProtection="1">
      <alignment horizontal="left" vertical="center" indent="1"/>
      <protection locked="0"/>
    </xf>
    <xf numFmtId="0" fontId="14" fillId="0" borderId="124" xfId="12" applyNumberFormat="1" applyFont="1" applyBorder="1" applyAlignment="1" applyProtection="1">
      <alignment horizontal="left" vertical="center" indent="1"/>
      <protection locked="0"/>
    </xf>
    <xf numFmtId="0" fontId="14" fillId="0" borderId="122" xfId="12" applyNumberFormat="1" applyFont="1" applyBorder="1" applyAlignment="1" applyProtection="1">
      <alignment horizontal="left" vertical="center" indent="1"/>
      <protection locked="0"/>
    </xf>
    <xf numFmtId="180" fontId="14" fillId="0" borderId="121" xfId="12" applyNumberFormat="1" applyFont="1" applyBorder="1" applyAlignment="1" applyProtection="1">
      <alignment horizontal="left" vertical="center" indent="1"/>
      <protection locked="0"/>
    </xf>
    <xf numFmtId="180" fontId="14" fillId="0" borderId="124" xfId="12" applyNumberFormat="1" applyFont="1" applyBorder="1" applyAlignment="1" applyProtection="1">
      <alignment horizontal="left" vertical="center" indent="1"/>
      <protection locked="0"/>
    </xf>
    <xf numFmtId="180" fontId="14" fillId="0" borderId="122"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2" xfId="12" applyFont="1" applyBorder="1" applyAlignment="1" applyProtection="1">
      <alignment horizontal="left" vertical="center" indent="1"/>
      <protection locked="0"/>
    </xf>
    <xf numFmtId="0" fontId="14" fillId="0" borderId="122"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4"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4" fillId="0" borderId="0" xfId="0" applyNumberFormat="1" applyFont="1" applyBorder="1" applyAlignment="1" applyProtection="1">
      <alignment horizontal="left" vertical="center" indent="1"/>
      <protection locked="0"/>
    </xf>
    <xf numFmtId="0" fontId="14" fillId="0" borderId="18" xfId="0" applyFont="1" applyBorder="1" applyAlignment="1" applyProtection="1">
      <alignment horizontal="left" vertical="center" indent="1"/>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49" fontId="14" fillId="0" borderId="0" xfId="12" applyNumberFormat="1" applyFont="1" applyBorder="1" applyAlignment="1" applyProtection="1">
      <alignment horizontal="center" vertical="center"/>
    </xf>
    <xf numFmtId="0" fontId="15" fillId="0" borderId="19" xfId="12" applyFont="1" applyBorder="1" applyAlignment="1" applyProtection="1">
      <alignment vertical="center"/>
    </xf>
    <xf numFmtId="0" fontId="15"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4" fillId="0" borderId="19" xfId="12"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35" fillId="0" borderId="17" xfId="12" applyNumberFormat="1" applyFont="1" applyBorder="1" applyAlignment="1" applyProtection="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0" fontId="136" fillId="0" borderId="0" xfId="12" applyFont="1" applyBorder="1" applyAlignment="1" applyProtection="1">
      <alignment horizontal="center" vertical="center" wrapText="1"/>
    </xf>
    <xf numFmtId="0" fontId="136" fillId="0" borderId="18" xfId="12" applyFont="1" applyBorder="1" applyAlignment="1" applyProtection="1">
      <alignment horizontal="center" vertical="center" wrapText="1"/>
    </xf>
    <xf numFmtId="0" fontId="136" fillId="0" borderId="124" xfId="12" applyFont="1" applyBorder="1" applyAlignment="1" applyProtection="1">
      <alignment horizontal="center" vertical="center" wrapText="1"/>
    </xf>
    <xf numFmtId="0" fontId="136" fillId="0" borderId="122" xfId="12" applyFont="1" applyBorder="1" applyAlignment="1" applyProtection="1">
      <alignment horizontal="center" vertical="center" wrapText="1"/>
    </xf>
    <xf numFmtId="0" fontId="55" fillId="0" borderId="0" xfId="0" applyFont="1" applyBorder="1" applyAlignment="1">
      <alignment horizontal="center" vertical="center"/>
    </xf>
    <xf numFmtId="0" fontId="55" fillId="0" borderId="0" xfId="0" applyFont="1" applyBorder="1" applyAlignment="1">
      <alignment horizontal="center"/>
    </xf>
    <xf numFmtId="0" fontId="59" fillId="0" borderId="0" xfId="2" applyFont="1"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1" xfId="3" applyFont="1" applyBorder="1" applyAlignment="1" applyProtection="1">
      <alignment horizontal="left" vertical="top"/>
      <protection locked="0"/>
    </xf>
    <xf numFmtId="0" fontId="56" fillId="0" borderId="124" xfId="3" applyFont="1" applyBorder="1" applyAlignment="1" applyProtection="1">
      <alignment horizontal="left" vertical="top"/>
      <protection locked="0"/>
    </xf>
    <xf numFmtId="0" fontId="56" fillId="0" borderId="122" xfId="3" applyFont="1" applyBorder="1" applyAlignment="1" applyProtection="1">
      <alignment horizontal="left" vertical="top"/>
      <protection locked="0"/>
    </xf>
    <xf numFmtId="0" fontId="55" fillId="0" borderId="130"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0"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1" xfId="0" applyFont="1" applyBorder="1" applyAlignment="1" applyProtection="1">
      <alignment horizontal="left" vertical="top" wrapText="1"/>
      <protection locked="0"/>
    </xf>
    <xf numFmtId="0" fontId="56" fillId="0" borderId="124" xfId="0" applyFont="1" applyBorder="1" applyAlignment="1" applyProtection="1">
      <alignment horizontal="left" vertical="top" wrapText="1"/>
      <protection locked="0"/>
    </xf>
    <xf numFmtId="0" fontId="56" fillId="0" borderId="122" xfId="0" applyFont="1" applyBorder="1" applyAlignment="1" applyProtection="1">
      <alignment horizontal="left" vertical="top" wrapText="1"/>
      <protection locked="0"/>
    </xf>
    <xf numFmtId="0" fontId="61" fillId="0" borderId="0" xfId="0" applyFont="1" applyBorder="1" applyAlignment="1" applyProtection="1">
      <alignment horizontal="center" vertical="center"/>
    </xf>
    <xf numFmtId="38" fontId="55" fillId="0" borderId="75" xfId="0" applyNumberFormat="1" applyFont="1" applyBorder="1" applyAlignment="1" applyProtection="1">
      <alignment horizontal="left" vertical="top" wrapText="1"/>
      <protection locked="0"/>
    </xf>
    <xf numFmtId="0" fontId="55" fillId="0" borderId="76" xfId="0" applyFont="1" applyBorder="1" applyAlignment="1" applyProtection="1">
      <alignment wrapText="1"/>
      <protection locked="0"/>
    </xf>
    <xf numFmtId="0" fontId="55" fillId="0" borderId="77" xfId="0" applyFont="1" applyBorder="1" applyAlignment="1" applyProtection="1">
      <alignment wrapText="1"/>
      <protection locked="0"/>
    </xf>
    <xf numFmtId="0" fontId="55" fillId="0" borderId="78" xfId="0" applyFont="1" applyBorder="1" applyAlignment="1" applyProtection="1">
      <alignment wrapText="1"/>
      <protection locked="0"/>
    </xf>
    <xf numFmtId="0" fontId="55" fillId="0" borderId="0" xfId="0" applyFont="1" applyAlignment="1" applyProtection="1">
      <alignment wrapText="1"/>
      <protection locked="0"/>
    </xf>
    <xf numFmtId="0" fontId="55" fillId="0" borderId="79" xfId="0" applyFont="1" applyBorder="1" applyAlignment="1" applyProtection="1">
      <alignment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2"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xf>
    <xf numFmtId="0" fontId="65"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2"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3" xfId="0" applyFont="1" applyFill="1" applyBorder="1" applyAlignment="1">
      <alignment horizontal="center" vertical="center"/>
    </xf>
    <xf numFmtId="0" fontId="58" fillId="22" borderId="127"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15" borderId="10" xfId="0" applyNumberFormat="1" applyFont="1" applyFill="1" applyBorder="1" applyAlignment="1" applyProtection="1">
      <alignment horizontal="center" vertical="center" wrapText="1"/>
    </xf>
    <xf numFmtId="3" fontId="65" fillId="15" borderId="122" xfId="0" applyNumberFormat="1" applyFont="1" applyFill="1" applyBorder="1" applyAlignment="1" applyProtection="1">
      <alignment horizontal="center" vertical="center" wrapText="1"/>
    </xf>
    <xf numFmtId="0" fontId="65" fillId="6" borderId="13" xfId="0"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6" fillId="12" borderId="13" xfId="0" applyNumberFormat="1" applyFont="1" applyFill="1" applyBorder="1" applyAlignment="1" applyProtection="1">
      <alignment horizontal="center" vertical="center"/>
    </xf>
    <xf numFmtId="0" fontId="58" fillId="12" borderId="14" xfId="0" applyFont="1" applyFill="1" applyBorder="1" applyAlignment="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66" fillId="12" borderId="13" xfId="9" applyFont="1" applyFill="1" applyBorder="1" applyAlignment="1">
      <alignment horizontal="center" vertical="center"/>
    </xf>
    <xf numFmtId="0" fontId="63" fillId="0" borderId="6" xfId="0" applyFont="1" applyBorder="1" applyAlignment="1" applyProtection="1">
      <alignment horizontal="left" vertical="center" wrapText="1"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Border="1" applyAlignment="1" applyProtection="1">
      <alignment horizontal="left" vertical="center" wrapText="1"/>
    </xf>
    <xf numFmtId="0" fontId="65" fillId="0" borderId="6" xfId="0" applyFont="1" applyBorder="1" applyAlignment="1" applyProtection="1">
      <alignment horizontal="left" vertical="center" wrapText="1"/>
    </xf>
    <xf numFmtId="0" fontId="58" fillId="0" borderId="6" xfId="0" applyFont="1" applyBorder="1" applyAlignment="1">
      <alignment wrapText="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3" xfId="0" applyFont="1" applyFill="1" applyBorder="1" applyAlignment="1" applyProtection="1">
      <alignment horizontal="left" vertical="center" wrapText="1"/>
    </xf>
    <xf numFmtId="0" fontId="65" fillId="6" borderId="84" xfId="0" applyFont="1" applyFill="1" applyBorder="1" applyAlignment="1" applyProtection="1">
      <alignment horizontal="left" vertical="center" wrapText="1"/>
    </xf>
    <xf numFmtId="0" fontId="58" fillId="0" borderId="84" xfId="0" applyFont="1" applyBorder="1" applyAlignment="1">
      <alignment wrapTex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3" xfId="0" applyFont="1" applyFill="1" applyBorder="1" applyAlignment="1" applyProtection="1">
      <alignment horizontal="left" vertical="center" indent="1"/>
    </xf>
    <xf numFmtId="0" fontId="65" fillId="16" borderId="142" xfId="0" applyFont="1" applyFill="1" applyBorder="1" applyAlignment="1" applyProtection="1">
      <alignment horizontal="left" vertical="center" indent="1"/>
    </xf>
    <xf numFmtId="0" fontId="65" fillId="3" borderId="143" xfId="0" applyFont="1" applyFill="1" applyBorder="1" applyAlignment="1" applyProtection="1">
      <alignment horizontal="left" vertical="center"/>
    </xf>
    <xf numFmtId="0" fontId="65" fillId="3" borderId="144" xfId="0"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3" xfId="0" applyFont="1" applyBorder="1" applyAlignment="1" applyProtection="1">
      <alignment horizontal="left" vertical="center" wrapText="1" indent="1"/>
    </xf>
    <xf numFmtId="0" fontId="63" fillId="0" borderId="144" xfId="0" applyFont="1" applyBorder="1" applyAlignment="1" applyProtection="1">
      <alignment horizontal="left" vertical="center" wrapText="1" indent="1"/>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2" xfId="0" applyFont="1" applyFill="1" applyBorder="1" applyAlignment="1" applyProtection="1">
      <alignment horizontal="left" vertical="center" indent="1"/>
    </xf>
    <xf numFmtId="0" fontId="66" fillId="22" borderId="143" xfId="0" applyFont="1" applyFill="1" applyBorder="1" applyAlignment="1" applyProtection="1">
      <alignment horizontal="left" vertical="center" indent="1"/>
    </xf>
    <xf numFmtId="0" fontId="66" fillId="22" borderId="144" xfId="0" applyFont="1" applyFill="1" applyBorder="1" applyAlignment="1" applyProtection="1">
      <alignment horizontal="left" vertical="center" indent="1"/>
    </xf>
    <xf numFmtId="0" fontId="69" fillId="6" borderId="85" xfId="10" applyFont="1" applyFill="1" applyBorder="1" applyAlignment="1">
      <alignment horizontal="center" vertical="center"/>
    </xf>
    <xf numFmtId="0" fontId="99" fillId="0" borderId="86" xfId="0" applyFont="1" applyBorder="1" applyAlignment="1">
      <alignment horizontal="center" vertical="center"/>
    </xf>
    <xf numFmtId="0" fontId="99" fillId="0" borderId="87" xfId="0" applyFont="1" applyBorder="1" applyAlignment="1">
      <alignment horizontal="center" vertical="center"/>
    </xf>
    <xf numFmtId="0" fontId="66" fillId="22" borderId="88" xfId="10" applyFont="1" applyFill="1" applyBorder="1" applyAlignment="1">
      <alignment horizontal="center" vertical="center" wrapText="1"/>
    </xf>
    <xf numFmtId="0" fontId="66" fillId="22" borderId="25" xfId="0" applyFont="1" applyFill="1" applyBorder="1" applyAlignment="1">
      <alignment horizontal="center" vertical="center" wrapText="1"/>
    </xf>
    <xf numFmtId="0" fontId="66" fillId="22" borderId="89" xfId="0" applyFont="1" applyFill="1" applyBorder="1" applyAlignment="1">
      <alignment horizontal="center" vertical="center" wrapText="1"/>
    </xf>
    <xf numFmtId="0" fontId="131" fillId="22" borderId="90"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1" xfId="0" applyFont="1" applyFill="1" applyBorder="1" applyAlignment="1">
      <alignment horizontal="center" vertical="center"/>
    </xf>
    <xf numFmtId="0" fontId="81" fillId="0" borderId="70" xfId="10" applyFont="1" applyBorder="1" applyAlignment="1">
      <alignment horizontal="center"/>
    </xf>
    <xf numFmtId="0" fontId="58" fillId="0" borderId="70" xfId="0" applyFont="1" applyBorder="1" applyAlignment="1">
      <alignment horizontal="center"/>
    </xf>
    <xf numFmtId="0" fontId="128" fillId="0" borderId="92" xfId="17" applyFont="1" applyBorder="1" applyAlignment="1">
      <alignment horizontal="left" vertical="top" wrapText="1"/>
    </xf>
    <xf numFmtId="0" fontId="128" fillId="0" borderId="0" xfId="17" applyFont="1" applyBorder="1" applyAlignment="1">
      <alignment horizontal="left" vertical="top" wrapText="1"/>
    </xf>
    <xf numFmtId="0" fontId="128" fillId="0" borderId="93" xfId="17" applyFont="1" applyBorder="1" applyAlignment="1">
      <alignment horizontal="left" vertical="top" wrapText="1"/>
    </xf>
    <xf numFmtId="0" fontId="127" fillId="22" borderId="136" xfId="17" applyFont="1" applyFill="1" applyBorder="1" applyAlignment="1">
      <alignment horizontal="center" vertical="center"/>
    </xf>
    <xf numFmtId="0" fontId="127" fillId="22" borderId="137" xfId="17" applyFont="1" applyFill="1" applyBorder="1" applyAlignment="1">
      <alignment horizontal="center" vertical="center"/>
    </xf>
    <xf numFmtId="0" fontId="127" fillId="22" borderId="138" xfId="17" applyFont="1" applyFill="1" applyBorder="1" applyAlignment="1">
      <alignment horizontal="center" vertical="center"/>
    </xf>
    <xf numFmtId="0" fontId="127" fillId="22" borderId="94" xfId="17" applyFont="1" applyFill="1" applyBorder="1" applyAlignment="1">
      <alignment horizontal="center" vertical="center"/>
    </xf>
    <xf numFmtId="0" fontId="127" fillId="22" borderId="74" xfId="17" applyFont="1" applyFill="1" applyBorder="1" applyAlignment="1">
      <alignment horizontal="center" vertical="center"/>
    </xf>
    <xf numFmtId="0" fontId="127" fillId="22" borderId="95" xfId="17" applyFont="1" applyFill="1" applyBorder="1" applyAlignment="1">
      <alignment horizontal="center" vertical="center"/>
    </xf>
    <xf numFmtId="0" fontId="128" fillId="0" borderId="92" xfId="17" applyFont="1" applyBorder="1" applyAlignment="1">
      <alignment vertical="top" wrapText="1"/>
    </xf>
    <xf numFmtId="0" fontId="128" fillId="0" borderId="0" xfId="17" applyFont="1" applyBorder="1" applyAlignment="1">
      <alignment vertical="top" wrapText="1"/>
    </xf>
    <xf numFmtId="0" fontId="128" fillId="0" borderId="93" xfId="17" applyFont="1" applyBorder="1" applyAlignment="1">
      <alignment vertical="top" wrapText="1"/>
    </xf>
    <xf numFmtId="0" fontId="128" fillId="0" borderId="92" xfId="17" applyFont="1" applyBorder="1" applyAlignment="1">
      <alignment vertical="top"/>
    </xf>
    <xf numFmtId="0" fontId="128" fillId="0" borderId="0" xfId="17" applyFont="1" applyBorder="1" applyAlignment="1">
      <alignment vertical="top"/>
    </xf>
    <xf numFmtId="0" fontId="128" fillId="0" borderId="93" xfId="17"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xf>
    <xf numFmtId="0" fontId="58" fillId="19" borderId="21" xfId="0" applyFont="1" applyFill="1" applyBorder="1" applyAlignment="1">
      <alignment horizontal="left" vertical="center" wrapText="1" indent="1"/>
    </xf>
    <xf numFmtId="0" fontId="58" fillId="19" borderId="14" xfId="0" applyFont="1" applyFill="1" applyBorder="1" applyAlignment="1">
      <alignment horizontal="left" vertical="center" wrapText="1" indent="1"/>
    </xf>
    <xf numFmtId="0" fontId="5" fillId="0" borderId="92"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3"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3"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4" xfId="18" applyNumberFormat="1" applyFont="1" applyBorder="1" applyAlignment="1">
      <alignment horizontal="center" vertical="center" wrapText="1"/>
    </xf>
    <xf numFmtId="0" fontId="5" fillId="0" borderId="137" xfId="18" applyFont="1" applyBorder="1" applyAlignment="1" applyProtection="1">
      <alignment horizontal="center" vertical="top" wrapText="1"/>
      <protection locked="0"/>
    </xf>
    <xf numFmtId="0" fontId="5" fillId="0" borderId="138" xfId="18" applyFont="1" applyBorder="1" applyAlignment="1" applyProtection="1">
      <alignment horizontal="center" vertical="top" wrapText="1"/>
      <protection locked="0"/>
    </xf>
    <xf numFmtId="0" fontId="50" fillId="0" borderId="94" xfId="18" applyFont="1" applyBorder="1" applyAlignment="1" applyProtection="1">
      <alignment vertical="top" wrapText="1"/>
      <protection locked="0"/>
    </xf>
    <xf numFmtId="0" fontId="50" fillId="0" borderId="74" xfId="18" applyFont="1" applyBorder="1" applyAlignment="1" applyProtection="1">
      <alignment vertical="top" wrapText="1"/>
      <protection locked="0"/>
    </xf>
    <xf numFmtId="0" fontId="50" fillId="0" borderId="95" xfId="18" applyFont="1" applyBorder="1" applyAlignment="1" applyProtection="1">
      <alignment vertical="top" wrapText="1"/>
      <protection locked="0"/>
    </xf>
    <xf numFmtId="0" fontId="5" fillId="0" borderId="94" xfId="18" applyFont="1" applyBorder="1" applyAlignment="1" applyProtection="1">
      <alignment vertical="top" wrapText="1"/>
      <protection locked="0"/>
    </xf>
    <xf numFmtId="0" fontId="5" fillId="0" borderId="74" xfId="18" applyFont="1" applyBorder="1" applyAlignment="1" applyProtection="1">
      <alignment vertical="top" wrapText="1"/>
      <protection locked="0"/>
    </xf>
    <xf numFmtId="0" fontId="5" fillId="0" borderId="95" xfId="18" applyFont="1" applyBorder="1" applyAlignment="1" applyProtection="1">
      <alignment vertical="top" wrapText="1"/>
      <protection locked="0"/>
    </xf>
    <xf numFmtId="0" fontId="50" fillId="0" borderId="137" xfId="18" applyFont="1" applyBorder="1" applyAlignment="1" applyProtection="1">
      <alignment horizontal="center" vertical="top" wrapText="1"/>
      <protection locked="0"/>
    </xf>
    <xf numFmtId="0" fontId="50" fillId="0" borderId="138" xfId="18" applyFont="1" applyBorder="1" applyAlignment="1" applyProtection="1">
      <alignment horizontal="center" vertical="top" wrapText="1"/>
      <protection locked="0"/>
    </xf>
    <xf numFmtId="0" fontId="50" fillId="0" borderId="92"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3" xfId="18" applyFont="1" applyBorder="1" applyAlignment="1" applyProtection="1">
      <alignment vertical="top" wrapText="1"/>
      <protection locked="0"/>
    </xf>
    <xf numFmtId="0" fontId="63" fillId="0" borderId="5" xfId="3" quotePrefix="1" applyNumberFormat="1" applyFont="1" applyBorder="1" applyAlignment="1">
      <alignment horizontal="left" vertical="top" wrapText="1" indent="2"/>
    </xf>
    <xf numFmtId="0" fontId="63" fillId="0" borderId="0" xfId="3" quotePrefix="1" applyNumberFormat="1" applyFont="1" applyBorder="1" applyAlignment="1">
      <alignment horizontal="left" vertical="top" wrapText="1" indent="2"/>
    </xf>
    <xf numFmtId="0" fontId="63" fillId="0" borderId="0" xfId="3" applyNumberFormat="1" applyFont="1" applyBorder="1" applyAlignment="1">
      <alignment horizontal="left" vertical="top" wrapText="1" indent="2"/>
    </xf>
    <xf numFmtId="0" fontId="58" fillId="0" borderId="0" xfId="3" applyFont="1" applyAlignment="1">
      <alignment horizontal="left" vertical="top" wrapText="1" indent="2"/>
    </xf>
    <xf numFmtId="0" fontId="63" fillId="0" borderId="0" xfId="3" applyNumberFormat="1" applyFont="1" applyAlignment="1">
      <alignment horizontal="left" vertical="top" wrapText="1" indent="2"/>
    </xf>
    <xf numFmtId="0" fontId="56" fillId="0" borderId="20" xfId="3" applyNumberFormat="1" applyFont="1" applyBorder="1" applyAlignment="1">
      <alignment horizontal="left" vertical="center" indent="1"/>
    </xf>
    <xf numFmtId="0" fontId="56" fillId="0" borderId="20" xfId="3" applyNumberFormat="1" applyFont="1" applyBorder="1" applyAlignment="1">
      <alignment horizontal="left" vertical="center"/>
    </xf>
    <xf numFmtId="0" fontId="56" fillId="22" borderId="17" xfId="3" applyNumberFormat="1" applyFont="1" applyFill="1" applyBorder="1" applyAlignment="1">
      <alignment horizontal="left" vertical="top" wrapText="1"/>
    </xf>
    <xf numFmtId="0" fontId="56" fillId="22" borderId="0" xfId="3" applyFont="1" applyFill="1" applyBorder="1" applyAlignment="1">
      <alignment vertical="top"/>
    </xf>
    <xf numFmtId="0" fontId="56" fillId="22" borderId="18" xfId="3" applyFont="1" applyFill="1" applyBorder="1" applyAlignment="1">
      <alignment vertical="top"/>
    </xf>
    <xf numFmtId="166" fontId="56" fillId="0" borderId="21" xfId="3" applyNumberFormat="1" applyFont="1" applyBorder="1" applyAlignment="1">
      <alignment horizontal="left" vertical="center" indent="1"/>
    </xf>
    <xf numFmtId="0" fontId="65" fillId="0" borderId="19" xfId="3" applyNumberFormat="1" applyFont="1" applyBorder="1" applyAlignment="1">
      <alignment horizontal="center" vertical="center"/>
    </xf>
    <xf numFmtId="0" fontId="58" fillId="0" borderId="20" xfId="3" applyFont="1" applyBorder="1" applyAlignment="1">
      <alignment horizontal="center" vertical="center"/>
    </xf>
    <xf numFmtId="0" fontId="58" fillId="0" borderId="11" xfId="3" applyFont="1" applyBorder="1" applyAlignment="1">
      <alignment horizontal="center" vertical="center"/>
    </xf>
    <xf numFmtId="0" fontId="63"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5" fillId="0" borderId="21" xfId="3" applyNumberFormat="1" applyFont="1" applyBorder="1" applyAlignment="1">
      <alignment vertical="center"/>
    </xf>
    <xf numFmtId="0" fontId="65" fillId="0" borderId="14" xfId="3" applyNumberFormat="1" applyFont="1" applyBorder="1" applyAlignment="1">
      <alignment vertical="center"/>
    </xf>
    <xf numFmtId="0" fontId="74" fillId="0" borderId="129" xfId="3" applyFont="1" applyBorder="1" applyAlignment="1">
      <alignment horizontal="center" vertical="center" wrapText="1"/>
    </xf>
    <xf numFmtId="0" fontId="74" fillId="0" borderId="129" xfId="3" applyNumberFormat="1" applyFont="1" applyBorder="1" applyAlignment="1">
      <alignment horizontal="center"/>
    </xf>
    <xf numFmtId="0" fontId="58" fillId="0" borderId="130" xfId="3" applyNumberFormat="1" applyFont="1" applyBorder="1" applyAlignment="1" applyProtection="1">
      <alignment horizontal="center"/>
      <protection locked="0"/>
    </xf>
    <xf numFmtId="171" fontId="58" fillId="0" borderId="130" xfId="3" applyNumberFormat="1" applyFont="1" applyBorder="1" applyAlignment="1" applyProtection="1">
      <alignment horizontal="center"/>
      <protection locked="0"/>
    </xf>
    <xf numFmtId="0" fontId="58" fillId="0" borderId="130" xfId="3" applyNumberFormat="1" applyFont="1" applyBorder="1" applyAlignment="1" applyProtection="1">
      <alignment horizontal="center" vertical="center"/>
      <protection locked="0"/>
    </xf>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08"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09" xfId="3" applyFont="1" applyBorder="1" applyAlignment="1">
      <alignment horizontal="center" vertical="center" wrapText="1"/>
    </xf>
    <xf numFmtId="0" fontId="110" fillId="0" borderId="110" xfId="3" applyFont="1" applyBorder="1" applyAlignment="1">
      <alignment horizontal="center" vertical="center" wrapText="1"/>
    </xf>
    <xf numFmtId="0" fontId="110" fillId="0" borderId="111" xfId="3" applyFont="1" applyBorder="1" applyAlignment="1">
      <alignment horizontal="center" vertical="center" wrapText="1"/>
    </xf>
    <xf numFmtId="0" fontId="110" fillId="0" borderId="112" xfId="3" applyFont="1" applyBorder="1" applyAlignment="1">
      <alignment horizontal="center" vertical="center" wrapText="1"/>
    </xf>
    <xf numFmtId="0" fontId="111" fillId="0" borderId="13" xfId="3" applyNumberFormat="1" applyFont="1" applyBorder="1" applyAlignment="1">
      <alignment vertical="top" wrapText="1"/>
    </xf>
    <xf numFmtId="0" fontId="111" fillId="0" borderId="21" xfId="3" applyNumberFormat="1" applyFont="1" applyBorder="1" applyAlignment="1">
      <alignment vertical="top" wrapText="1"/>
    </xf>
    <xf numFmtId="0" fontId="111" fillId="0" borderId="14" xfId="3" applyNumberFormat="1" applyFont="1" applyBorder="1" applyAlignment="1">
      <alignment vertical="top" wrapText="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Border="1" applyAlignment="1">
      <alignment vertical="top"/>
    </xf>
    <xf numFmtId="0" fontId="84" fillId="0" borderId="0" xfId="3" applyFont="1" applyBorder="1" applyAlignment="1">
      <alignment vertical="top"/>
    </xf>
    <xf numFmtId="0" fontId="84" fillId="0" borderId="40" xfId="3" applyFont="1" applyBorder="1" applyAlignment="1">
      <alignment vertical="top"/>
    </xf>
    <xf numFmtId="0" fontId="84" fillId="0" borderId="50" xfId="3" applyFont="1" applyBorder="1" applyAlignment="1">
      <alignment vertical="top"/>
    </xf>
    <xf numFmtId="0" fontId="84" fillId="0" borderId="9" xfId="3" applyFont="1" applyBorder="1" applyAlignment="1">
      <alignment vertical="top"/>
    </xf>
    <xf numFmtId="0" fontId="84" fillId="0" borderId="59" xfId="3" applyFont="1" applyBorder="1" applyAlignment="1">
      <alignment vertical="top"/>
    </xf>
    <xf numFmtId="0" fontId="113" fillId="12" borderId="121" xfId="0" applyFont="1" applyFill="1" applyBorder="1" applyAlignment="1">
      <alignment horizontal="center" vertical="center"/>
    </xf>
    <xf numFmtId="0" fontId="113" fillId="12" borderId="124" xfId="0" applyFont="1" applyFill="1" applyBorder="1" applyAlignment="1">
      <alignment horizontal="center" vertical="center"/>
    </xf>
    <xf numFmtId="0" fontId="113" fillId="12" borderId="149"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1" xfId="0" applyNumberFormat="1" applyFont="1" applyFill="1" applyBorder="1" applyAlignment="1">
      <alignment horizontal="center" vertical="top"/>
    </xf>
    <xf numFmtId="164" fontId="114" fillId="12" borderId="124" xfId="0" applyNumberFormat="1" applyFont="1" applyFill="1" applyBorder="1" applyAlignment="1">
      <alignment horizontal="center" vertical="top"/>
    </xf>
    <xf numFmtId="164" fontId="114" fillId="12" borderId="149"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4" xfId="0" applyNumberFormat="1" applyFont="1" applyBorder="1" applyAlignment="1">
      <alignment horizontal="left" vertical="center" wrapText="1"/>
    </xf>
    <xf numFmtId="0" fontId="58" fillId="0" borderId="122"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0" xfId="3" applyNumberFormat="1" applyFont="1" applyAlignment="1" applyProtection="1">
      <alignment horizontal="center" vertical="center"/>
    </xf>
    <xf numFmtId="0" fontId="56" fillId="0" borderId="142" xfId="3" applyNumberFormat="1" applyFont="1" applyBorder="1" applyProtection="1"/>
    <xf numFmtId="0" fontId="56" fillId="0" borderId="143"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5" xfId="3" applyNumberFormat="1" applyFont="1" applyBorder="1" applyAlignment="1" applyProtection="1">
      <alignment horizontal="left"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3" xfId="3" applyNumberFormat="1" applyFont="1" applyBorder="1" applyAlignment="1" applyProtection="1">
      <alignment horizontal="left" indent="1"/>
      <protection locked="0"/>
    </xf>
    <xf numFmtId="0" fontId="66" fillId="0" borderId="143" xfId="3" applyFont="1" applyBorder="1" applyAlignment="1" applyProtection="1">
      <alignment horizontal="left" indent="1"/>
      <protection locked="0"/>
    </xf>
    <xf numFmtId="0" fontId="66" fillId="0" borderId="144" xfId="3" applyFont="1" applyBorder="1" applyAlignment="1" applyProtection="1">
      <alignment horizontal="left" indent="1"/>
      <protection locked="0"/>
    </xf>
    <xf numFmtId="0" fontId="58" fillId="0" borderId="0" xfId="3" applyFont="1" applyAlignment="1">
      <alignment horizontal="center" vertical="center"/>
    </xf>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55"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42" fontId="13" fillId="26" borderId="145" xfId="21" applyNumberFormat="1" applyFont="1" applyFill="1" applyBorder="1" applyAlignment="1">
      <alignment horizontal="center"/>
    </xf>
    <xf numFmtId="42" fontId="13" fillId="26" borderId="146" xfId="21" applyNumberFormat="1" applyFont="1" applyFill="1" applyBorder="1" applyAlignment="1">
      <alignment horizontal="center"/>
    </xf>
    <xf numFmtId="42" fontId="13" fillId="26" borderId="72" xfId="21" applyNumberFormat="1" applyFont="1" applyFill="1" applyBorder="1" applyAlignment="1">
      <alignment horizontal="center"/>
    </xf>
    <xf numFmtId="0" fontId="63" fillId="0" borderId="0" xfId="3" applyFont="1" applyAlignment="1" applyProtection="1">
      <alignment horizontal="left" vertical="center" wrapText="1"/>
    </xf>
    <xf numFmtId="3" fontId="56" fillId="0" borderId="73" xfId="3" applyNumberFormat="1" applyFont="1" applyBorder="1" applyAlignment="1" applyProtection="1">
      <alignment horizontal="right" indent="1"/>
      <protection locked="0"/>
    </xf>
    <xf numFmtId="0" fontId="56" fillId="0" borderId="0" xfId="3" applyFont="1" applyBorder="1" applyAlignment="1" applyProtection="1">
      <alignment vertical="center" wrapText="1"/>
      <protection locked="0"/>
    </xf>
    <xf numFmtId="5" fontId="66" fillId="0" borderId="145" xfId="3" applyNumberFormat="1" applyFont="1" applyBorder="1" applyAlignment="1" applyProtection="1">
      <protection locked="0"/>
    </xf>
    <xf numFmtId="0" fontId="66" fillId="0" borderId="146" xfId="3" applyFont="1" applyBorder="1" applyAlignment="1" applyProtection="1">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55" fillId="0" borderId="74" xfId="3" applyFont="1" applyBorder="1" applyAlignment="1" applyProtection="1">
      <alignment horizont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165" fontId="66" fillId="0" borderId="0" xfId="3" applyNumberFormat="1" applyFont="1" applyAlignment="1" applyProtection="1">
      <alignment horizontal="center" vertic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0" fontId="65" fillId="0" borderId="145" xfId="3" applyFont="1" applyBorder="1" applyAlignment="1" applyProtection="1">
      <alignment horizontal="center" vertical="center"/>
      <protection locked="0"/>
    </xf>
    <xf numFmtId="0" fontId="65" fillId="0" borderId="72" xfId="3" applyFont="1" applyBorder="1" applyAlignment="1" applyProtection="1">
      <alignment horizontal="center" vertical="center"/>
      <protection locked="0"/>
    </xf>
    <xf numFmtId="0" fontId="65" fillId="0" borderId="146" xfId="3" applyFont="1" applyBorder="1" applyAlignment="1" applyProtection="1">
      <alignment horizontal="center" vertical="center"/>
      <protection locked="0"/>
    </xf>
    <xf numFmtId="6" fontId="63" fillId="0" borderId="73" xfId="3" applyNumberFormat="1" applyFont="1" applyBorder="1" applyAlignment="1" applyProtection="1">
      <alignment horizontal="right" vertical="center"/>
      <protection locked="0"/>
    </xf>
    <xf numFmtId="42" fontId="63" fillId="0" borderId="145" xfId="3" applyNumberFormat="1" applyFont="1" applyBorder="1" applyProtection="1">
      <protection locked="0"/>
    </xf>
    <xf numFmtId="6" fontId="63" fillId="0" borderId="146"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63" fillId="0" borderId="145" xfId="3" applyFont="1" applyBorder="1" applyAlignment="1" applyProtection="1">
      <alignment horizontal="left" vertical="center"/>
      <protection locked="0"/>
    </xf>
    <xf numFmtId="0" fontId="63" fillId="0" borderId="72" xfId="3" applyFont="1" applyBorder="1" applyAlignment="1" applyProtection="1">
      <alignment horizontal="left" vertical="center"/>
      <protection locked="0"/>
    </xf>
    <xf numFmtId="0" fontId="63" fillId="0" borderId="146" xfId="3" applyFont="1" applyBorder="1" applyAlignment="1" applyProtection="1">
      <alignment horizontal="left" vertical="center"/>
      <protection locked="0"/>
    </xf>
    <xf numFmtId="38" fontId="63" fillId="0" borderId="73"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0" xfId="3" applyFont="1" applyBorder="1" applyAlignment="1" applyProtection="1">
      <alignment horizontal="center"/>
      <protection locked="0"/>
    </xf>
    <xf numFmtId="0" fontId="63" fillId="0" borderId="145" xfId="3" applyFont="1" applyBorder="1" applyAlignment="1" applyProtection="1">
      <alignment horizontal="center"/>
    </xf>
    <xf numFmtId="0" fontId="63" fillId="0" borderId="72" xfId="3" applyFont="1" applyBorder="1" applyAlignment="1" applyProtection="1">
      <alignment horizontal="center"/>
    </xf>
    <xf numFmtId="0" fontId="63" fillId="0" borderId="146" xfId="3" applyFont="1" applyBorder="1" applyAlignment="1" applyProtection="1">
      <alignment horizontal="center"/>
    </xf>
    <xf numFmtId="38" fontId="63" fillId="0" borderId="145" xfId="3" applyNumberFormat="1" applyFont="1" applyBorder="1" applyAlignment="1" applyProtection="1">
      <alignment horizontal="right" vertical="center"/>
      <protection locked="0"/>
    </xf>
    <xf numFmtId="38" fontId="63" fillId="0" borderId="72" xfId="3" applyNumberFormat="1" applyFont="1" applyBorder="1" applyAlignment="1" applyProtection="1">
      <alignment horizontal="right" vertical="center"/>
      <protection locked="0"/>
    </xf>
    <xf numFmtId="38" fontId="63" fillId="0" borderId="146" xfId="3" applyNumberFormat="1" applyFont="1" applyBorder="1" applyAlignment="1" applyProtection="1">
      <alignment horizontal="right" vertic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66" fillId="0" borderId="70" xfId="3" applyNumberFormat="1" applyFont="1" applyBorder="1" applyAlignment="1" applyProtection="1">
      <alignment horizontal="center"/>
      <protection locked="0"/>
    </xf>
    <xf numFmtId="0" fontId="66" fillId="0" borderId="70" xfId="3" applyFont="1" applyBorder="1" applyAlignment="1" applyProtection="1">
      <alignment horizontal="center"/>
      <protection locked="0"/>
    </xf>
    <xf numFmtId="0" fontId="66" fillId="0" borderId="70" xfId="3" applyFont="1" applyBorder="1" applyAlignment="1" applyProtection="1">
      <alignment horizontal="center" vertical="center"/>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0" xfId="3" applyFont="1" applyBorder="1" applyAlignment="1" applyProtection="1">
      <alignment horizontal="center" vertical="center" wrapText="1"/>
    </xf>
    <xf numFmtId="0" fontId="55" fillId="0" borderId="0" xfId="3" applyNumberFormat="1" applyFont="1" applyAlignment="1" applyProtection="1">
      <alignment horizontal="center" vertical="center" wrapText="1"/>
    </xf>
  </cellXfs>
  <cellStyles count="25">
    <cellStyle name="Comma" xfId="1" builtinId="3"/>
    <cellStyle name="Comma 2" xfId="20" xr:uid="{00000000-0005-0000-0000-000001000000}"/>
    <cellStyle name="Comma 2 7" xfId="24" xr:uid="{00000000-0005-0000-0000-000002000000}"/>
    <cellStyle name="Currency 2" xfId="22" xr:uid="{00000000-0005-0000-0000-000003000000}"/>
    <cellStyle name="Hyperlink" xfId="2" builtinId="8"/>
    <cellStyle name="Hyperlink 2" xfId="15" xr:uid="{00000000-0005-0000-0000-000005000000}"/>
    <cellStyle name="Normal" xfId="0" builtinId="0"/>
    <cellStyle name="Normal 2" xfId="3" xr:uid="{00000000-0005-0000-0000-000007000000}"/>
    <cellStyle name="Normal 3" xfId="4" xr:uid="{00000000-0005-0000-0000-000008000000}"/>
    <cellStyle name="Normal 3 2" xfId="14" xr:uid="{00000000-0005-0000-0000-000009000000}"/>
    <cellStyle name="Normal 3 2 2" xfId="18" xr:uid="{00000000-0005-0000-0000-00000A000000}"/>
    <cellStyle name="Normal 4" xfId="16" xr:uid="{00000000-0005-0000-0000-00000B000000}"/>
    <cellStyle name="Normal 5" xfId="17" xr:uid="{00000000-0005-0000-0000-00000C000000}"/>
    <cellStyle name="Normal 5 2" xfId="23" xr:uid="{00000000-0005-0000-0000-00000D000000}"/>
    <cellStyle name="Normal 6" xfId="19" xr:uid="{00000000-0005-0000-0000-00000E000000}"/>
    <cellStyle name="Normal 7" xfId="21" xr:uid="{00000000-0005-0000-0000-00000F000000}"/>
    <cellStyle name="Normal_AFRPG3" xfId="5" xr:uid="{00000000-0005-0000-0000-000010000000}"/>
    <cellStyle name="Normal_AFRPG41" xfId="6" xr:uid="{00000000-0005-0000-0000-000011000000}"/>
    <cellStyle name="Normal_AFRPG47" xfId="7" xr:uid="{00000000-0005-0000-0000-000012000000}"/>
    <cellStyle name="Normal_AFRPG56" xfId="8" xr:uid="{00000000-0005-0000-0000-000013000000}"/>
    <cellStyle name="Normal_AFRPG59" xfId="9" xr:uid="{00000000-0005-0000-0000-000014000000}"/>
    <cellStyle name="Normal_AFRPG63" xfId="10" xr:uid="{00000000-0005-0000-0000-000015000000}"/>
    <cellStyle name="Normal_AFRPG64" xfId="11" xr:uid="{00000000-0005-0000-0000-000016000000}"/>
    <cellStyle name="Normal_COVER" xfId="12" xr:uid="{00000000-0005-0000-0000-000017000000}"/>
    <cellStyle name="Normal_THRESHOLD CALCULATOR v3" xfId="13" xr:uid="{00000000-0005-0000-0000-000018000000}"/>
  </cellStyles>
  <dxfs count="1">
    <dxf>
      <font>
        <color rgb="FF9C0006"/>
      </font>
      <fill>
        <patternFill>
          <bgColor rgb="FFFFC7CE"/>
        </patternFill>
      </fill>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externalLink" Target="externalLinks/externalLink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1.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8" Type="http://schemas.openxmlformats.org/officeDocument/2006/relationships/image" Target="../media/image8.emf"/><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998393</xdr:colOff>
          <xdr:row>1</xdr:row>
          <xdr:rowOff>17318</xdr:rowOff>
        </xdr:from>
        <xdr:to>
          <xdr:col>1</xdr:col>
          <xdr:colOff>1903268</xdr:colOff>
          <xdr:row>5</xdr:row>
          <xdr:rowOff>55418</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4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2037484</xdr:colOff>
          <xdr:row>1</xdr:row>
          <xdr:rowOff>19050</xdr:rowOff>
        </xdr:from>
        <xdr:to>
          <xdr:col>1</xdr:col>
          <xdr:colOff>2942359</xdr:colOff>
          <xdr:row>5</xdr:row>
          <xdr:rowOff>57150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4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3082637</xdr:colOff>
          <xdr:row>1</xdr:row>
          <xdr:rowOff>158462</xdr:rowOff>
        </xdr:from>
        <xdr:to>
          <xdr:col>1</xdr:col>
          <xdr:colOff>3922569</xdr:colOff>
          <xdr:row>5</xdr:row>
          <xdr:rowOff>22514</xdr:rowOff>
        </xdr:to>
        <xdr:sp macro="" textlink="">
          <xdr:nvSpPr>
            <xdr:cNvPr id="35844" name="Object 4" hidden="1">
              <a:extLst>
                <a:ext uri="{63B3BB69-23CF-44E3-9099-C40C66FF867C}">
                  <a14:compatExt spid="_x0000_s35844"/>
                </a:ext>
                <a:ext uri="{FF2B5EF4-FFF2-40B4-BE49-F238E27FC236}">
                  <a16:creationId xmlns:a16="http://schemas.microsoft.com/office/drawing/2014/main" id="{00000000-0008-0000-1400-000004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2039215</xdr:colOff>
          <xdr:row>6</xdr:row>
          <xdr:rowOff>23380</xdr:rowOff>
        </xdr:from>
        <xdr:to>
          <xdr:col>1</xdr:col>
          <xdr:colOff>2944090</xdr:colOff>
          <xdr:row>10</xdr:row>
          <xdr:rowOff>64077</xdr:rowOff>
        </xdr:to>
        <xdr:sp macro="" textlink="">
          <xdr:nvSpPr>
            <xdr:cNvPr id="35845" name="Object 5" hidden="1">
              <a:extLst>
                <a:ext uri="{63B3BB69-23CF-44E3-9099-C40C66FF867C}">
                  <a14:compatExt spid="_x0000_s35845"/>
                </a:ext>
                <a:ext uri="{FF2B5EF4-FFF2-40B4-BE49-F238E27FC236}">
                  <a16:creationId xmlns:a16="http://schemas.microsoft.com/office/drawing/2014/main" id="{00000000-0008-0000-1400-000005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114300</xdr:colOff>
          <xdr:row>6</xdr:row>
          <xdr:rowOff>19050</xdr:rowOff>
        </xdr:from>
        <xdr:to>
          <xdr:col>1</xdr:col>
          <xdr:colOff>904875</xdr:colOff>
          <xdr:row>10</xdr:row>
          <xdr:rowOff>57150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1400-000006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999259</xdr:colOff>
          <xdr:row>6</xdr:row>
          <xdr:rowOff>18184</xdr:rowOff>
        </xdr:from>
        <xdr:to>
          <xdr:col>1</xdr:col>
          <xdr:colOff>1904134</xdr:colOff>
          <xdr:row>10</xdr:row>
          <xdr:rowOff>56284</xdr:rowOff>
        </xdr:to>
        <xdr:sp macro="" textlink="">
          <xdr:nvSpPr>
            <xdr:cNvPr id="35847" name="Object 7" hidden="1">
              <a:extLst>
                <a:ext uri="{63B3BB69-23CF-44E3-9099-C40C66FF867C}">
                  <a14:compatExt spid="_x0000_s35847"/>
                </a:ext>
                <a:ext uri="{FF2B5EF4-FFF2-40B4-BE49-F238E27FC236}">
                  <a16:creationId xmlns:a16="http://schemas.microsoft.com/office/drawing/2014/main" id="{00000000-0008-0000-1400-000007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3082635</xdr:colOff>
          <xdr:row>6</xdr:row>
          <xdr:rowOff>25977</xdr:rowOff>
        </xdr:from>
        <xdr:to>
          <xdr:col>2</xdr:col>
          <xdr:colOff>10390</xdr:colOff>
          <xdr:row>10</xdr:row>
          <xdr:rowOff>64077</xdr:rowOff>
        </xdr:to>
        <xdr:sp macro="" textlink="">
          <xdr:nvSpPr>
            <xdr:cNvPr id="35848" name="Object 8" hidden="1">
              <a:extLst>
                <a:ext uri="{63B3BB69-23CF-44E3-9099-C40C66FF867C}">
                  <a14:compatExt spid="_x0000_s35848"/>
                </a:ext>
                <a:ext uri="{FF2B5EF4-FFF2-40B4-BE49-F238E27FC236}">
                  <a16:creationId xmlns:a16="http://schemas.microsoft.com/office/drawing/2014/main" id="{5B6E67D1-434E-41D1-ABB3-13506315F9F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dli23\Desktop\CAFR%20FY%202019\SEFA\Grant%20Accrual%20and%20SEFA%20Prep%20File.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dapaul2\Desktop\FY19%20SEFA.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nttable"/>
    </sheetNames>
    <sheetDataSet>
      <sheetData sheetId="0" refreshError="1">
        <row r="1">
          <cell r="B1" t="str">
            <v>GRANT</v>
          </cell>
          <cell r="C1" t="str">
            <v>UNIT</v>
          </cell>
          <cell r="D1" t="str">
            <v>FUND</v>
          </cell>
          <cell r="E1" t="str">
            <v>REVENUE ACCOUNT</v>
          </cell>
          <cell r="F1" t="str">
            <v>GRANT NAME</v>
          </cell>
          <cell r="G1" t="str">
            <v>FY19 Expenditures</v>
          </cell>
          <cell r="H1" t="str">
            <v>BUDGET</v>
          </cell>
          <cell r="I1" t="str">
            <v>INDIRECT COST RATE</v>
          </cell>
          <cell r="J1" t="str">
            <v>FUNDING_AGENCY</v>
          </cell>
          <cell r="K1" t="str">
            <v>CFDA</v>
          </cell>
          <cell r="L1" t="str">
            <v>START_DATE</v>
          </cell>
          <cell r="M1" t="str">
            <v>END_DATE</v>
          </cell>
          <cell r="N1" t="str">
            <v>PASS_THROUGH_AGENCY</v>
          </cell>
          <cell r="O1" t="str">
            <v>CONTRACT</v>
          </cell>
        </row>
        <row r="2">
          <cell r="B2">
            <v>200021</v>
          </cell>
          <cell r="C2">
            <v>0</v>
          </cell>
          <cell r="D2">
            <v>324</v>
          </cell>
          <cell r="E2">
            <v>0</v>
          </cell>
          <cell r="F2" t="str">
            <v>IGA:  Creative Schools Fund Program</v>
          </cell>
          <cell r="G2">
            <v>413242.67</v>
          </cell>
          <cell r="H2">
            <v>0</v>
          </cell>
          <cell r="I2">
            <v>0</v>
          </cell>
          <cell r="J2" t="str">
            <v>City of Chicago</v>
          </cell>
          <cell r="K2" t="str">
            <v>N/A</v>
          </cell>
          <cell r="L2">
            <v>43474</v>
          </cell>
          <cell r="M2">
            <v>43830</v>
          </cell>
          <cell r="N2" t="str">
            <v>NA</v>
          </cell>
          <cell r="O2" t="str">
            <v>NA</v>
          </cell>
        </row>
        <row r="3">
          <cell r="B3">
            <v>210021</v>
          </cell>
          <cell r="C3">
            <v>0</v>
          </cell>
          <cell r="D3">
            <v>324</v>
          </cell>
          <cell r="E3">
            <v>45141</v>
          </cell>
          <cell r="F3" t="str">
            <v>Summer Youth Employment Program FY 17</v>
          </cell>
          <cell r="G3">
            <v>600</v>
          </cell>
          <cell r="H3">
            <v>500000</v>
          </cell>
          <cell r="I3">
            <v>0</v>
          </cell>
          <cell r="J3" t="str">
            <v>City of Chicago</v>
          </cell>
          <cell r="K3" t="str">
            <v>N/A</v>
          </cell>
          <cell r="L3">
            <v>43474</v>
          </cell>
          <cell r="M3">
            <v>43830</v>
          </cell>
          <cell r="N3" t="str">
            <v>City of Chicago-DFSS</v>
          </cell>
          <cell r="O3" t="str">
            <v>IGA</v>
          </cell>
        </row>
        <row r="4">
          <cell r="B4">
            <v>210022</v>
          </cell>
          <cell r="C4">
            <v>0</v>
          </cell>
          <cell r="D4">
            <v>362</v>
          </cell>
          <cell r="E4">
            <v>0</v>
          </cell>
          <cell r="F4" t="str">
            <v>IGA Early Learning Investment</v>
          </cell>
          <cell r="G4">
            <v>-31.96</v>
          </cell>
          <cell r="H4">
            <v>0</v>
          </cell>
          <cell r="I4">
            <v>0</v>
          </cell>
          <cell r="J4" t="str">
            <v>Chicago Family &amp; Support Services</v>
          </cell>
          <cell r="K4" t="str">
            <v>N/A</v>
          </cell>
          <cell r="L4">
            <v>42552</v>
          </cell>
          <cell r="M4">
            <v>42978</v>
          </cell>
          <cell r="N4" t="str">
            <v>NA</v>
          </cell>
          <cell r="O4" t="str">
            <v>IGA</v>
          </cell>
        </row>
        <row r="5">
          <cell r="B5">
            <v>210026</v>
          </cell>
          <cell r="C5">
            <v>0</v>
          </cell>
          <cell r="D5">
            <v>362</v>
          </cell>
          <cell r="E5">
            <v>45141</v>
          </cell>
          <cell r="F5" t="str">
            <v>IGA Early Learning Investment Program - City FY18</v>
          </cell>
          <cell r="G5">
            <v>30320.95</v>
          </cell>
          <cell r="H5">
            <v>7920000</v>
          </cell>
          <cell r="I5">
            <v>0</v>
          </cell>
          <cell r="J5" t="str">
            <v>Chicago Family &amp; Support Services</v>
          </cell>
          <cell r="K5" t="str">
            <v>N/A</v>
          </cell>
          <cell r="L5">
            <v>42917</v>
          </cell>
          <cell r="M5">
            <v>43465</v>
          </cell>
          <cell r="N5" t="str">
            <v>City of Chicago</v>
          </cell>
          <cell r="O5" t="str">
            <v>IGA</v>
          </cell>
        </row>
        <row r="6">
          <cell r="B6">
            <v>210028</v>
          </cell>
          <cell r="C6">
            <v>0</v>
          </cell>
          <cell r="D6">
            <v>324</v>
          </cell>
          <cell r="E6">
            <v>0</v>
          </cell>
          <cell r="F6" t="str">
            <v>City Year FY18</v>
          </cell>
          <cell r="G6">
            <v>750000</v>
          </cell>
          <cell r="H6">
            <v>0</v>
          </cell>
          <cell r="I6">
            <v>0</v>
          </cell>
          <cell r="J6" t="str">
            <v>City of Chicago DFSS</v>
          </cell>
          <cell r="K6" t="str">
            <v>N/A</v>
          </cell>
          <cell r="L6">
            <v>43101</v>
          </cell>
          <cell r="M6">
            <v>43465</v>
          </cell>
          <cell r="N6" t="str">
            <v>NA</v>
          </cell>
          <cell r="O6" t="str">
            <v>IGA</v>
          </cell>
        </row>
        <row r="7">
          <cell r="B7">
            <v>210029</v>
          </cell>
          <cell r="C7">
            <v>0</v>
          </cell>
          <cell r="D7">
            <v>362</v>
          </cell>
          <cell r="E7">
            <v>45141</v>
          </cell>
          <cell r="F7" t="str">
            <v>IGA Early Learning Investment Program - City FY19</v>
          </cell>
          <cell r="G7">
            <v>2579274.06</v>
          </cell>
          <cell r="H7">
            <v>6002500</v>
          </cell>
          <cell r="I7">
            <v>0</v>
          </cell>
          <cell r="J7" t="str">
            <v>Chicago Family &amp; Support Services</v>
          </cell>
          <cell r="K7" t="str">
            <v>N/A</v>
          </cell>
          <cell r="L7">
            <v>43282</v>
          </cell>
          <cell r="M7">
            <v>43830</v>
          </cell>
          <cell r="N7" t="str">
            <v>City of Chicago</v>
          </cell>
          <cell r="O7" t="str">
            <v>IGA</v>
          </cell>
        </row>
        <row r="8">
          <cell r="B8">
            <v>210030</v>
          </cell>
          <cell r="C8">
            <v>0</v>
          </cell>
          <cell r="D8">
            <v>324</v>
          </cell>
          <cell r="E8">
            <v>45141</v>
          </cell>
          <cell r="F8" t="str">
            <v>Summer Youth Employment Program FY18\9</v>
          </cell>
          <cell r="G8">
            <v>689109.41</v>
          </cell>
          <cell r="H8">
            <v>750000</v>
          </cell>
          <cell r="I8">
            <v>0</v>
          </cell>
          <cell r="J8" t="str">
            <v>City of Chicago</v>
          </cell>
          <cell r="K8" t="str">
            <v>N/A</v>
          </cell>
          <cell r="L8">
            <v>43101</v>
          </cell>
          <cell r="M8">
            <v>43830</v>
          </cell>
          <cell r="N8" t="str">
            <v>HHS</v>
          </cell>
          <cell r="O8" t="str">
            <v>IGA</v>
          </cell>
        </row>
        <row r="9">
          <cell r="B9">
            <v>210041</v>
          </cell>
          <cell r="C9">
            <v>0</v>
          </cell>
          <cell r="D9">
            <v>324</v>
          </cell>
          <cell r="E9">
            <v>0</v>
          </cell>
          <cell r="F9" t="str">
            <v>Healthy CPS Partnerships - Chief Health Officer</v>
          </cell>
          <cell r="G9">
            <v>40051.660000000003</v>
          </cell>
          <cell r="H9">
            <v>0</v>
          </cell>
          <cell r="I9">
            <v>0</v>
          </cell>
          <cell r="J9">
            <v>0</v>
          </cell>
          <cell r="K9" t="str">
            <v>N/A</v>
          </cell>
          <cell r="L9">
            <v>43282</v>
          </cell>
          <cell r="M9">
            <v>43646</v>
          </cell>
          <cell r="N9">
            <v>0</v>
          </cell>
          <cell r="O9" t="str">
            <v>IGA</v>
          </cell>
        </row>
        <row r="10">
          <cell r="B10">
            <v>210042</v>
          </cell>
          <cell r="C10">
            <v>0</v>
          </cell>
          <cell r="D10">
            <v>324</v>
          </cell>
          <cell r="E10">
            <v>45141</v>
          </cell>
          <cell r="F10" t="str">
            <v>Healthy CPS Partnerships - Chief Health Officer</v>
          </cell>
          <cell r="G10">
            <v>50499.11</v>
          </cell>
          <cell r="H10">
            <v>99333.63</v>
          </cell>
          <cell r="I10">
            <v>0</v>
          </cell>
          <cell r="J10" t="str">
            <v>City of Chicago Dep of Public Health</v>
          </cell>
          <cell r="K10" t="str">
            <v>N/A</v>
          </cell>
          <cell r="L10">
            <v>43647</v>
          </cell>
          <cell r="M10">
            <v>43830</v>
          </cell>
          <cell r="N10">
            <v>0</v>
          </cell>
          <cell r="O10" t="str">
            <v>IGA</v>
          </cell>
        </row>
        <row r="11">
          <cell r="B11">
            <v>210051</v>
          </cell>
          <cell r="C11">
            <v>0</v>
          </cell>
          <cell r="D11">
            <v>324</v>
          </cell>
          <cell r="E11">
            <v>43999</v>
          </cell>
          <cell r="F11" t="str">
            <v>Computer Science for All FY18</v>
          </cell>
          <cell r="G11">
            <v>571437.56000000006</v>
          </cell>
          <cell r="H11">
            <v>1000000</v>
          </cell>
          <cell r="I11">
            <v>0</v>
          </cell>
          <cell r="J11" t="str">
            <v>City of Chicago</v>
          </cell>
          <cell r="K11" t="str">
            <v>N/A</v>
          </cell>
          <cell r="L11">
            <v>43101</v>
          </cell>
          <cell r="M11">
            <v>43465</v>
          </cell>
          <cell r="N11" t="str">
            <v>Department of Family and Support Services</v>
          </cell>
          <cell r="O11" t="str">
            <v>018-0100-0502005-9260</v>
          </cell>
        </row>
        <row r="12">
          <cell r="B12">
            <v>210052</v>
          </cell>
          <cell r="C12">
            <v>0</v>
          </cell>
          <cell r="D12">
            <v>324</v>
          </cell>
          <cell r="E12">
            <v>43999</v>
          </cell>
          <cell r="F12" t="str">
            <v>Computer Science for All FY19</v>
          </cell>
          <cell r="G12">
            <v>372074.41</v>
          </cell>
          <cell r="H12">
            <v>1000000</v>
          </cell>
          <cell r="I12">
            <v>0</v>
          </cell>
          <cell r="J12" t="str">
            <v>City of Chicago</v>
          </cell>
          <cell r="K12" t="str">
            <v>N/A</v>
          </cell>
          <cell r="L12">
            <v>43466</v>
          </cell>
          <cell r="M12">
            <v>43830</v>
          </cell>
          <cell r="N12" t="str">
            <v>Department of Family and Support Services</v>
          </cell>
          <cell r="O12" t="str">
            <v>019-0100-0502005-9260</v>
          </cell>
        </row>
        <row r="13">
          <cell r="B13">
            <v>210122</v>
          </cell>
          <cell r="C13">
            <v>1000</v>
          </cell>
          <cell r="D13">
            <v>326</v>
          </cell>
          <cell r="E13">
            <v>0</v>
          </cell>
          <cell r="F13" t="str">
            <v>Illinois Arts Council FY18</v>
          </cell>
          <cell r="G13">
            <v>4000</v>
          </cell>
          <cell r="H13">
            <v>0</v>
          </cell>
          <cell r="I13">
            <v>0</v>
          </cell>
          <cell r="J13" t="str">
            <v>Illinois Arts Council Agency</v>
          </cell>
          <cell r="K13" t="str">
            <v>N/A</v>
          </cell>
          <cell r="L13">
            <v>42917</v>
          </cell>
          <cell r="M13">
            <v>43646</v>
          </cell>
          <cell r="N13" t="str">
            <v>NA</v>
          </cell>
          <cell r="O13">
            <v>0</v>
          </cell>
        </row>
        <row r="14">
          <cell r="B14">
            <v>210205</v>
          </cell>
          <cell r="C14">
            <v>0</v>
          </cell>
          <cell r="D14">
            <v>115</v>
          </cell>
          <cell r="E14">
            <v>0</v>
          </cell>
          <cell r="F14" t="str">
            <v>Chicago Cultural Plan and Arts Education Plan - FY18</v>
          </cell>
          <cell r="G14">
            <v>1629.96</v>
          </cell>
          <cell r="H14">
            <v>0</v>
          </cell>
          <cell r="I14">
            <v>0</v>
          </cell>
          <cell r="J14" t="str">
            <v>City of Chicago</v>
          </cell>
          <cell r="K14" t="str">
            <v>N/A</v>
          </cell>
          <cell r="L14">
            <v>42917</v>
          </cell>
          <cell r="M14">
            <v>43281</v>
          </cell>
          <cell r="N14">
            <v>0</v>
          </cell>
          <cell r="O14" t="str">
            <v>IGA</v>
          </cell>
        </row>
        <row r="15">
          <cell r="B15">
            <v>300017</v>
          </cell>
          <cell r="C15">
            <v>0</v>
          </cell>
          <cell r="D15">
            <v>436</v>
          </cell>
          <cell r="E15">
            <v>0</v>
          </cell>
          <cell r="F15" t="str">
            <v>Secretary of State Capital Grant</v>
          </cell>
          <cell r="G15">
            <v>243103.5</v>
          </cell>
          <cell r="H15">
            <v>0</v>
          </cell>
          <cell r="I15">
            <v>0</v>
          </cell>
          <cell r="J15">
            <v>0</v>
          </cell>
          <cell r="K15" t="str">
            <v>N/A</v>
          </cell>
          <cell r="L15">
            <v>43282</v>
          </cell>
          <cell r="M15">
            <v>43646</v>
          </cell>
          <cell r="N15">
            <v>0</v>
          </cell>
          <cell r="O15">
            <v>0</v>
          </cell>
        </row>
        <row r="16">
          <cell r="B16">
            <v>320520</v>
          </cell>
          <cell r="C16">
            <v>0</v>
          </cell>
          <cell r="D16">
            <v>324</v>
          </cell>
          <cell r="E16">
            <v>43999</v>
          </cell>
          <cell r="F16" t="str">
            <v>Innovative Bridge &amp; Transition Program</v>
          </cell>
          <cell r="G16">
            <v>145747.38</v>
          </cell>
          <cell r="H16">
            <v>212713.01</v>
          </cell>
          <cell r="I16">
            <v>0</v>
          </cell>
          <cell r="J16" t="str">
            <v>Illinois Community College Board</v>
          </cell>
          <cell r="K16" t="str">
            <v>N/A</v>
          </cell>
          <cell r="L16">
            <v>43221</v>
          </cell>
          <cell r="M16">
            <v>43615</v>
          </cell>
          <cell r="N16" t="str">
            <v>N/A</v>
          </cell>
          <cell r="O16">
            <v>0</v>
          </cell>
        </row>
        <row r="17">
          <cell r="B17">
            <v>322022</v>
          </cell>
          <cell r="C17">
            <v>0</v>
          </cell>
          <cell r="D17">
            <v>369</v>
          </cell>
          <cell r="E17">
            <v>43220</v>
          </cell>
          <cell r="F17" t="str">
            <v>Career &amp; Technical Educ. Improvement Grant (CTEI) FY18</v>
          </cell>
          <cell r="G17">
            <v>767865.96</v>
          </cell>
          <cell r="H17">
            <v>3195790</v>
          </cell>
          <cell r="I17">
            <v>0</v>
          </cell>
          <cell r="J17" t="str">
            <v>USDE</v>
          </cell>
          <cell r="K17" t="str">
            <v>N/A</v>
          </cell>
          <cell r="L17">
            <v>42917</v>
          </cell>
          <cell r="M17">
            <v>43343</v>
          </cell>
          <cell r="N17" t="str">
            <v>ISBE</v>
          </cell>
          <cell r="O17" t="str">
            <v>18-3220-00</v>
          </cell>
        </row>
        <row r="18">
          <cell r="B18">
            <v>322023</v>
          </cell>
          <cell r="C18">
            <v>0</v>
          </cell>
          <cell r="D18">
            <v>369</v>
          </cell>
          <cell r="E18">
            <v>43220</v>
          </cell>
          <cell r="F18" t="str">
            <v>Career &amp; Technical Educ. Improvement Grant (CTEI) FY19</v>
          </cell>
          <cell r="G18">
            <v>2593608.73</v>
          </cell>
          <cell r="H18">
            <v>3111581</v>
          </cell>
          <cell r="I18">
            <v>0</v>
          </cell>
          <cell r="J18" t="str">
            <v>USDE</v>
          </cell>
          <cell r="K18" t="str">
            <v>N/A</v>
          </cell>
          <cell r="L18">
            <v>43282</v>
          </cell>
          <cell r="M18">
            <v>43708</v>
          </cell>
          <cell r="N18" t="str">
            <v>ISBE</v>
          </cell>
          <cell r="O18" t="str">
            <v>19-3220-00</v>
          </cell>
        </row>
        <row r="19">
          <cell r="B19" t="str">
            <v xml:space="preserve"> </v>
          </cell>
          <cell r="C19">
            <v>0</v>
          </cell>
          <cell r="D19">
            <v>356</v>
          </cell>
          <cell r="E19">
            <v>0</v>
          </cell>
          <cell r="F19" t="str">
            <v>Bilingual Ed TPI &amp; TBE</v>
          </cell>
          <cell r="G19">
            <v>8711.74</v>
          </cell>
          <cell r="H19">
            <v>0</v>
          </cell>
          <cell r="I19">
            <v>0</v>
          </cell>
          <cell r="J19" t="str">
            <v>ISBE</v>
          </cell>
          <cell r="K19" t="str">
            <v>N/A</v>
          </cell>
          <cell r="L19">
            <v>42917</v>
          </cell>
          <cell r="M19">
            <v>43281</v>
          </cell>
          <cell r="N19">
            <v>0</v>
          </cell>
          <cell r="O19" t="str">
            <v>18-3305-00</v>
          </cell>
        </row>
        <row r="20">
          <cell r="B20">
            <v>330505</v>
          </cell>
          <cell r="C20">
            <v>0</v>
          </cell>
          <cell r="D20">
            <v>356</v>
          </cell>
          <cell r="E20">
            <v>0</v>
          </cell>
          <cell r="F20" t="str">
            <v>Bilingual Ed - TBE/TPI (Per Pupil)</v>
          </cell>
          <cell r="G20">
            <v>1186.1400000000001</v>
          </cell>
          <cell r="H20">
            <v>0</v>
          </cell>
          <cell r="I20">
            <v>0</v>
          </cell>
          <cell r="J20" t="str">
            <v>ISBE</v>
          </cell>
          <cell r="K20" t="str">
            <v>N/A</v>
          </cell>
          <cell r="L20">
            <v>42917</v>
          </cell>
          <cell r="M20">
            <v>43301</v>
          </cell>
          <cell r="N20">
            <v>0</v>
          </cell>
          <cell r="O20" t="str">
            <v>18-3305-00</v>
          </cell>
        </row>
        <row r="21">
          <cell r="B21">
            <v>337001</v>
          </cell>
          <cell r="C21">
            <v>0</v>
          </cell>
          <cell r="D21">
            <v>115</v>
          </cell>
          <cell r="E21">
            <v>43370</v>
          </cell>
          <cell r="F21" t="str">
            <v>DRIVERS EDUCATION</v>
          </cell>
          <cell r="G21">
            <v>2367785.36</v>
          </cell>
          <cell r="H21">
            <v>3606546.12</v>
          </cell>
          <cell r="I21">
            <v>0</v>
          </cell>
          <cell r="J21" t="str">
            <v>ISBE</v>
          </cell>
          <cell r="K21" t="str">
            <v>N/A</v>
          </cell>
          <cell r="L21">
            <v>43282</v>
          </cell>
          <cell r="M21">
            <v>43646</v>
          </cell>
          <cell r="N21" t="str">
            <v>ISBE</v>
          </cell>
          <cell r="O21" t="str">
            <v>19-3370-00</v>
          </cell>
        </row>
        <row r="22">
          <cell r="B22">
            <v>369622</v>
          </cell>
          <cell r="C22">
            <v>0</v>
          </cell>
          <cell r="D22">
            <v>324</v>
          </cell>
          <cell r="E22">
            <v>43969</v>
          </cell>
          <cell r="F22" t="str">
            <v>Regional Safe Schools FY19</v>
          </cell>
          <cell r="G22">
            <v>952655.85</v>
          </cell>
          <cell r="H22">
            <v>1037111</v>
          </cell>
          <cell r="I22">
            <v>0</v>
          </cell>
          <cell r="J22" t="str">
            <v>USDE</v>
          </cell>
          <cell r="K22" t="str">
            <v>N/A</v>
          </cell>
          <cell r="L22">
            <v>43282</v>
          </cell>
          <cell r="M22">
            <v>43646</v>
          </cell>
          <cell r="N22" t="str">
            <v>ISBE</v>
          </cell>
          <cell r="O22" t="str">
            <v>19-3696-00</v>
          </cell>
        </row>
        <row r="23">
          <cell r="B23">
            <v>373002</v>
          </cell>
          <cell r="C23" t="str">
            <v>01000</v>
          </cell>
          <cell r="D23">
            <v>324</v>
          </cell>
          <cell r="E23">
            <v>43990</v>
          </cell>
          <cell r="F23" t="str">
            <v>ROE/ISC Operations FY19</v>
          </cell>
          <cell r="G23">
            <v>478748.48</v>
          </cell>
          <cell r="H23">
            <v>743533</v>
          </cell>
          <cell r="I23">
            <v>0</v>
          </cell>
          <cell r="J23" t="str">
            <v>USDE</v>
          </cell>
          <cell r="K23" t="str">
            <v>N/A</v>
          </cell>
          <cell r="L23">
            <v>43433</v>
          </cell>
          <cell r="M23">
            <v>43708</v>
          </cell>
          <cell r="N23" t="str">
            <v>ISBE</v>
          </cell>
          <cell r="O23" t="str">
            <v>19-3730-00</v>
          </cell>
        </row>
        <row r="24">
          <cell r="B24">
            <v>376619</v>
          </cell>
          <cell r="C24">
            <v>0</v>
          </cell>
          <cell r="D24">
            <v>115</v>
          </cell>
          <cell r="E24">
            <v>0</v>
          </cell>
          <cell r="F24" t="str">
            <v>EARLY CHILDHOOD (Pre-school for All 115)</v>
          </cell>
          <cell r="G24">
            <v>-1.41</v>
          </cell>
          <cell r="H24">
            <v>0</v>
          </cell>
          <cell r="I24">
            <v>0</v>
          </cell>
          <cell r="J24" t="str">
            <v>ISBE</v>
          </cell>
          <cell r="K24" t="str">
            <v>N/A</v>
          </cell>
          <cell r="L24">
            <v>41091</v>
          </cell>
          <cell r="M24">
            <v>41881</v>
          </cell>
          <cell r="N24" t="str">
            <v>NA</v>
          </cell>
          <cell r="O24" t="str">
            <v>Local Portion for 14-3766-02</v>
          </cell>
        </row>
        <row r="25">
          <cell r="B25">
            <v>376639</v>
          </cell>
          <cell r="C25">
            <v>0</v>
          </cell>
          <cell r="D25">
            <v>324</v>
          </cell>
          <cell r="E25">
            <v>43695</v>
          </cell>
          <cell r="F25" t="str">
            <v>Truant Alternative Optional Education FY18</v>
          </cell>
          <cell r="G25">
            <v>592026.81000000006</v>
          </cell>
          <cell r="H25">
            <v>3082000</v>
          </cell>
          <cell r="I25">
            <v>0</v>
          </cell>
          <cell r="J25" t="str">
            <v>ISBE</v>
          </cell>
          <cell r="K25" t="str">
            <v>N/A</v>
          </cell>
          <cell r="L25">
            <v>42917</v>
          </cell>
          <cell r="M25">
            <v>43281</v>
          </cell>
          <cell r="N25" t="str">
            <v>ISBE</v>
          </cell>
          <cell r="O25" t="str">
            <v>18-3766-01</v>
          </cell>
        </row>
        <row r="26">
          <cell r="B26">
            <v>376643</v>
          </cell>
          <cell r="C26">
            <v>47091</v>
          </cell>
          <cell r="D26">
            <v>324</v>
          </cell>
          <cell r="E26">
            <v>43235</v>
          </cell>
          <cell r="F26" t="str">
            <v>Agriculture Education FY18</v>
          </cell>
          <cell r="G26">
            <v>34.14</v>
          </cell>
          <cell r="H26">
            <v>7623</v>
          </cell>
          <cell r="I26">
            <v>2.7400000000000001E-2</v>
          </cell>
          <cell r="J26" t="str">
            <v>USDE</v>
          </cell>
          <cell r="K26" t="str">
            <v>N/A</v>
          </cell>
          <cell r="L26">
            <v>42917</v>
          </cell>
          <cell r="M26">
            <v>43281</v>
          </cell>
          <cell r="N26" t="str">
            <v>ISBE</v>
          </cell>
          <cell r="O26" t="str">
            <v>18-3235-20</v>
          </cell>
        </row>
        <row r="27">
          <cell r="B27">
            <v>376644</v>
          </cell>
          <cell r="C27">
            <v>0</v>
          </cell>
          <cell r="D27">
            <v>362</v>
          </cell>
          <cell r="E27">
            <v>0</v>
          </cell>
          <cell r="F27" t="str">
            <v>Early Childhood Block Grant FY18</v>
          </cell>
          <cell r="G27">
            <v>1241.23</v>
          </cell>
          <cell r="H27">
            <v>0</v>
          </cell>
          <cell r="I27">
            <v>0</v>
          </cell>
          <cell r="J27" t="str">
            <v>ISBE</v>
          </cell>
          <cell r="K27" t="str">
            <v>N/A</v>
          </cell>
          <cell r="L27">
            <v>42917</v>
          </cell>
          <cell r="M27">
            <v>43281</v>
          </cell>
          <cell r="N27">
            <v>0</v>
          </cell>
          <cell r="O27" t="str">
            <v>18-3766-02</v>
          </cell>
        </row>
        <row r="28">
          <cell r="B28">
            <v>376645</v>
          </cell>
          <cell r="C28">
            <v>0</v>
          </cell>
          <cell r="D28">
            <v>362</v>
          </cell>
          <cell r="E28">
            <v>44300</v>
          </cell>
          <cell r="F28" t="str">
            <v>State Preschool for All Age 3-5 Extended Supports FY18</v>
          </cell>
          <cell r="G28">
            <v>158609.82999999999</v>
          </cell>
          <cell r="H28">
            <v>122612100</v>
          </cell>
          <cell r="I28">
            <v>0</v>
          </cell>
          <cell r="J28" t="str">
            <v>ISBE</v>
          </cell>
          <cell r="K28" t="str">
            <v>N/A</v>
          </cell>
          <cell r="L28">
            <v>42917</v>
          </cell>
          <cell r="M28">
            <v>43343</v>
          </cell>
          <cell r="N28" t="str">
            <v>ISBE</v>
          </cell>
          <cell r="O28" t="str">
            <v>18-3705-00</v>
          </cell>
        </row>
        <row r="29">
          <cell r="B29">
            <v>376646</v>
          </cell>
          <cell r="C29">
            <v>0</v>
          </cell>
          <cell r="D29">
            <v>362</v>
          </cell>
          <cell r="E29">
            <v>44300</v>
          </cell>
          <cell r="F29" t="str">
            <v>State Preschool for All Age 3-5 Diverse Learners FY18</v>
          </cell>
          <cell r="G29">
            <v>535920.78</v>
          </cell>
          <cell r="H29">
            <v>122612100</v>
          </cell>
          <cell r="I29">
            <v>0</v>
          </cell>
          <cell r="J29" t="str">
            <v>ISBE</v>
          </cell>
          <cell r="K29" t="str">
            <v>N/A</v>
          </cell>
          <cell r="L29">
            <v>42917</v>
          </cell>
          <cell r="M29">
            <v>43343</v>
          </cell>
          <cell r="N29" t="str">
            <v>ISBE</v>
          </cell>
          <cell r="O29" t="str">
            <v>18-3705-00</v>
          </cell>
        </row>
        <row r="30">
          <cell r="B30">
            <v>376648</v>
          </cell>
          <cell r="C30" t="str">
            <v>01000</v>
          </cell>
          <cell r="D30">
            <v>362</v>
          </cell>
          <cell r="E30">
            <v>44300</v>
          </cell>
          <cell r="F30" t="str">
            <v>State Preschool for All Age 3-5 Extended Supports FY19</v>
          </cell>
          <cell r="G30">
            <v>6823682.9400000004</v>
          </cell>
          <cell r="H30">
            <v>151288219</v>
          </cell>
          <cell r="I30">
            <v>0</v>
          </cell>
          <cell r="J30" t="str">
            <v>ISBE</v>
          </cell>
          <cell r="K30" t="str">
            <v>N/A</v>
          </cell>
          <cell r="L30">
            <v>43282</v>
          </cell>
          <cell r="M30">
            <v>43738</v>
          </cell>
          <cell r="N30" t="str">
            <v>ISBE</v>
          </cell>
          <cell r="O30" t="str">
            <v>19-3705-00</v>
          </cell>
        </row>
        <row r="31">
          <cell r="B31">
            <v>376649</v>
          </cell>
          <cell r="C31" t="str">
            <v>01000</v>
          </cell>
          <cell r="D31">
            <v>362</v>
          </cell>
          <cell r="E31">
            <v>44300</v>
          </cell>
          <cell r="F31" t="str">
            <v>State Preschool for All Age 3-5 Diverse Learners FY19</v>
          </cell>
          <cell r="G31">
            <v>22755352.350000001</v>
          </cell>
          <cell r="H31">
            <v>151288219</v>
          </cell>
          <cell r="I31">
            <v>0</v>
          </cell>
          <cell r="J31" t="str">
            <v>ISBE</v>
          </cell>
          <cell r="K31" t="str">
            <v>N/A</v>
          </cell>
          <cell r="L31">
            <v>43282</v>
          </cell>
          <cell r="M31">
            <v>43738</v>
          </cell>
          <cell r="N31" t="str">
            <v>ISBE</v>
          </cell>
          <cell r="O31" t="str">
            <v>19-3705-00</v>
          </cell>
        </row>
        <row r="32">
          <cell r="B32">
            <v>376662</v>
          </cell>
          <cell r="C32">
            <v>0</v>
          </cell>
          <cell r="D32">
            <v>362</v>
          </cell>
          <cell r="E32">
            <v>0</v>
          </cell>
          <cell r="F32" t="str">
            <v>State Preschool for All Age 3-5</v>
          </cell>
          <cell r="G32">
            <v>338.57</v>
          </cell>
          <cell r="H32">
            <v>0</v>
          </cell>
          <cell r="I32">
            <v>0</v>
          </cell>
          <cell r="J32" t="str">
            <v>ISBE</v>
          </cell>
          <cell r="K32" t="str">
            <v>N/A</v>
          </cell>
          <cell r="L32">
            <v>42552</v>
          </cell>
          <cell r="M32">
            <v>42978</v>
          </cell>
          <cell r="N32">
            <v>0</v>
          </cell>
          <cell r="O32" t="str">
            <v>17-3766-02</v>
          </cell>
        </row>
        <row r="33">
          <cell r="B33">
            <v>376665</v>
          </cell>
          <cell r="C33">
            <v>0</v>
          </cell>
          <cell r="D33">
            <v>362</v>
          </cell>
          <cell r="E33">
            <v>44300</v>
          </cell>
          <cell r="F33" t="str">
            <v>State Preschool for All Age 3-5 FY18</v>
          </cell>
          <cell r="G33">
            <v>6687203.5499999998</v>
          </cell>
          <cell r="H33">
            <v>122612100</v>
          </cell>
          <cell r="I33">
            <v>0</v>
          </cell>
          <cell r="J33" t="str">
            <v>ISBE</v>
          </cell>
          <cell r="K33" t="str">
            <v>N/A</v>
          </cell>
          <cell r="L33">
            <v>42917</v>
          </cell>
          <cell r="M33">
            <v>43343</v>
          </cell>
          <cell r="N33" t="str">
            <v>ISBE</v>
          </cell>
          <cell r="O33" t="str">
            <v>18-3705-00</v>
          </cell>
        </row>
        <row r="34">
          <cell r="B34">
            <v>376666</v>
          </cell>
          <cell r="C34">
            <v>0</v>
          </cell>
          <cell r="D34">
            <v>362</v>
          </cell>
          <cell r="E34">
            <v>44300</v>
          </cell>
          <cell r="F34" t="str">
            <v>State Preschool for All Age 0-3 Community Partnerships FY18-FY19</v>
          </cell>
          <cell r="G34">
            <v>9101949.6300000008</v>
          </cell>
          <cell r="H34">
            <v>41571000</v>
          </cell>
          <cell r="I34">
            <v>0</v>
          </cell>
          <cell r="J34" t="str">
            <v>ISBE</v>
          </cell>
          <cell r="K34" t="str">
            <v>N/A</v>
          </cell>
          <cell r="L34">
            <v>42917</v>
          </cell>
          <cell r="M34">
            <v>43465</v>
          </cell>
          <cell r="N34" t="str">
            <v>ISBE</v>
          </cell>
          <cell r="O34" t="str">
            <v>18-3705-01</v>
          </cell>
        </row>
        <row r="35">
          <cell r="B35">
            <v>376667</v>
          </cell>
          <cell r="C35">
            <v>0</v>
          </cell>
          <cell r="D35">
            <v>362</v>
          </cell>
          <cell r="E35">
            <v>43705</v>
          </cell>
          <cell r="F35" t="str">
            <v>State Preschool for All Age 3-5 Community Partnerships FY18</v>
          </cell>
          <cell r="G35">
            <v>-306670.78000000003</v>
          </cell>
          <cell r="H35">
            <v>122612100</v>
          </cell>
          <cell r="I35">
            <v>0</v>
          </cell>
          <cell r="J35" t="str">
            <v>ISBE</v>
          </cell>
          <cell r="K35" t="str">
            <v>N/A</v>
          </cell>
          <cell r="L35">
            <v>42917</v>
          </cell>
          <cell r="M35">
            <v>43343</v>
          </cell>
          <cell r="N35" t="str">
            <v>ISBE</v>
          </cell>
          <cell r="O35" t="str">
            <v>18-3705-00</v>
          </cell>
        </row>
        <row r="36">
          <cell r="B36">
            <v>376668</v>
          </cell>
          <cell r="C36">
            <v>0</v>
          </cell>
          <cell r="D36">
            <v>362</v>
          </cell>
          <cell r="E36">
            <v>43705</v>
          </cell>
          <cell r="F36" t="str">
            <v>State Preschool for All Age 0-3 Community Partnerships FY19</v>
          </cell>
          <cell r="G36">
            <v>23466400.309999999</v>
          </cell>
          <cell r="H36">
            <v>31394878</v>
          </cell>
          <cell r="I36">
            <v>0</v>
          </cell>
          <cell r="J36" t="str">
            <v>ISBE</v>
          </cell>
          <cell r="K36" t="str">
            <v>N/A</v>
          </cell>
          <cell r="L36">
            <v>43282</v>
          </cell>
          <cell r="M36">
            <v>43738</v>
          </cell>
          <cell r="N36" t="str">
            <v>ISBE</v>
          </cell>
          <cell r="O36" t="str">
            <v>19-3705-01</v>
          </cell>
        </row>
        <row r="37">
          <cell r="B37">
            <v>376669</v>
          </cell>
          <cell r="C37" t="str">
            <v>01000</v>
          </cell>
          <cell r="D37">
            <v>362</v>
          </cell>
          <cell r="E37">
            <v>44300</v>
          </cell>
          <cell r="F37" t="str">
            <v>State Preschool for All Age 3-5 FY19</v>
          </cell>
          <cell r="G37">
            <v>84122931.269999996</v>
          </cell>
          <cell r="H37">
            <v>151288219</v>
          </cell>
          <cell r="I37">
            <v>0</v>
          </cell>
          <cell r="J37" t="str">
            <v>ISBE</v>
          </cell>
          <cell r="K37" t="str">
            <v>N/A</v>
          </cell>
          <cell r="L37">
            <v>43282</v>
          </cell>
          <cell r="M37">
            <v>43738</v>
          </cell>
          <cell r="N37" t="str">
            <v>ISBE</v>
          </cell>
          <cell r="O37" t="str">
            <v>19-3705-00</v>
          </cell>
        </row>
        <row r="38">
          <cell r="B38">
            <v>376670</v>
          </cell>
          <cell r="C38" t="str">
            <v>01000</v>
          </cell>
          <cell r="D38">
            <v>362</v>
          </cell>
          <cell r="E38">
            <v>44300</v>
          </cell>
          <cell r="F38" t="str">
            <v>State Preschool for All Age 3-5 Community Partnerships FY19</v>
          </cell>
          <cell r="G38">
            <v>23293359.75</v>
          </cell>
          <cell r="H38">
            <v>151288219</v>
          </cell>
          <cell r="I38">
            <v>0</v>
          </cell>
          <cell r="J38" t="str">
            <v>ISBE</v>
          </cell>
          <cell r="K38" t="str">
            <v>N/A</v>
          </cell>
          <cell r="L38">
            <v>43282</v>
          </cell>
          <cell r="M38">
            <v>43738</v>
          </cell>
          <cell r="N38" t="str">
            <v>ISBE</v>
          </cell>
          <cell r="O38" t="str">
            <v>19-3705-00</v>
          </cell>
        </row>
        <row r="39">
          <cell r="B39">
            <v>376704</v>
          </cell>
          <cell r="C39">
            <v>0</v>
          </cell>
          <cell r="D39">
            <v>356</v>
          </cell>
          <cell r="E39">
            <v>0</v>
          </cell>
          <cell r="F39" t="str">
            <v>BILINGUAL ED TPI ^ TBE FY 2011</v>
          </cell>
          <cell r="G39">
            <v>-0.47</v>
          </cell>
          <cell r="H39">
            <v>0</v>
          </cell>
          <cell r="I39">
            <v>0</v>
          </cell>
          <cell r="J39" t="str">
            <v>ISBE</v>
          </cell>
          <cell r="K39" t="str">
            <v>N/A</v>
          </cell>
          <cell r="L39">
            <v>41091</v>
          </cell>
          <cell r="M39">
            <v>41455</v>
          </cell>
          <cell r="N39" t="str">
            <v>N/A</v>
          </cell>
          <cell r="O39" t="str">
            <v>13-3305-00</v>
          </cell>
        </row>
        <row r="40">
          <cell r="B40">
            <v>376719</v>
          </cell>
          <cell r="C40">
            <v>0</v>
          </cell>
          <cell r="D40">
            <v>114</v>
          </cell>
          <cell r="E40">
            <v>0</v>
          </cell>
          <cell r="F40" t="str">
            <v>State Special Education Block Grant</v>
          </cell>
          <cell r="G40">
            <v>198.44</v>
          </cell>
          <cell r="H40">
            <v>0</v>
          </cell>
          <cell r="I40">
            <v>0</v>
          </cell>
          <cell r="J40" t="str">
            <v>ISBE</v>
          </cell>
          <cell r="K40" t="str">
            <v>N/A</v>
          </cell>
          <cell r="L40">
            <v>41091</v>
          </cell>
          <cell r="M40">
            <v>41820</v>
          </cell>
          <cell r="N40">
            <v>0</v>
          </cell>
          <cell r="O40">
            <v>0</v>
          </cell>
        </row>
        <row r="41">
          <cell r="B41">
            <v>376803</v>
          </cell>
          <cell r="C41">
            <v>0</v>
          </cell>
          <cell r="D41">
            <v>324</v>
          </cell>
          <cell r="E41">
            <v>43695</v>
          </cell>
          <cell r="F41" t="str">
            <v>Truant Alternative Optional Education FY19</v>
          </cell>
          <cell r="G41">
            <v>2081228.7</v>
          </cell>
          <cell r="H41">
            <v>2396871</v>
          </cell>
          <cell r="I41">
            <v>0</v>
          </cell>
          <cell r="J41" t="str">
            <v>USDE</v>
          </cell>
          <cell r="K41" t="str">
            <v>N/A</v>
          </cell>
          <cell r="L41">
            <v>43282</v>
          </cell>
          <cell r="M41">
            <v>43646</v>
          </cell>
          <cell r="N41" t="str">
            <v>ISBE</v>
          </cell>
          <cell r="O41" t="str">
            <v>19-3766-01</v>
          </cell>
        </row>
        <row r="42">
          <cell r="B42">
            <v>376804</v>
          </cell>
          <cell r="C42">
            <v>47091</v>
          </cell>
          <cell r="D42">
            <v>324</v>
          </cell>
          <cell r="E42">
            <v>43235</v>
          </cell>
          <cell r="F42" t="str">
            <v>Agriculture Education FY19</v>
          </cell>
          <cell r="G42">
            <v>9979.0300000000007</v>
          </cell>
          <cell r="H42">
            <v>4773</v>
          </cell>
          <cell r="I42">
            <v>0</v>
          </cell>
          <cell r="J42" t="str">
            <v>USDE</v>
          </cell>
          <cell r="K42" t="str">
            <v>N/A</v>
          </cell>
          <cell r="L42">
            <v>43282</v>
          </cell>
          <cell r="M42">
            <v>43646</v>
          </cell>
          <cell r="N42" t="str">
            <v>ISBE</v>
          </cell>
          <cell r="O42" t="str">
            <v xml:space="preserve">19-3235-20 </v>
          </cell>
        </row>
        <row r="43">
          <cell r="B43">
            <v>376806</v>
          </cell>
          <cell r="C43">
            <v>0</v>
          </cell>
          <cell r="D43">
            <v>324</v>
          </cell>
          <cell r="E43">
            <v>43235</v>
          </cell>
          <cell r="F43" t="str">
            <v>Agriculture Education - Three Cirlces</v>
          </cell>
          <cell r="G43">
            <v>104096.34</v>
          </cell>
          <cell r="H43">
            <v>105472</v>
          </cell>
          <cell r="I43">
            <v>0</v>
          </cell>
          <cell r="J43" t="str">
            <v>USDE</v>
          </cell>
          <cell r="K43" t="str">
            <v>N/A</v>
          </cell>
          <cell r="L43">
            <v>43490</v>
          </cell>
          <cell r="M43">
            <v>43646</v>
          </cell>
          <cell r="N43" t="str">
            <v>ISBE</v>
          </cell>
          <cell r="O43" t="str">
            <v>19-3235-30</v>
          </cell>
        </row>
        <row r="44">
          <cell r="B44">
            <v>380122</v>
          </cell>
          <cell r="C44">
            <v>0</v>
          </cell>
          <cell r="D44">
            <v>324</v>
          </cell>
          <cell r="E44">
            <v>43800</v>
          </cell>
          <cell r="F44" t="str">
            <v>School District Library Grant FY19</v>
          </cell>
          <cell r="G44">
            <v>130761</v>
          </cell>
          <cell r="H44">
            <v>129846</v>
          </cell>
          <cell r="I44">
            <v>0</v>
          </cell>
          <cell r="J44" t="str">
            <v>Illinois State Library</v>
          </cell>
          <cell r="K44" t="str">
            <v>N/A</v>
          </cell>
          <cell r="L44">
            <v>43282</v>
          </cell>
          <cell r="M44">
            <v>43646</v>
          </cell>
          <cell r="N44">
            <v>0</v>
          </cell>
          <cell r="O44">
            <v>0</v>
          </cell>
        </row>
        <row r="45">
          <cell r="B45">
            <v>399926</v>
          </cell>
          <cell r="C45">
            <v>0</v>
          </cell>
          <cell r="D45">
            <v>324</v>
          </cell>
          <cell r="E45">
            <v>43399</v>
          </cell>
          <cell r="F45" t="str">
            <v>Healthy Communities Investments FY18</v>
          </cell>
          <cell r="G45">
            <v>29012.33</v>
          </cell>
          <cell r="H45">
            <v>3246662</v>
          </cell>
          <cell r="I45">
            <v>0</v>
          </cell>
          <cell r="J45" t="str">
            <v>USDE</v>
          </cell>
          <cell r="K45" t="str">
            <v>N/A</v>
          </cell>
          <cell r="L45">
            <v>42917</v>
          </cell>
          <cell r="M45">
            <v>43555</v>
          </cell>
          <cell r="N45" t="str">
            <v>ISBE</v>
          </cell>
          <cell r="O45" t="str">
            <v>17-3999-HS</v>
          </cell>
        </row>
        <row r="46">
          <cell r="B46">
            <v>399927</v>
          </cell>
          <cell r="C46">
            <v>0</v>
          </cell>
          <cell r="D46">
            <v>324</v>
          </cell>
          <cell r="E46">
            <v>43999</v>
          </cell>
          <cell r="F46" t="str">
            <v>Healthy Communities Investments FY19</v>
          </cell>
          <cell r="G46">
            <v>3269983.53</v>
          </cell>
          <cell r="H46">
            <v>3531064</v>
          </cell>
          <cell r="I46">
            <v>2.7400000000000001E-2</v>
          </cell>
          <cell r="J46" t="str">
            <v>USDE</v>
          </cell>
          <cell r="K46" t="str">
            <v>N/A</v>
          </cell>
          <cell r="L46">
            <v>43041</v>
          </cell>
          <cell r="M46">
            <v>43343</v>
          </cell>
          <cell r="N46" t="str">
            <v>ISBE</v>
          </cell>
          <cell r="O46" t="str">
            <v>18-3999-HS</v>
          </cell>
        </row>
        <row r="47">
          <cell r="B47">
            <v>399928</v>
          </cell>
          <cell r="C47">
            <v>0</v>
          </cell>
          <cell r="D47">
            <v>324</v>
          </cell>
          <cell r="E47">
            <v>0</v>
          </cell>
          <cell r="F47" t="str">
            <v>Healthy Communities Investments 17-3999</v>
          </cell>
          <cell r="G47">
            <v>3203767.69</v>
          </cell>
          <cell r="H47">
            <v>0</v>
          </cell>
          <cell r="I47">
            <v>0</v>
          </cell>
          <cell r="J47">
            <v>0</v>
          </cell>
          <cell r="K47" t="str">
            <v>N/A</v>
          </cell>
          <cell r="L47">
            <v>43282</v>
          </cell>
          <cell r="M47">
            <v>43561</v>
          </cell>
          <cell r="N47">
            <v>0</v>
          </cell>
          <cell r="O47" t="str">
            <v>19-3999-HS</v>
          </cell>
        </row>
        <row r="48">
          <cell r="B48">
            <v>399929</v>
          </cell>
          <cell r="C48">
            <v>0</v>
          </cell>
          <cell r="D48">
            <v>324</v>
          </cell>
          <cell r="E48">
            <v>43999</v>
          </cell>
          <cell r="F48" t="str">
            <v xml:space="preserve"> Healthy Communities Investments 19-3999</v>
          </cell>
          <cell r="G48">
            <v>212435.21</v>
          </cell>
          <cell r="H48">
            <v>4432347</v>
          </cell>
          <cell r="I48">
            <v>0</v>
          </cell>
          <cell r="J48" t="str">
            <v>USDE</v>
          </cell>
          <cell r="K48" t="str">
            <v>N/A</v>
          </cell>
          <cell r="L48">
            <v>43472</v>
          </cell>
          <cell r="M48">
            <v>43708</v>
          </cell>
          <cell r="N48" t="str">
            <v>ISBE</v>
          </cell>
          <cell r="O48" t="str">
            <v>19-3999-HS</v>
          </cell>
        </row>
        <row r="49">
          <cell r="B49">
            <v>399993</v>
          </cell>
          <cell r="C49">
            <v>46141</v>
          </cell>
          <cell r="D49">
            <v>326</v>
          </cell>
          <cell r="E49">
            <v>43961</v>
          </cell>
          <cell r="F49" t="str">
            <v>Advanced Placement FY18</v>
          </cell>
          <cell r="G49">
            <v>50236.52</v>
          </cell>
          <cell r="H49">
            <v>42378</v>
          </cell>
          <cell r="I49">
            <v>0</v>
          </cell>
          <cell r="J49" t="str">
            <v>USDE</v>
          </cell>
          <cell r="K49" t="str">
            <v>N/A</v>
          </cell>
          <cell r="L49">
            <v>42917</v>
          </cell>
          <cell r="M49">
            <v>43343</v>
          </cell>
          <cell r="N49" t="str">
            <v>ISBE</v>
          </cell>
          <cell r="O49" t="str">
            <v>18-3961-01</v>
          </cell>
        </row>
        <row r="50">
          <cell r="B50">
            <v>399995</v>
          </cell>
          <cell r="C50">
            <v>10845</v>
          </cell>
          <cell r="D50">
            <v>326</v>
          </cell>
          <cell r="E50">
            <v>43961</v>
          </cell>
          <cell r="F50" t="str">
            <v>Advanced Placement FY19</v>
          </cell>
          <cell r="G50">
            <v>13347.61</v>
          </cell>
          <cell r="H50">
            <v>47335</v>
          </cell>
          <cell r="I50">
            <v>0</v>
          </cell>
          <cell r="J50" t="str">
            <v>USDE</v>
          </cell>
          <cell r="K50" t="str">
            <v>N/A</v>
          </cell>
          <cell r="L50">
            <v>43282</v>
          </cell>
          <cell r="M50">
            <v>43646</v>
          </cell>
          <cell r="N50" t="str">
            <v>ISBE</v>
          </cell>
          <cell r="O50" t="str">
            <v>19-3961-05</v>
          </cell>
        </row>
        <row r="51">
          <cell r="B51">
            <v>400097</v>
          </cell>
          <cell r="C51">
            <v>0</v>
          </cell>
          <cell r="D51">
            <v>324</v>
          </cell>
          <cell r="E51">
            <v>44997</v>
          </cell>
          <cell r="F51" t="str">
            <v>Chicago Gear-Up Alliance 5 FY18</v>
          </cell>
          <cell r="G51">
            <v>168573.68</v>
          </cell>
          <cell r="H51">
            <v>1023250</v>
          </cell>
          <cell r="I51">
            <v>2.7400000000000001E-2</v>
          </cell>
          <cell r="J51" t="str">
            <v>NEIU</v>
          </cell>
          <cell r="K51" t="str">
            <v>84.334A</v>
          </cell>
          <cell r="L51">
            <v>43004</v>
          </cell>
          <cell r="M51">
            <v>43368</v>
          </cell>
          <cell r="N51" t="str">
            <v>NEIU</v>
          </cell>
          <cell r="O51" t="str">
            <v>P334A11082/P0048086</v>
          </cell>
        </row>
        <row r="52">
          <cell r="B52">
            <v>400102</v>
          </cell>
          <cell r="C52">
            <v>0</v>
          </cell>
          <cell r="D52">
            <v>324</v>
          </cell>
          <cell r="E52">
            <v>44997</v>
          </cell>
          <cell r="F52" t="str">
            <v>Chicago Gear-Up Alliance 6(Year3)</v>
          </cell>
          <cell r="G52">
            <v>-550</v>
          </cell>
          <cell r="H52">
            <v>1072855</v>
          </cell>
          <cell r="I52">
            <v>2.9100000000000001E-2</v>
          </cell>
          <cell r="J52" t="str">
            <v>NEIU</v>
          </cell>
          <cell r="K52" t="str">
            <v>84.334A</v>
          </cell>
          <cell r="L52">
            <v>42638</v>
          </cell>
          <cell r="M52">
            <v>43002</v>
          </cell>
          <cell r="N52" t="str">
            <v>NEIU</v>
          </cell>
          <cell r="O52" t="str">
            <v>P334A11082/P0044925</v>
          </cell>
        </row>
        <row r="53">
          <cell r="B53">
            <v>400103</v>
          </cell>
          <cell r="C53">
            <v>0</v>
          </cell>
          <cell r="D53">
            <v>324</v>
          </cell>
          <cell r="E53">
            <v>44997</v>
          </cell>
          <cell r="F53" t="str">
            <v>Chicago Gear-Up 6 (Year 4)</v>
          </cell>
          <cell r="G53">
            <v>203545.62</v>
          </cell>
          <cell r="H53">
            <v>864212</v>
          </cell>
          <cell r="I53">
            <v>2.7400000000000001E-2</v>
          </cell>
          <cell r="J53" t="str">
            <v>NEIU</v>
          </cell>
          <cell r="K53" t="str">
            <v>84.334A</v>
          </cell>
          <cell r="L53">
            <v>43003</v>
          </cell>
          <cell r="M53">
            <v>43367</v>
          </cell>
          <cell r="N53" t="str">
            <v>NEIU</v>
          </cell>
          <cell r="O53" t="str">
            <v>P334A11082/P0048087</v>
          </cell>
        </row>
        <row r="54">
          <cell r="B54">
            <v>400104</v>
          </cell>
          <cell r="C54">
            <v>0</v>
          </cell>
          <cell r="D54">
            <v>324</v>
          </cell>
          <cell r="E54">
            <v>44997</v>
          </cell>
          <cell r="F54" t="str">
            <v>Chicago Gear-Up 6 (Year 5)</v>
          </cell>
          <cell r="G54">
            <v>503393.51</v>
          </cell>
          <cell r="H54">
            <v>885522</v>
          </cell>
          <cell r="I54">
            <v>2.0299999999999999E-2</v>
          </cell>
          <cell r="J54" t="str">
            <v>NEIU</v>
          </cell>
          <cell r="K54" t="str">
            <v>84.334A</v>
          </cell>
          <cell r="L54">
            <v>43368</v>
          </cell>
          <cell r="M54">
            <v>43732</v>
          </cell>
          <cell r="N54" t="str">
            <v>NEIU</v>
          </cell>
          <cell r="O54" t="str">
            <v>P0052227</v>
          </cell>
        </row>
        <row r="55">
          <cell r="B55">
            <v>400412</v>
          </cell>
          <cell r="C55">
            <v>0</v>
          </cell>
          <cell r="D55">
            <v>324</v>
          </cell>
          <cell r="E55">
            <v>44099</v>
          </cell>
          <cell r="F55" t="str">
            <v>Collaborative for Academic, Social, and Emotional Learning - CASEL Little Villag FY18</v>
          </cell>
          <cell r="G55">
            <v>7244.97</v>
          </cell>
          <cell r="H55">
            <v>0</v>
          </cell>
          <cell r="I55">
            <v>0</v>
          </cell>
          <cell r="J55" t="str">
            <v>CASEL</v>
          </cell>
          <cell r="K55">
            <v>0</v>
          </cell>
          <cell r="L55">
            <v>42917</v>
          </cell>
          <cell r="M55">
            <v>43281</v>
          </cell>
          <cell r="N55">
            <v>0</v>
          </cell>
          <cell r="O55">
            <v>0</v>
          </cell>
        </row>
        <row r="56">
          <cell r="B56">
            <v>409424</v>
          </cell>
          <cell r="C56">
            <v>0</v>
          </cell>
          <cell r="D56">
            <v>324</v>
          </cell>
          <cell r="E56">
            <v>0</v>
          </cell>
          <cell r="F56" t="str">
            <v>CIMBY EPA</v>
          </cell>
          <cell r="G56">
            <v>16854.66</v>
          </cell>
          <cell r="H56">
            <v>0</v>
          </cell>
          <cell r="I56">
            <v>0</v>
          </cell>
          <cell r="J56" t="str">
            <v>US Environmental Protection Agency</v>
          </cell>
          <cell r="K56">
            <v>0</v>
          </cell>
          <cell r="L56">
            <v>42461</v>
          </cell>
          <cell r="M56">
            <v>43373</v>
          </cell>
          <cell r="N56" t="str">
            <v>EPA</v>
          </cell>
          <cell r="O56">
            <v>0</v>
          </cell>
        </row>
        <row r="57">
          <cell r="B57">
            <v>424020</v>
          </cell>
          <cell r="C57">
            <v>0</v>
          </cell>
          <cell r="D57">
            <v>324</v>
          </cell>
          <cell r="E57">
            <v>44240</v>
          </cell>
          <cell r="F57" t="str">
            <v>Fresh Fruit &amp; Vegetables Program FY19</v>
          </cell>
          <cell r="G57">
            <v>799313.78</v>
          </cell>
          <cell r="H57">
            <v>0</v>
          </cell>
          <cell r="I57">
            <v>0</v>
          </cell>
          <cell r="J57" t="str">
            <v>USDE</v>
          </cell>
          <cell r="K57">
            <v>10.582000000000001</v>
          </cell>
          <cell r="L57">
            <v>43282</v>
          </cell>
          <cell r="M57">
            <v>43738</v>
          </cell>
          <cell r="N57" t="str">
            <v>ISBE</v>
          </cell>
          <cell r="O57" t="str">
            <v>19-4240-00</v>
          </cell>
        </row>
        <row r="58">
          <cell r="B58">
            <v>424057</v>
          </cell>
          <cell r="C58">
            <v>0</v>
          </cell>
          <cell r="D58">
            <v>367</v>
          </cell>
          <cell r="E58">
            <v>44339</v>
          </cell>
          <cell r="F58" t="str">
            <v>SIG - Holmes (Cohort 5) FY18</v>
          </cell>
          <cell r="G58">
            <v>88779.57</v>
          </cell>
          <cell r="H58">
            <v>3224471</v>
          </cell>
          <cell r="I58">
            <v>2.7400000000000001E-2</v>
          </cell>
          <cell r="J58" t="str">
            <v>USDE</v>
          </cell>
          <cell r="K58" t="str">
            <v>84.377A</v>
          </cell>
          <cell r="L58">
            <v>42968</v>
          </cell>
          <cell r="M58">
            <v>43343</v>
          </cell>
          <cell r="N58" t="str">
            <v>ISBE</v>
          </cell>
          <cell r="O58" t="str">
            <v>18-4339-15</v>
          </cell>
        </row>
        <row r="59">
          <cell r="B59">
            <v>424058</v>
          </cell>
          <cell r="C59">
            <v>0</v>
          </cell>
          <cell r="D59">
            <v>367</v>
          </cell>
          <cell r="E59">
            <v>0</v>
          </cell>
          <cell r="F59" t="str">
            <v>SIG - Burke (Cohort 5) FY18</v>
          </cell>
          <cell r="G59">
            <v>49053.14</v>
          </cell>
          <cell r="H59">
            <v>0</v>
          </cell>
          <cell r="I59">
            <v>0</v>
          </cell>
          <cell r="J59" t="str">
            <v>USDE</v>
          </cell>
          <cell r="K59" t="str">
            <v>84.377A</v>
          </cell>
          <cell r="L59">
            <v>42968</v>
          </cell>
          <cell r="M59">
            <v>43343</v>
          </cell>
          <cell r="N59" t="str">
            <v>ISBE</v>
          </cell>
          <cell r="O59" t="str">
            <v>18-4339-15</v>
          </cell>
        </row>
        <row r="60">
          <cell r="B60">
            <v>424059</v>
          </cell>
          <cell r="C60">
            <v>0</v>
          </cell>
          <cell r="D60">
            <v>367</v>
          </cell>
          <cell r="E60">
            <v>0</v>
          </cell>
          <cell r="F60" t="str">
            <v>SIG - Hirsch (Cohort 5) FY18</v>
          </cell>
          <cell r="G60">
            <v>27583.96</v>
          </cell>
          <cell r="H60">
            <v>0</v>
          </cell>
          <cell r="I60">
            <v>0</v>
          </cell>
          <cell r="J60" t="str">
            <v>USDE</v>
          </cell>
          <cell r="K60" t="str">
            <v>84.377A</v>
          </cell>
          <cell r="L60">
            <v>42968</v>
          </cell>
          <cell r="M60">
            <v>43343</v>
          </cell>
          <cell r="N60" t="str">
            <v>ISBE</v>
          </cell>
          <cell r="O60" t="str">
            <v>18-4339-15</v>
          </cell>
        </row>
        <row r="61">
          <cell r="B61">
            <v>424060</v>
          </cell>
          <cell r="C61">
            <v>0</v>
          </cell>
          <cell r="D61">
            <v>367</v>
          </cell>
          <cell r="E61">
            <v>0</v>
          </cell>
          <cell r="F61" t="str">
            <v>SIG - Marshall (Cohort 5) FY18</v>
          </cell>
          <cell r="G61">
            <v>59253.82</v>
          </cell>
          <cell r="H61">
            <v>0</v>
          </cell>
          <cell r="I61">
            <v>0</v>
          </cell>
          <cell r="J61" t="str">
            <v>USDE</v>
          </cell>
          <cell r="K61" t="str">
            <v>84.377A</v>
          </cell>
          <cell r="L61">
            <v>42968</v>
          </cell>
          <cell r="M61">
            <v>43343</v>
          </cell>
          <cell r="N61" t="str">
            <v>ISBE</v>
          </cell>
          <cell r="O61" t="str">
            <v>18-4339-15</v>
          </cell>
        </row>
        <row r="62">
          <cell r="B62">
            <v>424061</v>
          </cell>
          <cell r="C62">
            <v>0</v>
          </cell>
          <cell r="D62">
            <v>367</v>
          </cell>
          <cell r="E62">
            <v>0</v>
          </cell>
          <cell r="F62" t="str">
            <v>SIG - Horace Mann (Cohort 5) FY18</v>
          </cell>
          <cell r="G62">
            <v>70794.64</v>
          </cell>
          <cell r="H62">
            <v>0</v>
          </cell>
          <cell r="I62">
            <v>0</v>
          </cell>
          <cell r="J62" t="str">
            <v>USDE</v>
          </cell>
          <cell r="K62" t="str">
            <v>84.377A</v>
          </cell>
          <cell r="L62">
            <v>42968</v>
          </cell>
          <cell r="M62">
            <v>43343</v>
          </cell>
          <cell r="N62" t="str">
            <v>ISBE</v>
          </cell>
          <cell r="O62" t="str">
            <v>18-4339-15</v>
          </cell>
        </row>
        <row r="63">
          <cell r="B63">
            <v>424063</v>
          </cell>
          <cell r="C63">
            <v>0</v>
          </cell>
          <cell r="D63">
            <v>367</v>
          </cell>
          <cell r="E63">
            <v>44339</v>
          </cell>
          <cell r="F63" t="str">
            <v>SIG - Holmes (Cohort 5) FY19</v>
          </cell>
          <cell r="G63">
            <v>277757.46999999997</v>
          </cell>
          <cell r="H63">
            <v>1526764</v>
          </cell>
          <cell r="I63">
            <v>0</v>
          </cell>
          <cell r="J63" t="str">
            <v>USDE</v>
          </cell>
          <cell r="K63" t="str">
            <v>84.377A</v>
          </cell>
          <cell r="L63">
            <v>43282</v>
          </cell>
          <cell r="M63">
            <v>43708</v>
          </cell>
          <cell r="N63" t="str">
            <v>ISBE</v>
          </cell>
          <cell r="O63" t="str">
            <v>19-4339-15</v>
          </cell>
        </row>
        <row r="64">
          <cell r="B64">
            <v>424064</v>
          </cell>
          <cell r="C64">
            <v>0</v>
          </cell>
          <cell r="D64">
            <v>367</v>
          </cell>
          <cell r="E64">
            <v>0</v>
          </cell>
          <cell r="F64" t="str">
            <v>SIG - Burke (Cohort 5) FY19</v>
          </cell>
          <cell r="G64">
            <v>285321.14</v>
          </cell>
          <cell r="H64">
            <v>0</v>
          </cell>
          <cell r="I64">
            <v>0</v>
          </cell>
          <cell r="J64" t="str">
            <v>USDE</v>
          </cell>
          <cell r="K64" t="str">
            <v>84.377A</v>
          </cell>
          <cell r="L64">
            <v>43282</v>
          </cell>
          <cell r="M64">
            <v>43708</v>
          </cell>
          <cell r="N64" t="str">
            <v>ISBE</v>
          </cell>
          <cell r="O64" t="str">
            <v>19-4339-15</v>
          </cell>
        </row>
        <row r="65">
          <cell r="B65">
            <v>424065</v>
          </cell>
          <cell r="C65">
            <v>0</v>
          </cell>
          <cell r="D65">
            <v>367</v>
          </cell>
          <cell r="E65">
            <v>0</v>
          </cell>
          <cell r="F65" t="str">
            <v>SIG - Hirsch (Cohort 5) FY19</v>
          </cell>
          <cell r="G65">
            <v>142847.21</v>
          </cell>
          <cell r="H65">
            <v>0</v>
          </cell>
          <cell r="I65">
            <v>0</v>
          </cell>
          <cell r="J65" t="str">
            <v>USDE</v>
          </cell>
          <cell r="K65" t="str">
            <v>84.377A</v>
          </cell>
          <cell r="L65">
            <v>43282</v>
          </cell>
          <cell r="M65">
            <v>43708</v>
          </cell>
          <cell r="N65" t="str">
            <v>ISBE</v>
          </cell>
          <cell r="O65" t="str">
            <v>19-4339-15</v>
          </cell>
        </row>
        <row r="66">
          <cell r="B66">
            <v>424066</v>
          </cell>
          <cell r="C66">
            <v>0</v>
          </cell>
          <cell r="D66">
            <v>367</v>
          </cell>
          <cell r="E66">
            <v>0</v>
          </cell>
          <cell r="F66" t="str">
            <v>SIG - Marshall (Cohort 5) FY19</v>
          </cell>
          <cell r="G66">
            <v>266274.42</v>
          </cell>
          <cell r="H66">
            <v>0</v>
          </cell>
          <cell r="I66">
            <v>0</v>
          </cell>
          <cell r="J66" t="str">
            <v>USDE</v>
          </cell>
          <cell r="K66" t="str">
            <v>84.377A</v>
          </cell>
          <cell r="L66">
            <v>43282</v>
          </cell>
          <cell r="M66">
            <v>43708</v>
          </cell>
          <cell r="N66" t="str">
            <v>ISBE</v>
          </cell>
          <cell r="O66" t="str">
            <v>19-4339-15</v>
          </cell>
        </row>
        <row r="67">
          <cell r="B67">
            <v>424067</v>
          </cell>
          <cell r="C67">
            <v>0</v>
          </cell>
          <cell r="D67">
            <v>367</v>
          </cell>
          <cell r="E67">
            <v>0</v>
          </cell>
          <cell r="F67" t="str">
            <v>SIG - Mann (Cohort 5) FY19</v>
          </cell>
          <cell r="G67">
            <v>220933.34</v>
          </cell>
          <cell r="H67">
            <v>0</v>
          </cell>
          <cell r="I67">
            <v>0</v>
          </cell>
          <cell r="J67" t="str">
            <v>USDE</v>
          </cell>
          <cell r="K67" t="str">
            <v>84.377A</v>
          </cell>
          <cell r="L67">
            <v>43282</v>
          </cell>
          <cell r="M67">
            <v>43708</v>
          </cell>
          <cell r="N67" t="str">
            <v>ISBE</v>
          </cell>
          <cell r="O67" t="str">
            <v>19-4339-15</v>
          </cell>
        </row>
        <row r="68">
          <cell r="B68">
            <v>424068</v>
          </cell>
          <cell r="C68">
            <v>0</v>
          </cell>
          <cell r="D68">
            <v>367</v>
          </cell>
          <cell r="E68">
            <v>0</v>
          </cell>
          <cell r="F68" t="str">
            <v>SIG - District (Cohort 5) FY19</v>
          </cell>
          <cell r="G68">
            <v>46351.74</v>
          </cell>
          <cell r="H68">
            <v>0</v>
          </cell>
          <cell r="I68">
            <v>0</v>
          </cell>
          <cell r="J68" t="str">
            <v>USDE</v>
          </cell>
          <cell r="K68" t="str">
            <v>84.377A</v>
          </cell>
          <cell r="L68">
            <v>43282</v>
          </cell>
          <cell r="M68">
            <v>43708</v>
          </cell>
          <cell r="N68" t="str">
            <v>ISBE</v>
          </cell>
          <cell r="O68" t="str">
            <v>19-4339-15</v>
          </cell>
        </row>
        <row r="69">
          <cell r="B69">
            <v>424084</v>
          </cell>
          <cell r="C69">
            <v>0</v>
          </cell>
          <cell r="D69">
            <v>367</v>
          </cell>
          <cell r="E69">
            <v>0</v>
          </cell>
          <cell r="F69" t="str">
            <v>SIG - Gage Park (Cohort 6) FY18</v>
          </cell>
          <cell r="G69">
            <v>56714.239999999998</v>
          </cell>
          <cell r="H69">
            <v>0</v>
          </cell>
          <cell r="I69">
            <v>0</v>
          </cell>
          <cell r="J69" t="str">
            <v>USDE</v>
          </cell>
          <cell r="K69" t="str">
            <v>84.377A</v>
          </cell>
          <cell r="L69">
            <v>42968</v>
          </cell>
          <cell r="M69">
            <v>43343</v>
          </cell>
          <cell r="N69" t="str">
            <v>ISBE</v>
          </cell>
          <cell r="O69" t="str">
            <v>18-4339 -16</v>
          </cell>
        </row>
        <row r="70">
          <cell r="B70">
            <v>424086</v>
          </cell>
          <cell r="C70">
            <v>0</v>
          </cell>
          <cell r="D70">
            <v>367</v>
          </cell>
          <cell r="E70">
            <v>44339</v>
          </cell>
          <cell r="F70" t="str">
            <v>SIG - Gage Park (Cohort 6) FY19</v>
          </cell>
          <cell r="G70">
            <v>1481745.64</v>
          </cell>
          <cell r="H70">
            <v>2046548</v>
          </cell>
          <cell r="I70">
            <v>0</v>
          </cell>
          <cell r="J70" t="str">
            <v>USDE</v>
          </cell>
          <cell r="K70" t="str">
            <v>84.377A</v>
          </cell>
          <cell r="L70">
            <v>43282</v>
          </cell>
          <cell r="M70">
            <v>43708</v>
          </cell>
          <cell r="N70" t="str">
            <v>ISBE</v>
          </cell>
          <cell r="O70" t="str">
            <v>19-4339-16</v>
          </cell>
        </row>
        <row r="71">
          <cell r="B71">
            <v>424087</v>
          </cell>
          <cell r="C71">
            <v>0</v>
          </cell>
          <cell r="D71">
            <v>367</v>
          </cell>
          <cell r="E71">
            <v>0</v>
          </cell>
          <cell r="F71" t="str">
            <v>SIG - District (Cohort 6) FY19</v>
          </cell>
          <cell r="G71">
            <v>61125.919999999998</v>
          </cell>
          <cell r="H71">
            <v>0</v>
          </cell>
          <cell r="I71">
            <v>0</v>
          </cell>
          <cell r="J71" t="str">
            <v>USDE</v>
          </cell>
          <cell r="K71" t="str">
            <v>84.377A</v>
          </cell>
          <cell r="L71">
            <v>43282</v>
          </cell>
          <cell r="M71">
            <v>43708</v>
          </cell>
          <cell r="N71" t="str">
            <v>ISBE</v>
          </cell>
          <cell r="O71" t="str">
            <v>19-4339-16</v>
          </cell>
        </row>
        <row r="72">
          <cell r="B72">
            <v>430169</v>
          </cell>
          <cell r="C72">
            <v>0</v>
          </cell>
          <cell r="D72">
            <v>332</v>
          </cell>
          <cell r="E72">
            <v>0</v>
          </cell>
          <cell r="F72" t="str">
            <v>Title I - School Discretionary</v>
          </cell>
          <cell r="G72">
            <v>-0.18</v>
          </cell>
          <cell r="H72">
            <v>0</v>
          </cell>
          <cell r="I72">
            <v>0</v>
          </cell>
          <cell r="J72" t="str">
            <v>USDE</v>
          </cell>
          <cell r="K72">
            <v>84.01</v>
          </cell>
          <cell r="L72">
            <v>42186</v>
          </cell>
          <cell r="M72">
            <v>42613</v>
          </cell>
          <cell r="N72" t="str">
            <v>ISBE</v>
          </cell>
          <cell r="O72" t="str">
            <v>16-4300-00</v>
          </cell>
        </row>
        <row r="73">
          <cell r="B73">
            <v>430185</v>
          </cell>
          <cell r="C73">
            <v>0</v>
          </cell>
          <cell r="D73">
            <v>332</v>
          </cell>
          <cell r="E73">
            <v>0</v>
          </cell>
          <cell r="F73" t="str">
            <v>Title I - School Discretionar</v>
          </cell>
          <cell r="G73">
            <v>1270.01</v>
          </cell>
          <cell r="H73">
            <v>0</v>
          </cell>
          <cell r="I73">
            <v>0</v>
          </cell>
          <cell r="J73" t="str">
            <v>USDE</v>
          </cell>
          <cell r="K73">
            <v>84.01</v>
          </cell>
          <cell r="L73">
            <v>42552</v>
          </cell>
          <cell r="M73">
            <v>42978</v>
          </cell>
          <cell r="N73">
            <v>0</v>
          </cell>
          <cell r="O73" t="str">
            <v>17-4300-00</v>
          </cell>
        </row>
        <row r="74">
          <cell r="B74">
            <v>430201</v>
          </cell>
          <cell r="C74">
            <v>0</v>
          </cell>
          <cell r="D74">
            <v>332</v>
          </cell>
          <cell r="E74">
            <v>44300</v>
          </cell>
          <cell r="F74" t="str">
            <v>Title I - School Discretionary</v>
          </cell>
          <cell r="G74">
            <v>1450114.91</v>
          </cell>
          <cell r="H74">
            <v>282519959</v>
          </cell>
          <cell r="I74">
            <v>2.7400000000000001E-2</v>
          </cell>
          <cell r="J74" t="str">
            <v>USDE</v>
          </cell>
          <cell r="K74" t="str">
            <v>84.010A</v>
          </cell>
          <cell r="L74">
            <v>42917</v>
          </cell>
          <cell r="M74">
            <v>43343</v>
          </cell>
          <cell r="N74" t="str">
            <v>ISBE</v>
          </cell>
          <cell r="O74" t="str">
            <v>18-4300-00</v>
          </cell>
        </row>
        <row r="75">
          <cell r="B75">
            <v>430202</v>
          </cell>
          <cell r="C75">
            <v>0</v>
          </cell>
          <cell r="D75">
            <v>332</v>
          </cell>
          <cell r="E75">
            <v>44300</v>
          </cell>
          <cell r="F75" t="str">
            <v>Nonpublic Inst. &amp; Supp. Serv. - Catholic</v>
          </cell>
          <cell r="G75">
            <v>841110.67</v>
          </cell>
          <cell r="H75">
            <v>282519959</v>
          </cell>
          <cell r="I75">
            <v>2.7400000000000001E-2</v>
          </cell>
          <cell r="J75" t="str">
            <v>USDE</v>
          </cell>
          <cell r="K75" t="str">
            <v>84.010A</v>
          </cell>
          <cell r="L75">
            <v>42917</v>
          </cell>
          <cell r="M75">
            <v>43343</v>
          </cell>
          <cell r="N75" t="str">
            <v>ISBE</v>
          </cell>
          <cell r="O75" t="str">
            <v>18-4300-00</v>
          </cell>
        </row>
        <row r="76">
          <cell r="B76">
            <v>430203</v>
          </cell>
          <cell r="C76">
            <v>0</v>
          </cell>
          <cell r="D76">
            <v>332</v>
          </cell>
          <cell r="E76">
            <v>44300</v>
          </cell>
          <cell r="F76" t="str">
            <v>Nonpublic Inst. &amp; Supp. Serv. - Independ.</v>
          </cell>
          <cell r="G76">
            <v>5670</v>
          </cell>
          <cell r="H76">
            <v>282519959</v>
          </cell>
          <cell r="I76">
            <v>2.7400000000000001E-2</v>
          </cell>
          <cell r="J76" t="str">
            <v>USDE</v>
          </cell>
          <cell r="K76" t="str">
            <v>84.010A</v>
          </cell>
          <cell r="L76">
            <v>42917</v>
          </cell>
          <cell r="M76">
            <v>43343</v>
          </cell>
          <cell r="N76" t="str">
            <v>ISBE</v>
          </cell>
          <cell r="O76" t="str">
            <v>18-4300-00</v>
          </cell>
        </row>
        <row r="77">
          <cell r="B77">
            <v>430204</v>
          </cell>
          <cell r="C77">
            <v>0</v>
          </cell>
          <cell r="D77">
            <v>332</v>
          </cell>
          <cell r="E77">
            <v>44300</v>
          </cell>
          <cell r="F77" t="str">
            <v>Nonpublic Inst. &amp; Supp. Serv. - Christian</v>
          </cell>
          <cell r="G77">
            <v>10342.719999999999</v>
          </cell>
          <cell r="H77">
            <v>282519959</v>
          </cell>
          <cell r="I77">
            <v>2.7400000000000001E-2</v>
          </cell>
          <cell r="J77" t="str">
            <v>USDE</v>
          </cell>
          <cell r="K77" t="str">
            <v>84.010A</v>
          </cell>
          <cell r="L77">
            <v>42917</v>
          </cell>
          <cell r="M77">
            <v>43343</v>
          </cell>
          <cell r="N77" t="str">
            <v>ISBE</v>
          </cell>
          <cell r="O77" t="str">
            <v>18-4300-00</v>
          </cell>
        </row>
        <row r="78">
          <cell r="B78">
            <v>430205</v>
          </cell>
          <cell r="C78">
            <v>0</v>
          </cell>
          <cell r="D78">
            <v>332</v>
          </cell>
          <cell r="E78">
            <v>44300</v>
          </cell>
          <cell r="F78" t="str">
            <v>Nonpublic Inst. &amp; Supp. Serv. - Lutheran</v>
          </cell>
          <cell r="G78">
            <v>14061.29</v>
          </cell>
          <cell r="H78">
            <v>282519959</v>
          </cell>
          <cell r="I78">
            <v>2.7400000000000001E-2</v>
          </cell>
          <cell r="J78" t="str">
            <v>USDE</v>
          </cell>
          <cell r="K78" t="str">
            <v>84.010A</v>
          </cell>
          <cell r="L78">
            <v>42917</v>
          </cell>
          <cell r="M78">
            <v>43343</v>
          </cell>
          <cell r="N78" t="str">
            <v>ISBE</v>
          </cell>
          <cell r="O78" t="str">
            <v>18-4300-00</v>
          </cell>
        </row>
        <row r="79">
          <cell r="B79">
            <v>430206</v>
          </cell>
          <cell r="C79">
            <v>0</v>
          </cell>
          <cell r="D79">
            <v>332</v>
          </cell>
          <cell r="E79">
            <v>44300</v>
          </cell>
          <cell r="F79" t="str">
            <v>Nonpublic Inst. &amp; Supp. Serv. - Jewish</v>
          </cell>
          <cell r="G79">
            <v>39568.36</v>
          </cell>
          <cell r="H79">
            <v>282519959</v>
          </cell>
          <cell r="I79">
            <v>2.7400000000000001E-2</v>
          </cell>
          <cell r="J79" t="str">
            <v>USDE</v>
          </cell>
          <cell r="K79" t="str">
            <v>84.010A</v>
          </cell>
          <cell r="L79">
            <v>42917</v>
          </cell>
          <cell r="M79">
            <v>43343</v>
          </cell>
          <cell r="N79" t="str">
            <v>ISBE</v>
          </cell>
          <cell r="O79" t="str">
            <v>18-4300-00</v>
          </cell>
        </row>
        <row r="80">
          <cell r="B80">
            <v>430207</v>
          </cell>
          <cell r="C80">
            <v>0</v>
          </cell>
          <cell r="D80">
            <v>332</v>
          </cell>
          <cell r="E80">
            <v>44300</v>
          </cell>
          <cell r="F80" t="str">
            <v>Title 1 - District Initiatives</v>
          </cell>
          <cell r="G80">
            <v>1068050.69</v>
          </cell>
          <cell r="H80">
            <v>282519959</v>
          </cell>
          <cell r="I80">
            <v>2.7400000000000001E-2</v>
          </cell>
          <cell r="J80" t="str">
            <v>USDE</v>
          </cell>
          <cell r="K80" t="str">
            <v>84.010A</v>
          </cell>
          <cell r="L80">
            <v>42917</v>
          </cell>
          <cell r="M80">
            <v>43343</v>
          </cell>
          <cell r="N80" t="str">
            <v>ISBE</v>
          </cell>
          <cell r="O80" t="str">
            <v>18-4300-00</v>
          </cell>
        </row>
        <row r="81">
          <cell r="B81">
            <v>430208</v>
          </cell>
          <cell r="C81">
            <v>0</v>
          </cell>
          <cell r="D81">
            <v>332</v>
          </cell>
          <cell r="E81">
            <v>44300</v>
          </cell>
          <cell r="F81" t="str">
            <v>Title 1 - Child Parent Centers</v>
          </cell>
          <cell r="G81">
            <v>792.7</v>
          </cell>
          <cell r="H81">
            <v>282519959</v>
          </cell>
          <cell r="I81">
            <v>2.7400000000000001E-2</v>
          </cell>
          <cell r="J81" t="str">
            <v>USDE</v>
          </cell>
          <cell r="K81" t="str">
            <v>84.010A</v>
          </cell>
          <cell r="L81">
            <v>42917</v>
          </cell>
          <cell r="M81">
            <v>43343</v>
          </cell>
          <cell r="N81" t="str">
            <v>ISBE</v>
          </cell>
          <cell r="O81" t="str">
            <v>18-4300-00</v>
          </cell>
        </row>
        <row r="82">
          <cell r="B82">
            <v>430210</v>
          </cell>
          <cell r="C82">
            <v>0</v>
          </cell>
          <cell r="D82">
            <v>332</v>
          </cell>
          <cell r="E82">
            <v>44300</v>
          </cell>
          <cell r="F82" t="str">
            <v>Mandated Parent Involvement</v>
          </cell>
          <cell r="G82">
            <v>103751.36</v>
          </cell>
          <cell r="H82">
            <v>282519959</v>
          </cell>
          <cell r="I82">
            <v>2.7400000000000001E-2</v>
          </cell>
          <cell r="J82" t="str">
            <v>USDE</v>
          </cell>
          <cell r="K82" t="str">
            <v>84.010A</v>
          </cell>
          <cell r="L82">
            <v>42917</v>
          </cell>
          <cell r="M82">
            <v>43373</v>
          </cell>
          <cell r="N82" t="str">
            <v>ISBE</v>
          </cell>
          <cell r="O82" t="str">
            <v>18-4300-00</v>
          </cell>
        </row>
        <row r="83">
          <cell r="B83">
            <v>430211</v>
          </cell>
          <cell r="C83">
            <v>0</v>
          </cell>
          <cell r="D83">
            <v>332</v>
          </cell>
          <cell r="E83">
            <v>44300</v>
          </cell>
          <cell r="F83" t="str">
            <v>Title I - NCLB - Summer Learning Initiative</v>
          </cell>
          <cell r="G83">
            <v>5599381.1600000001</v>
          </cell>
          <cell r="H83">
            <v>282519959</v>
          </cell>
          <cell r="I83">
            <v>2.7400000000000001E-2</v>
          </cell>
          <cell r="J83" t="str">
            <v>USDE</v>
          </cell>
          <cell r="K83" t="str">
            <v>84.010A</v>
          </cell>
          <cell r="L83">
            <v>42917</v>
          </cell>
          <cell r="M83">
            <v>43343</v>
          </cell>
          <cell r="N83" t="str">
            <v>ISBE</v>
          </cell>
          <cell r="O83" t="str">
            <v>18-4300-00</v>
          </cell>
        </row>
        <row r="84">
          <cell r="B84">
            <v>430212</v>
          </cell>
          <cell r="C84">
            <v>0</v>
          </cell>
          <cell r="D84">
            <v>332</v>
          </cell>
          <cell r="E84">
            <v>44300</v>
          </cell>
          <cell r="F84" t="str">
            <v>Title I - Office of Strategic School Support Services</v>
          </cell>
          <cell r="G84">
            <v>1619.78</v>
          </cell>
          <cell r="H84">
            <v>282519959</v>
          </cell>
          <cell r="I84">
            <v>2.7400000000000001E-2</v>
          </cell>
          <cell r="J84" t="str">
            <v>USDE</v>
          </cell>
          <cell r="K84" t="str">
            <v>84.010A</v>
          </cell>
          <cell r="L84">
            <v>42917</v>
          </cell>
          <cell r="M84">
            <v>43343</v>
          </cell>
          <cell r="N84" t="str">
            <v>ISBE</v>
          </cell>
          <cell r="O84" t="str">
            <v>18-4300-00</v>
          </cell>
        </row>
        <row r="85">
          <cell r="B85">
            <v>430215</v>
          </cell>
          <cell r="C85">
            <v>0</v>
          </cell>
          <cell r="D85">
            <v>332</v>
          </cell>
          <cell r="E85">
            <v>44300</v>
          </cell>
          <cell r="F85" t="str">
            <v>Title I - School Improvement Focus Initiative</v>
          </cell>
          <cell r="G85">
            <v>634.16</v>
          </cell>
          <cell r="H85">
            <v>282519959</v>
          </cell>
          <cell r="I85">
            <v>2.7400000000000001E-2</v>
          </cell>
          <cell r="J85" t="str">
            <v>USDE</v>
          </cell>
          <cell r="K85" t="str">
            <v>84.010A</v>
          </cell>
          <cell r="L85">
            <v>42917</v>
          </cell>
          <cell r="M85">
            <v>43343</v>
          </cell>
          <cell r="N85" t="str">
            <v>ISBE</v>
          </cell>
          <cell r="O85" t="str">
            <v>18-4300-00</v>
          </cell>
        </row>
        <row r="86">
          <cell r="B86">
            <v>430216</v>
          </cell>
          <cell r="C86">
            <v>0</v>
          </cell>
          <cell r="D86">
            <v>332</v>
          </cell>
          <cell r="E86">
            <v>44300</v>
          </cell>
          <cell r="F86" t="str">
            <v>Title I - School Improvement Priority Initiative</v>
          </cell>
          <cell r="G86">
            <v>89.46</v>
          </cell>
          <cell r="H86">
            <v>282519959</v>
          </cell>
          <cell r="I86">
            <v>2.7400000000000001E-2</v>
          </cell>
          <cell r="J86" t="str">
            <v>USDE</v>
          </cell>
          <cell r="K86" t="str">
            <v>84.010A</v>
          </cell>
          <cell r="L86">
            <v>42917</v>
          </cell>
          <cell r="M86">
            <v>43343</v>
          </cell>
          <cell r="N86" t="str">
            <v>ISBE</v>
          </cell>
          <cell r="O86" t="str">
            <v>18-4300-00</v>
          </cell>
        </row>
        <row r="87">
          <cell r="B87">
            <v>430217</v>
          </cell>
          <cell r="C87">
            <v>0</v>
          </cell>
          <cell r="D87">
            <v>332</v>
          </cell>
          <cell r="E87">
            <v>44300</v>
          </cell>
          <cell r="F87" t="str">
            <v>Title I - District Parent Involvement</v>
          </cell>
          <cell r="G87">
            <v>12367.51</v>
          </cell>
          <cell r="H87">
            <v>282519959</v>
          </cell>
          <cell r="I87">
            <v>2.7400000000000001E-2</v>
          </cell>
          <cell r="J87" t="str">
            <v>USDE</v>
          </cell>
          <cell r="K87" t="str">
            <v>84.010A</v>
          </cell>
          <cell r="L87">
            <v>42917</v>
          </cell>
          <cell r="M87">
            <v>43343</v>
          </cell>
          <cell r="N87" t="str">
            <v>ISBE</v>
          </cell>
          <cell r="O87" t="str">
            <v>18-4300-00</v>
          </cell>
        </row>
        <row r="88">
          <cell r="B88">
            <v>430218</v>
          </cell>
          <cell r="C88" t="str">
            <v>01000</v>
          </cell>
          <cell r="D88">
            <v>332</v>
          </cell>
          <cell r="E88">
            <v>44300</v>
          </cell>
          <cell r="F88" t="str">
            <v>Title I - School Discretionary</v>
          </cell>
          <cell r="G88">
            <v>156093627.18000001</v>
          </cell>
          <cell r="H88">
            <v>272818183</v>
          </cell>
          <cell r="I88">
            <v>2.0299999999999999E-2</v>
          </cell>
          <cell r="J88" t="str">
            <v>USDE</v>
          </cell>
          <cell r="K88" t="str">
            <v>84.010A</v>
          </cell>
          <cell r="L88">
            <v>43282</v>
          </cell>
          <cell r="M88">
            <v>43708</v>
          </cell>
          <cell r="N88" t="str">
            <v>ISBE</v>
          </cell>
          <cell r="O88" t="str">
            <v>19-4300-00</v>
          </cell>
        </row>
        <row r="89">
          <cell r="B89">
            <v>430218</v>
          </cell>
          <cell r="C89" t="str">
            <v>01000</v>
          </cell>
          <cell r="D89">
            <v>332</v>
          </cell>
          <cell r="E89">
            <v>44300</v>
          </cell>
          <cell r="F89" t="str">
            <v>Nonpublic Inst. &amp; Supp. Serv. - Catholic</v>
          </cell>
          <cell r="G89">
            <v>14154235.439999999</v>
          </cell>
          <cell r="H89">
            <v>272818183</v>
          </cell>
          <cell r="I89">
            <v>2.0299999999999999E-2</v>
          </cell>
          <cell r="J89" t="str">
            <v>USDE</v>
          </cell>
          <cell r="K89" t="str">
            <v>84.010A</v>
          </cell>
          <cell r="L89">
            <v>43282</v>
          </cell>
          <cell r="M89">
            <v>43708</v>
          </cell>
          <cell r="N89" t="str">
            <v>ISBE</v>
          </cell>
          <cell r="O89" t="str">
            <v>19-4300-00</v>
          </cell>
        </row>
        <row r="90">
          <cell r="B90">
            <v>430218</v>
          </cell>
          <cell r="C90" t="str">
            <v>01000</v>
          </cell>
          <cell r="D90">
            <v>332</v>
          </cell>
          <cell r="E90">
            <v>44300</v>
          </cell>
          <cell r="F90" t="str">
            <v>Nonpublic Inst. &amp; Supp. Serv. - Independ.</v>
          </cell>
          <cell r="G90">
            <v>682985.45</v>
          </cell>
          <cell r="H90">
            <v>272818183</v>
          </cell>
          <cell r="I90">
            <v>2.0299999999999999E-2</v>
          </cell>
          <cell r="J90" t="str">
            <v>USDE</v>
          </cell>
          <cell r="K90" t="str">
            <v>84.010A</v>
          </cell>
          <cell r="L90">
            <v>43282</v>
          </cell>
          <cell r="M90">
            <v>43708</v>
          </cell>
          <cell r="N90" t="str">
            <v>ISBE</v>
          </cell>
          <cell r="O90" t="str">
            <v>19-4300-00</v>
          </cell>
        </row>
        <row r="91">
          <cell r="B91">
            <v>430218</v>
          </cell>
          <cell r="C91" t="str">
            <v>01000</v>
          </cell>
          <cell r="D91">
            <v>332</v>
          </cell>
          <cell r="E91">
            <v>44300</v>
          </cell>
          <cell r="F91" t="str">
            <v>Nonpublic Inst. &amp; Supp. Serv. - Christian</v>
          </cell>
          <cell r="G91">
            <v>1030959.37</v>
          </cell>
          <cell r="H91">
            <v>272818183</v>
          </cell>
          <cell r="I91">
            <v>2.0299999999999999E-2</v>
          </cell>
          <cell r="J91" t="str">
            <v>USDE</v>
          </cell>
          <cell r="K91" t="str">
            <v>84.010A</v>
          </cell>
          <cell r="L91">
            <v>43282</v>
          </cell>
          <cell r="M91">
            <v>43708</v>
          </cell>
          <cell r="N91" t="str">
            <v>ISBE</v>
          </cell>
          <cell r="O91" t="str">
            <v>19-4300-00</v>
          </cell>
        </row>
        <row r="92">
          <cell r="B92">
            <v>430222</v>
          </cell>
          <cell r="C92" t="str">
            <v>01000</v>
          </cell>
          <cell r="D92">
            <v>332</v>
          </cell>
          <cell r="E92">
            <v>44300</v>
          </cell>
          <cell r="F92" t="str">
            <v>Nonpublic Inst. &amp; Supp. Serv. - Lutheran</v>
          </cell>
          <cell r="G92">
            <v>1132706.8999999999</v>
          </cell>
          <cell r="H92">
            <v>272818183</v>
          </cell>
          <cell r="I92">
            <v>2.0299999999999999E-2</v>
          </cell>
          <cell r="J92" t="str">
            <v>USDE</v>
          </cell>
          <cell r="K92" t="str">
            <v>84.010A</v>
          </cell>
          <cell r="L92">
            <v>43282</v>
          </cell>
          <cell r="M92">
            <v>43708</v>
          </cell>
          <cell r="N92" t="str">
            <v>ISBE</v>
          </cell>
          <cell r="O92" t="str">
            <v>19-4300-00</v>
          </cell>
        </row>
        <row r="93">
          <cell r="B93">
            <v>430223</v>
          </cell>
          <cell r="C93" t="str">
            <v>01000</v>
          </cell>
          <cell r="D93">
            <v>332</v>
          </cell>
          <cell r="E93">
            <v>44300</v>
          </cell>
          <cell r="F93" t="str">
            <v>Nonpublic Inst. &amp; Supp. Serv. - Jewish</v>
          </cell>
          <cell r="G93">
            <v>1387848.58</v>
          </cell>
          <cell r="H93">
            <v>272818183</v>
          </cell>
          <cell r="I93">
            <v>2.0299999999999999E-2</v>
          </cell>
          <cell r="J93" t="str">
            <v>USDE</v>
          </cell>
          <cell r="K93" t="str">
            <v>84.010A</v>
          </cell>
          <cell r="L93">
            <v>43282</v>
          </cell>
          <cell r="M93">
            <v>43708</v>
          </cell>
          <cell r="N93" t="str">
            <v>ISBE</v>
          </cell>
          <cell r="O93" t="str">
            <v>19-4300-00</v>
          </cell>
        </row>
        <row r="94">
          <cell r="B94">
            <v>430224</v>
          </cell>
          <cell r="C94">
            <v>0</v>
          </cell>
          <cell r="D94">
            <v>332</v>
          </cell>
          <cell r="E94">
            <v>0</v>
          </cell>
          <cell r="F94" t="str">
            <v>Title I - District Initiatives</v>
          </cell>
          <cell r="G94">
            <v>27616604.710000001</v>
          </cell>
          <cell r="H94">
            <v>0</v>
          </cell>
          <cell r="I94">
            <v>0</v>
          </cell>
          <cell r="J94" t="str">
            <v>USDE</v>
          </cell>
          <cell r="K94">
            <v>84.01</v>
          </cell>
          <cell r="L94">
            <v>43282</v>
          </cell>
          <cell r="M94">
            <v>43708</v>
          </cell>
          <cell r="N94" t="str">
            <v>ISBE</v>
          </cell>
          <cell r="O94" t="str">
            <v>19-4300-00</v>
          </cell>
        </row>
        <row r="95">
          <cell r="B95">
            <v>430225</v>
          </cell>
          <cell r="C95">
            <v>0</v>
          </cell>
          <cell r="D95">
            <v>332</v>
          </cell>
          <cell r="E95">
            <v>0</v>
          </cell>
          <cell r="F95" t="str">
            <v>Title I - Child Parent Centers</v>
          </cell>
          <cell r="G95">
            <v>2530718.54</v>
          </cell>
          <cell r="H95">
            <v>0</v>
          </cell>
          <cell r="I95">
            <v>0</v>
          </cell>
          <cell r="J95" t="str">
            <v>USDE</v>
          </cell>
          <cell r="K95">
            <v>84.01</v>
          </cell>
          <cell r="L95">
            <v>43282</v>
          </cell>
          <cell r="M95">
            <v>43708</v>
          </cell>
          <cell r="N95" t="str">
            <v>ISBE</v>
          </cell>
          <cell r="O95" t="str">
            <v>19-4300-00</v>
          </cell>
        </row>
        <row r="96">
          <cell r="B96">
            <v>430226</v>
          </cell>
          <cell r="C96">
            <v>0</v>
          </cell>
          <cell r="D96">
            <v>332</v>
          </cell>
          <cell r="E96">
            <v>0</v>
          </cell>
          <cell r="F96" t="str">
            <v>ESSA (NCLB Choice)</v>
          </cell>
          <cell r="G96">
            <v>7226.78</v>
          </cell>
          <cell r="H96">
            <v>0</v>
          </cell>
          <cell r="I96">
            <v>0</v>
          </cell>
          <cell r="J96" t="str">
            <v>USDE</v>
          </cell>
          <cell r="K96">
            <v>84.01</v>
          </cell>
          <cell r="L96">
            <v>43282</v>
          </cell>
          <cell r="M96">
            <v>43708</v>
          </cell>
          <cell r="N96" t="str">
            <v>ISBE</v>
          </cell>
          <cell r="O96" t="str">
            <v>19-4300-00</v>
          </cell>
        </row>
        <row r="97">
          <cell r="B97">
            <v>430227</v>
          </cell>
          <cell r="C97">
            <v>0</v>
          </cell>
          <cell r="D97">
            <v>332</v>
          </cell>
          <cell r="E97">
            <v>0</v>
          </cell>
          <cell r="F97" t="str">
            <v>Mandated Parent Involvement</v>
          </cell>
          <cell r="G97">
            <v>1459773.7</v>
          </cell>
          <cell r="H97">
            <v>0</v>
          </cell>
          <cell r="I97">
            <v>0</v>
          </cell>
          <cell r="J97" t="str">
            <v>USDE</v>
          </cell>
          <cell r="K97">
            <v>84.01</v>
          </cell>
          <cell r="L97">
            <v>43282</v>
          </cell>
          <cell r="M97">
            <v>43708</v>
          </cell>
          <cell r="N97" t="str">
            <v>ISBE</v>
          </cell>
          <cell r="O97" t="str">
            <v>19-4300-00</v>
          </cell>
        </row>
        <row r="98">
          <cell r="B98">
            <v>430228</v>
          </cell>
          <cell r="C98">
            <v>0</v>
          </cell>
          <cell r="D98">
            <v>332</v>
          </cell>
          <cell r="E98">
            <v>0</v>
          </cell>
          <cell r="F98" t="str">
            <v>Title I - ESSA - Summer Learning Initiative</v>
          </cell>
          <cell r="G98">
            <v>31091.7</v>
          </cell>
          <cell r="H98">
            <v>0</v>
          </cell>
          <cell r="I98">
            <v>0</v>
          </cell>
          <cell r="J98" t="str">
            <v>USDE</v>
          </cell>
          <cell r="K98">
            <v>84.01</v>
          </cell>
          <cell r="L98">
            <v>43282</v>
          </cell>
          <cell r="M98">
            <v>43708</v>
          </cell>
          <cell r="N98" t="str">
            <v>ISBE</v>
          </cell>
          <cell r="O98" t="str">
            <v>19-4300-00</v>
          </cell>
        </row>
        <row r="99">
          <cell r="B99">
            <v>430229</v>
          </cell>
          <cell r="C99">
            <v>0</v>
          </cell>
          <cell r="D99">
            <v>332</v>
          </cell>
          <cell r="E99">
            <v>0</v>
          </cell>
          <cell r="F99" t="str">
            <v>Title I - Office of Strategic School Support Services</v>
          </cell>
          <cell r="G99">
            <v>9041690.3800000008</v>
          </cell>
          <cell r="H99">
            <v>0</v>
          </cell>
          <cell r="I99">
            <v>0</v>
          </cell>
          <cell r="J99" t="str">
            <v>USDE</v>
          </cell>
          <cell r="K99">
            <v>84.01</v>
          </cell>
          <cell r="L99">
            <v>43282</v>
          </cell>
          <cell r="M99">
            <v>43708</v>
          </cell>
          <cell r="N99" t="str">
            <v>ISBE</v>
          </cell>
          <cell r="O99" t="str">
            <v>19-4300-00</v>
          </cell>
        </row>
        <row r="100">
          <cell r="B100">
            <v>430231</v>
          </cell>
          <cell r="C100">
            <v>0</v>
          </cell>
          <cell r="D100">
            <v>332</v>
          </cell>
          <cell r="E100">
            <v>0</v>
          </cell>
          <cell r="F100" t="str">
            <v>Title I - School Improvement Focus Initiative</v>
          </cell>
          <cell r="G100">
            <v>1877443</v>
          </cell>
          <cell r="H100">
            <v>0</v>
          </cell>
          <cell r="I100">
            <v>0</v>
          </cell>
          <cell r="J100" t="str">
            <v>USDE</v>
          </cell>
          <cell r="K100">
            <v>84.01</v>
          </cell>
          <cell r="L100">
            <v>43282</v>
          </cell>
          <cell r="M100">
            <v>43708</v>
          </cell>
          <cell r="N100" t="str">
            <v>ISBE</v>
          </cell>
          <cell r="O100" t="str">
            <v>19-4300-00</v>
          </cell>
        </row>
        <row r="101">
          <cell r="B101">
            <v>430232</v>
          </cell>
          <cell r="C101">
            <v>0</v>
          </cell>
          <cell r="D101">
            <v>332</v>
          </cell>
          <cell r="E101">
            <v>0</v>
          </cell>
          <cell r="F101" t="str">
            <v>Title I - School Improvement Priority Initiative</v>
          </cell>
          <cell r="G101">
            <v>4348123.22</v>
          </cell>
          <cell r="H101">
            <v>0</v>
          </cell>
          <cell r="I101">
            <v>0</v>
          </cell>
          <cell r="J101" t="str">
            <v>USDE</v>
          </cell>
          <cell r="K101">
            <v>84.01</v>
          </cell>
          <cell r="L101">
            <v>43282</v>
          </cell>
          <cell r="M101">
            <v>43708</v>
          </cell>
          <cell r="N101" t="str">
            <v>ISBE</v>
          </cell>
          <cell r="O101" t="str">
            <v>19-4300-00</v>
          </cell>
        </row>
        <row r="102">
          <cell r="B102">
            <v>430233</v>
          </cell>
          <cell r="C102">
            <v>0</v>
          </cell>
          <cell r="D102">
            <v>332</v>
          </cell>
          <cell r="E102">
            <v>0</v>
          </cell>
          <cell r="F102" t="str">
            <v>Title I - District Parent Involvement</v>
          </cell>
          <cell r="G102">
            <v>353533.63</v>
          </cell>
          <cell r="H102">
            <v>0</v>
          </cell>
          <cell r="I102">
            <v>0</v>
          </cell>
          <cell r="J102" t="str">
            <v>USDE</v>
          </cell>
          <cell r="K102">
            <v>84.01</v>
          </cell>
          <cell r="L102">
            <v>43282</v>
          </cell>
          <cell r="M102">
            <v>43708</v>
          </cell>
          <cell r="N102" t="str">
            <v>ISBE</v>
          </cell>
          <cell r="O102" t="str">
            <v>19-4300-00</v>
          </cell>
        </row>
        <row r="103">
          <cell r="B103">
            <v>430523</v>
          </cell>
          <cell r="C103">
            <v>0</v>
          </cell>
          <cell r="D103">
            <v>334</v>
          </cell>
          <cell r="E103">
            <v>44305</v>
          </cell>
          <cell r="F103" t="str">
            <v>Neglected Programs</v>
          </cell>
          <cell r="G103">
            <v>-527</v>
          </cell>
          <cell r="H103">
            <v>684384</v>
          </cell>
          <cell r="I103">
            <v>0</v>
          </cell>
          <cell r="J103" t="str">
            <v>USDE</v>
          </cell>
          <cell r="K103" t="str">
            <v>84.010A</v>
          </cell>
          <cell r="L103">
            <v>42552</v>
          </cell>
          <cell r="M103">
            <v>42978</v>
          </cell>
          <cell r="N103" t="str">
            <v>ISBE</v>
          </cell>
          <cell r="O103" t="str">
            <v>17-4305-00</v>
          </cell>
        </row>
        <row r="104">
          <cell r="B104">
            <v>430524</v>
          </cell>
          <cell r="C104">
            <v>0</v>
          </cell>
          <cell r="D104">
            <v>334</v>
          </cell>
          <cell r="E104">
            <v>44305</v>
          </cell>
          <cell r="F104" t="str">
            <v>Neglected Programs FY18</v>
          </cell>
          <cell r="G104">
            <v>95052.13</v>
          </cell>
          <cell r="H104">
            <v>624385</v>
          </cell>
          <cell r="I104">
            <v>2.7400000000000001E-2</v>
          </cell>
          <cell r="J104" t="str">
            <v>USDE</v>
          </cell>
          <cell r="K104" t="str">
            <v>84.010A</v>
          </cell>
          <cell r="L104">
            <v>43007</v>
          </cell>
          <cell r="M104">
            <v>43343</v>
          </cell>
          <cell r="N104" t="str">
            <v>ISBE</v>
          </cell>
          <cell r="O104" t="str">
            <v>18-4305-00</v>
          </cell>
        </row>
        <row r="105">
          <cell r="B105">
            <v>430525</v>
          </cell>
          <cell r="C105">
            <v>0</v>
          </cell>
          <cell r="D105">
            <v>334</v>
          </cell>
          <cell r="E105">
            <v>44305</v>
          </cell>
          <cell r="F105" t="str">
            <v>Neglected Programs FY19</v>
          </cell>
          <cell r="G105">
            <v>431858.02</v>
          </cell>
          <cell r="H105">
            <v>657430</v>
          </cell>
          <cell r="I105">
            <v>0</v>
          </cell>
          <cell r="J105" t="str">
            <v>USDE</v>
          </cell>
          <cell r="K105" t="str">
            <v>84.010A</v>
          </cell>
          <cell r="L105">
            <v>43282</v>
          </cell>
          <cell r="M105">
            <v>43708</v>
          </cell>
          <cell r="N105" t="str">
            <v>ISBE</v>
          </cell>
          <cell r="O105" t="str">
            <v>19-4305-00</v>
          </cell>
        </row>
        <row r="106">
          <cell r="B106">
            <v>430624</v>
          </cell>
          <cell r="C106">
            <v>0</v>
          </cell>
          <cell r="D106">
            <v>334</v>
          </cell>
          <cell r="E106">
            <v>44306</v>
          </cell>
          <cell r="F106" t="str">
            <v>Delinquent Programs FY18</v>
          </cell>
          <cell r="G106">
            <v>228695.1</v>
          </cell>
          <cell r="H106">
            <v>1332876</v>
          </cell>
          <cell r="I106">
            <v>2.7400000000000001E-2</v>
          </cell>
          <cell r="J106" t="str">
            <v>USDE</v>
          </cell>
          <cell r="K106" t="str">
            <v>84.010A</v>
          </cell>
          <cell r="L106">
            <v>43007</v>
          </cell>
          <cell r="M106">
            <v>43343</v>
          </cell>
          <cell r="N106" t="str">
            <v>ISBE</v>
          </cell>
          <cell r="O106" t="str">
            <v>18-4306-00</v>
          </cell>
        </row>
        <row r="107">
          <cell r="B107">
            <v>430625</v>
          </cell>
          <cell r="C107">
            <v>0</v>
          </cell>
          <cell r="D107">
            <v>334</v>
          </cell>
          <cell r="E107">
            <v>44306</v>
          </cell>
          <cell r="F107" t="str">
            <v>Delinquent Programs FY19</v>
          </cell>
          <cell r="G107">
            <v>718241.78</v>
          </cell>
          <cell r="H107">
            <v>1433470</v>
          </cell>
          <cell r="I107">
            <v>2.0299999999999999E-2</v>
          </cell>
          <cell r="J107" t="str">
            <v>USDE</v>
          </cell>
          <cell r="K107" t="str">
            <v>84.010A</v>
          </cell>
          <cell r="L107">
            <v>43282</v>
          </cell>
          <cell r="M107">
            <v>43708</v>
          </cell>
          <cell r="N107" t="str">
            <v>ISBE</v>
          </cell>
          <cell r="O107" t="str">
            <v>19-4306-00</v>
          </cell>
        </row>
        <row r="108">
          <cell r="B108">
            <v>433124</v>
          </cell>
          <cell r="C108">
            <v>0</v>
          </cell>
          <cell r="D108">
            <v>367</v>
          </cell>
          <cell r="E108">
            <v>44331</v>
          </cell>
          <cell r="F108" t="str">
            <v>Title I School Improvement Grant- (SOSS) FY18</v>
          </cell>
          <cell r="G108">
            <v>413602.84</v>
          </cell>
          <cell r="H108">
            <v>3915800</v>
          </cell>
          <cell r="I108">
            <v>2.7400000000000001E-2</v>
          </cell>
          <cell r="J108" t="str">
            <v>USDE</v>
          </cell>
          <cell r="K108" t="str">
            <v>84.010A</v>
          </cell>
          <cell r="L108">
            <v>42978</v>
          </cell>
          <cell r="M108">
            <v>43343</v>
          </cell>
          <cell r="N108" t="str">
            <v>ISBE</v>
          </cell>
          <cell r="O108" t="str">
            <v>18-4331-SS</v>
          </cell>
        </row>
        <row r="109">
          <cell r="B109">
            <v>433131</v>
          </cell>
          <cell r="C109" t="str">
            <v>01000</v>
          </cell>
          <cell r="D109">
            <v>367</v>
          </cell>
          <cell r="E109">
            <v>44331</v>
          </cell>
          <cell r="F109" t="str">
            <v>Il-Empower (Cohort 19 - Grant 1) FY19</v>
          </cell>
          <cell r="G109">
            <v>569754.01</v>
          </cell>
          <cell r="H109">
            <v>1774770</v>
          </cell>
          <cell r="I109">
            <v>0</v>
          </cell>
          <cell r="J109" t="str">
            <v>ISBE</v>
          </cell>
          <cell r="K109" t="str">
            <v>84.010A</v>
          </cell>
          <cell r="L109">
            <v>43518</v>
          </cell>
          <cell r="M109">
            <v>43708</v>
          </cell>
          <cell r="N109" t="str">
            <v>ISBE</v>
          </cell>
          <cell r="O109" t="str">
            <v>19-4331-19</v>
          </cell>
        </row>
        <row r="110">
          <cell r="B110">
            <v>433132</v>
          </cell>
          <cell r="C110" t="str">
            <v>01000</v>
          </cell>
          <cell r="D110">
            <v>367</v>
          </cell>
          <cell r="E110">
            <v>44331</v>
          </cell>
          <cell r="F110" t="str">
            <v xml:space="preserve"> Il-Empower (Cohort 19 - Grant 2) FY19</v>
          </cell>
          <cell r="G110">
            <v>249824.94</v>
          </cell>
          <cell r="H110">
            <v>4053053</v>
          </cell>
          <cell r="I110">
            <v>0</v>
          </cell>
          <cell r="J110" t="str">
            <v>ISBE</v>
          </cell>
          <cell r="K110" t="str">
            <v>84.010A</v>
          </cell>
          <cell r="L110">
            <v>43518</v>
          </cell>
          <cell r="M110">
            <v>43708</v>
          </cell>
          <cell r="N110" t="str">
            <v>ISBE</v>
          </cell>
          <cell r="O110" t="str">
            <v>19-4331-29</v>
          </cell>
        </row>
        <row r="111">
          <cell r="B111">
            <v>433133</v>
          </cell>
          <cell r="C111" t="str">
            <v>01000</v>
          </cell>
          <cell r="D111">
            <v>367</v>
          </cell>
          <cell r="E111">
            <v>44331</v>
          </cell>
          <cell r="F111" t="str">
            <v>Il-Empower (Cohort 19 - Grant 3) FY19</v>
          </cell>
          <cell r="G111">
            <v>772848.49</v>
          </cell>
          <cell r="H111">
            <v>1721377</v>
          </cell>
          <cell r="I111">
            <v>0</v>
          </cell>
          <cell r="J111" t="str">
            <v>ISBE</v>
          </cell>
          <cell r="K111" t="str">
            <v>84.010A</v>
          </cell>
          <cell r="L111">
            <v>43518</v>
          </cell>
          <cell r="M111">
            <v>43708</v>
          </cell>
          <cell r="N111" t="str">
            <v>ISBE</v>
          </cell>
          <cell r="O111" t="str">
            <v>19-4331-39</v>
          </cell>
        </row>
        <row r="112">
          <cell r="B112">
            <v>433134</v>
          </cell>
          <cell r="C112" t="str">
            <v>01000</v>
          </cell>
          <cell r="D112">
            <v>367</v>
          </cell>
          <cell r="E112">
            <v>44331</v>
          </cell>
          <cell r="F112" t="str">
            <v>Il-Empower (Cohort 19 - Grant 4) FY19</v>
          </cell>
          <cell r="G112">
            <v>1379171.15</v>
          </cell>
          <cell r="H112">
            <v>3863430</v>
          </cell>
          <cell r="I112">
            <v>0</v>
          </cell>
          <cell r="J112" t="str">
            <v>ISBE</v>
          </cell>
          <cell r="K112" t="str">
            <v>84.010A</v>
          </cell>
          <cell r="L112">
            <v>43518</v>
          </cell>
          <cell r="M112">
            <v>43708</v>
          </cell>
          <cell r="N112" t="str">
            <v>ISBE</v>
          </cell>
          <cell r="O112" t="str">
            <v>19-4331-49</v>
          </cell>
        </row>
        <row r="113">
          <cell r="B113">
            <v>433135</v>
          </cell>
          <cell r="C113" t="str">
            <v>01000</v>
          </cell>
          <cell r="D113">
            <v>367</v>
          </cell>
          <cell r="E113">
            <v>44331</v>
          </cell>
          <cell r="F113" t="str">
            <v xml:space="preserve"> Il-Empower (Cohort 19 - Grant 5) FY19</v>
          </cell>
          <cell r="G113">
            <v>788920.08</v>
          </cell>
          <cell r="H113">
            <v>2158818</v>
          </cell>
          <cell r="I113">
            <v>0</v>
          </cell>
          <cell r="J113" t="str">
            <v>ISBE</v>
          </cell>
          <cell r="K113" t="str">
            <v>84.010A</v>
          </cell>
          <cell r="L113">
            <v>43518</v>
          </cell>
          <cell r="M113">
            <v>43708</v>
          </cell>
          <cell r="N113" t="str">
            <v>ISBE</v>
          </cell>
          <cell r="O113" t="str">
            <v>19-4331-59</v>
          </cell>
        </row>
        <row r="114">
          <cell r="B114">
            <v>433136</v>
          </cell>
          <cell r="C114" t="str">
            <v>01000</v>
          </cell>
          <cell r="D114">
            <v>367</v>
          </cell>
          <cell r="E114">
            <v>44331</v>
          </cell>
          <cell r="F114" t="str">
            <v>Il-Empower (Cohort 19 - Grant 6) FY19</v>
          </cell>
          <cell r="G114">
            <v>1445843.62</v>
          </cell>
          <cell r="H114">
            <v>3290615</v>
          </cell>
          <cell r="I114">
            <v>0</v>
          </cell>
          <cell r="J114" t="str">
            <v>ISBE</v>
          </cell>
          <cell r="K114" t="str">
            <v>84.010A</v>
          </cell>
          <cell r="L114">
            <v>43518</v>
          </cell>
          <cell r="M114">
            <v>43708</v>
          </cell>
          <cell r="N114" t="str">
            <v>ISBE</v>
          </cell>
          <cell r="O114" t="str">
            <v>19-4331-69</v>
          </cell>
        </row>
        <row r="115">
          <cell r="B115">
            <v>433137</v>
          </cell>
          <cell r="C115" t="str">
            <v>01000</v>
          </cell>
          <cell r="D115">
            <v>367</v>
          </cell>
          <cell r="E115">
            <v>44331</v>
          </cell>
          <cell r="F115" t="str">
            <v>Il-Empower (Cohort 19 - Grant 7) FY19</v>
          </cell>
          <cell r="G115">
            <v>1041612.22</v>
          </cell>
          <cell r="H115">
            <v>2742241</v>
          </cell>
          <cell r="I115">
            <v>0</v>
          </cell>
          <cell r="J115" t="str">
            <v>ISBE</v>
          </cell>
          <cell r="K115" t="str">
            <v>84.010A</v>
          </cell>
          <cell r="L115">
            <v>43518</v>
          </cell>
          <cell r="M115">
            <v>43708</v>
          </cell>
          <cell r="N115" t="str">
            <v>ISBE</v>
          </cell>
          <cell r="O115" t="str">
            <v>19-4331-79</v>
          </cell>
        </row>
        <row r="116">
          <cell r="B116">
            <v>433138</v>
          </cell>
          <cell r="C116" t="str">
            <v>01000</v>
          </cell>
          <cell r="D116">
            <v>367</v>
          </cell>
          <cell r="E116">
            <v>44331</v>
          </cell>
          <cell r="F116" t="str">
            <v>Il-Empower (Cohort 19 - Grant 8) FY19</v>
          </cell>
          <cell r="G116">
            <v>1288607.03</v>
          </cell>
          <cell r="H116">
            <v>2906390</v>
          </cell>
          <cell r="I116">
            <v>0</v>
          </cell>
          <cell r="J116" t="str">
            <v>ISBE</v>
          </cell>
          <cell r="K116" t="str">
            <v>84.010A</v>
          </cell>
          <cell r="L116">
            <v>43518</v>
          </cell>
          <cell r="M116">
            <v>43708</v>
          </cell>
          <cell r="N116" t="str">
            <v>ISBE</v>
          </cell>
          <cell r="O116" t="str">
            <v>19-4331-89</v>
          </cell>
        </row>
        <row r="117">
          <cell r="B117">
            <v>433139</v>
          </cell>
          <cell r="C117" t="str">
            <v>01000</v>
          </cell>
          <cell r="D117">
            <v>367</v>
          </cell>
          <cell r="E117">
            <v>44331</v>
          </cell>
          <cell r="F117" t="str">
            <v>Il-Empower (Cohort 19 - Grant 9) FY19</v>
          </cell>
          <cell r="G117">
            <v>1492231.2</v>
          </cell>
          <cell r="H117">
            <v>2250000</v>
          </cell>
          <cell r="I117">
            <v>0</v>
          </cell>
          <cell r="J117" t="str">
            <v>ISBE</v>
          </cell>
          <cell r="K117" t="str">
            <v>84.010A</v>
          </cell>
          <cell r="L117">
            <v>43518</v>
          </cell>
          <cell r="M117">
            <v>43708</v>
          </cell>
          <cell r="N117" t="str">
            <v>ISBE</v>
          </cell>
          <cell r="O117" t="str">
            <v>19-4331-90</v>
          </cell>
        </row>
        <row r="118">
          <cell r="B118">
            <v>433140</v>
          </cell>
          <cell r="C118" t="str">
            <v>01000</v>
          </cell>
          <cell r="D118">
            <v>367</v>
          </cell>
          <cell r="E118">
            <v>44331</v>
          </cell>
          <cell r="F118" t="str">
            <v>Il-Empower (Cohort 19 - Grant 10) FY19</v>
          </cell>
          <cell r="G118">
            <v>652903.66</v>
          </cell>
          <cell r="H118">
            <v>2874502</v>
          </cell>
          <cell r="I118">
            <v>0</v>
          </cell>
          <cell r="J118" t="str">
            <v>ISBE</v>
          </cell>
          <cell r="K118" t="str">
            <v>84.010A</v>
          </cell>
          <cell r="L118">
            <v>43518</v>
          </cell>
          <cell r="M118">
            <v>43708</v>
          </cell>
          <cell r="N118" t="str">
            <v>ISBE</v>
          </cell>
          <cell r="O118" t="str">
            <v>19-4331-99</v>
          </cell>
        </row>
        <row r="119">
          <cell r="B119">
            <v>439605</v>
          </cell>
          <cell r="C119">
            <v>0</v>
          </cell>
          <cell r="D119">
            <v>324</v>
          </cell>
          <cell r="E119">
            <v>44099</v>
          </cell>
          <cell r="F119" t="str">
            <v>Critical Mass Year 5</v>
          </cell>
          <cell r="G119">
            <v>31213.9</v>
          </cell>
          <cell r="H119">
            <v>395000</v>
          </cell>
          <cell r="I119">
            <v>0</v>
          </cell>
          <cell r="J119" t="str">
            <v>Office of Naval Research</v>
          </cell>
          <cell r="K119" t="str">
            <v>12.30</v>
          </cell>
          <cell r="L119">
            <v>42912</v>
          </cell>
          <cell r="M119">
            <v>43312</v>
          </cell>
          <cell r="N119" t="str">
            <v>City Colleges of Chicago</v>
          </cell>
          <cell r="O119" t="str">
            <v>18-12-1-0738</v>
          </cell>
        </row>
        <row r="120">
          <cell r="B120">
            <v>439606</v>
          </cell>
          <cell r="C120">
            <v>0</v>
          </cell>
          <cell r="D120">
            <v>324</v>
          </cell>
          <cell r="E120">
            <v>44099</v>
          </cell>
          <cell r="F120" t="str">
            <v>Critical Mass Year 6</v>
          </cell>
          <cell r="G120">
            <v>254763.97</v>
          </cell>
          <cell r="H120">
            <v>395000</v>
          </cell>
          <cell r="I120">
            <v>0</v>
          </cell>
          <cell r="J120" t="str">
            <v>Office of Naval Research</v>
          </cell>
          <cell r="K120" t="str">
            <v>12.30</v>
          </cell>
          <cell r="L120">
            <v>43277</v>
          </cell>
          <cell r="M120">
            <v>43677</v>
          </cell>
          <cell r="N120" t="str">
            <v>City Colleges of Chicago</v>
          </cell>
          <cell r="O120" t="str">
            <v>19-12-1-0738</v>
          </cell>
        </row>
        <row r="121">
          <cell r="B121">
            <v>439901</v>
          </cell>
          <cell r="C121">
            <v>0</v>
          </cell>
          <cell r="D121">
            <v>367</v>
          </cell>
          <cell r="E121">
            <v>44999</v>
          </cell>
          <cell r="F121" t="str">
            <v>IL Empower FY18</v>
          </cell>
          <cell r="G121">
            <v>31427.47</v>
          </cell>
          <cell r="H121">
            <v>75000</v>
          </cell>
          <cell r="I121">
            <v>0</v>
          </cell>
          <cell r="J121" t="str">
            <v>ISBE</v>
          </cell>
          <cell r="K121" t="str">
            <v>84.010A</v>
          </cell>
          <cell r="L121">
            <v>43187</v>
          </cell>
          <cell r="M121">
            <v>43343</v>
          </cell>
          <cell r="N121" t="str">
            <v>ISBE</v>
          </cell>
          <cell r="O121" t="str">
            <v>18-4399-IP</v>
          </cell>
        </row>
        <row r="122">
          <cell r="B122">
            <v>439902</v>
          </cell>
          <cell r="C122">
            <v>0</v>
          </cell>
          <cell r="D122">
            <v>367</v>
          </cell>
          <cell r="E122">
            <v>44999</v>
          </cell>
          <cell r="F122" t="str">
            <v>IL Empower FY19</v>
          </cell>
          <cell r="G122">
            <v>31427.47</v>
          </cell>
          <cell r="H122">
            <v>0</v>
          </cell>
          <cell r="I122">
            <v>0</v>
          </cell>
          <cell r="J122" t="str">
            <v>ISBE</v>
          </cell>
          <cell r="K122" t="str">
            <v>84.010A</v>
          </cell>
          <cell r="L122">
            <v>43497</v>
          </cell>
          <cell r="M122">
            <v>43646</v>
          </cell>
          <cell r="N122" t="str">
            <v>ISBE</v>
          </cell>
          <cell r="O122" t="str">
            <v>19-4399-IP</v>
          </cell>
        </row>
        <row r="123">
          <cell r="B123">
            <v>440042</v>
          </cell>
          <cell r="C123">
            <v>0</v>
          </cell>
          <cell r="D123">
            <v>358</v>
          </cell>
          <cell r="E123">
            <v>44400</v>
          </cell>
          <cell r="F123" t="str">
            <v>Title IV, Part A</v>
          </cell>
          <cell r="G123">
            <v>371404.09</v>
          </cell>
          <cell r="H123">
            <v>3955713</v>
          </cell>
          <cell r="I123">
            <v>2.7400000000000001E-2</v>
          </cell>
          <cell r="J123" t="str">
            <v>USED/ISBE</v>
          </cell>
          <cell r="K123" t="str">
            <v>84.424A</v>
          </cell>
          <cell r="L123">
            <v>42917</v>
          </cell>
          <cell r="M123">
            <v>43281</v>
          </cell>
          <cell r="N123" t="str">
            <v>ISBE</v>
          </cell>
          <cell r="O123" t="str">
            <v>18-4400-00</v>
          </cell>
        </row>
        <row r="124">
          <cell r="B124">
            <v>440043</v>
          </cell>
          <cell r="C124">
            <v>0</v>
          </cell>
          <cell r="D124">
            <v>358</v>
          </cell>
          <cell r="E124">
            <v>0</v>
          </cell>
          <cell r="F124" t="str">
            <v>Title IV, Part A - Nonpublic</v>
          </cell>
          <cell r="G124">
            <v>147696.59</v>
          </cell>
          <cell r="H124">
            <v>0</v>
          </cell>
          <cell r="I124">
            <v>0</v>
          </cell>
          <cell r="J124" t="str">
            <v>USED/ISBE</v>
          </cell>
          <cell r="K124">
            <v>0</v>
          </cell>
          <cell r="L124">
            <v>42917</v>
          </cell>
          <cell r="M124">
            <v>43343</v>
          </cell>
          <cell r="N124">
            <v>0</v>
          </cell>
          <cell r="O124" t="str">
            <v>18-4400-00</v>
          </cell>
        </row>
        <row r="125">
          <cell r="B125">
            <v>440044</v>
          </cell>
          <cell r="C125">
            <v>0</v>
          </cell>
          <cell r="D125">
            <v>358</v>
          </cell>
          <cell r="E125">
            <v>44400</v>
          </cell>
          <cell r="F125" t="str">
            <v>Title IV, Part A</v>
          </cell>
          <cell r="G125">
            <v>6578309.7000000002</v>
          </cell>
          <cell r="H125">
            <v>12059497</v>
          </cell>
          <cell r="I125">
            <v>0</v>
          </cell>
          <cell r="J125" t="str">
            <v>USDE</v>
          </cell>
          <cell r="K125" t="str">
            <v>84.424A</v>
          </cell>
          <cell r="L125">
            <v>43282</v>
          </cell>
          <cell r="M125">
            <v>43708</v>
          </cell>
          <cell r="N125" t="str">
            <v>ISBE</v>
          </cell>
          <cell r="O125" t="str">
            <v>19-4400-00</v>
          </cell>
        </row>
        <row r="126">
          <cell r="B126">
            <v>440045</v>
          </cell>
          <cell r="C126">
            <v>0</v>
          </cell>
          <cell r="D126">
            <v>358</v>
          </cell>
          <cell r="E126">
            <v>0</v>
          </cell>
          <cell r="F126" t="str">
            <v>Title IV, Part A - Nonpublic</v>
          </cell>
          <cell r="G126">
            <v>1297202.83</v>
          </cell>
          <cell r="H126">
            <v>0</v>
          </cell>
          <cell r="I126">
            <v>0</v>
          </cell>
          <cell r="J126" t="str">
            <v>USED/ISBE</v>
          </cell>
          <cell r="K126">
            <v>0</v>
          </cell>
          <cell r="L126">
            <v>43282</v>
          </cell>
          <cell r="M126">
            <v>43708</v>
          </cell>
          <cell r="N126">
            <v>0</v>
          </cell>
          <cell r="O126">
            <v>0</v>
          </cell>
        </row>
        <row r="127">
          <cell r="B127">
            <v>440217</v>
          </cell>
          <cell r="C127">
            <v>0</v>
          </cell>
          <cell r="D127">
            <v>324</v>
          </cell>
          <cell r="E127">
            <v>44099</v>
          </cell>
          <cell r="F127" t="str">
            <v>Homeless Services Food Stamp Outreach FY19</v>
          </cell>
          <cell r="G127">
            <v>36442.33</v>
          </cell>
          <cell r="H127">
            <v>345265</v>
          </cell>
          <cell r="I127">
            <v>0</v>
          </cell>
          <cell r="J127" t="str">
            <v>IDHS</v>
          </cell>
          <cell r="K127">
            <v>10.561</v>
          </cell>
          <cell r="L127">
            <v>43374</v>
          </cell>
          <cell r="M127">
            <v>43738</v>
          </cell>
          <cell r="N127" t="str">
            <v>IDHS</v>
          </cell>
          <cell r="O127" t="str">
            <v>FCSXQ04965</v>
          </cell>
        </row>
        <row r="128">
          <cell r="B128">
            <v>442164</v>
          </cell>
          <cell r="C128">
            <v>0</v>
          </cell>
          <cell r="D128">
            <v>324</v>
          </cell>
          <cell r="E128">
            <v>44421</v>
          </cell>
          <cell r="F128" t="str">
            <v>21st Century Community Learning Centers FY18</v>
          </cell>
          <cell r="G128">
            <v>524479.43000000005</v>
          </cell>
          <cell r="H128">
            <v>3150000</v>
          </cell>
          <cell r="I128">
            <v>2.7400000000000001E-2</v>
          </cell>
          <cell r="J128" t="str">
            <v>USDE</v>
          </cell>
          <cell r="K128" t="str">
            <v>84.287C</v>
          </cell>
          <cell r="L128">
            <v>42917</v>
          </cell>
          <cell r="M128">
            <v>43343</v>
          </cell>
          <cell r="N128" t="str">
            <v>ISBE</v>
          </cell>
          <cell r="O128" t="str">
            <v>18-4421-13</v>
          </cell>
        </row>
        <row r="129">
          <cell r="B129">
            <v>442165</v>
          </cell>
          <cell r="C129">
            <v>0</v>
          </cell>
          <cell r="D129">
            <v>324</v>
          </cell>
          <cell r="E129">
            <v>44421</v>
          </cell>
          <cell r="F129" t="str">
            <v>21st Century Community Learning Centers - (Cohort 15-Grant 1) FY18</v>
          </cell>
          <cell r="G129">
            <v>77773.679999999993</v>
          </cell>
          <cell r="H129">
            <v>540000</v>
          </cell>
          <cell r="I129">
            <v>2.7400000000000001E-2</v>
          </cell>
          <cell r="J129" t="str">
            <v>USDE</v>
          </cell>
          <cell r="K129" t="str">
            <v>84.287C</v>
          </cell>
          <cell r="L129">
            <v>42917</v>
          </cell>
          <cell r="M129">
            <v>43343</v>
          </cell>
          <cell r="N129" t="str">
            <v>ISBE</v>
          </cell>
          <cell r="O129" t="str">
            <v>18-4421-15</v>
          </cell>
        </row>
        <row r="130">
          <cell r="B130">
            <v>442166</v>
          </cell>
          <cell r="C130">
            <v>0</v>
          </cell>
          <cell r="D130">
            <v>324</v>
          </cell>
          <cell r="E130">
            <v>44421</v>
          </cell>
          <cell r="F130" t="str">
            <v>21st Century Community Learning Centers - (Cohort 15-Grant 2) FY18</v>
          </cell>
          <cell r="G130">
            <v>112575.9</v>
          </cell>
          <cell r="H130">
            <v>540000</v>
          </cell>
          <cell r="I130">
            <v>2.7400000000000001E-2</v>
          </cell>
          <cell r="J130" t="str">
            <v>USDE</v>
          </cell>
          <cell r="K130" t="str">
            <v>84.287C</v>
          </cell>
          <cell r="L130">
            <v>42917</v>
          </cell>
          <cell r="M130">
            <v>43343</v>
          </cell>
          <cell r="N130" t="str">
            <v>ISBE</v>
          </cell>
          <cell r="O130" t="str">
            <v>18-4421-25</v>
          </cell>
        </row>
        <row r="131">
          <cell r="B131">
            <v>442167</v>
          </cell>
          <cell r="C131">
            <v>0</v>
          </cell>
          <cell r="D131">
            <v>324</v>
          </cell>
          <cell r="E131">
            <v>44421</v>
          </cell>
          <cell r="F131" t="str">
            <v>21st Century Community Learning Centers - (Cohort 15-Grant 3) FY18</v>
          </cell>
          <cell r="G131">
            <v>86404.67</v>
          </cell>
          <cell r="H131">
            <v>540000</v>
          </cell>
          <cell r="I131">
            <v>2.7400000000000001E-2</v>
          </cell>
          <cell r="J131" t="str">
            <v>USDE</v>
          </cell>
          <cell r="K131" t="str">
            <v>84.287C</v>
          </cell>
          <cell r="L131">
            <v>42917</v>
          </cell>
          <cell r="M131">
            <v>43343</v>
          </cell>
          <cell r="N131" t="str">
            <v>ISBE</v>
          </cell>
          <cell r="O131" t="str">
            <v>18-4421-35</v>
          </cell>
        </row>
        <row r="132">
          <cell r="B132">
            <v>442168</v>
          </cell>
          <cell r="C132">
            <v>0</v>
          </cell>
          <cell r="D132">
            <v>324</v>
          </cell>
          <cell r="E132">
            <v>44421</v>
          </cell>
          <cell r="F132" t="str">
            <v>21st Century Community Learning Centers - (Cohort 15-Grant 4) FY18</v>
          </cell>
          <cell r="G132">
            <v>55421.61</v>
          </cell>
          <cell r="H132">
            <v>540000</v>
          </cell>
          <cell r="I132">
            <v>2.7400000000000001E-2</v>
          </cell>
          <cell r="J132" t="str">
            <v>USDE</v>
          </cell>
          <cell r="K132" t="str">
            <v>84.287C</v>
          </cell>
          <cell r="L132">
            <v>42917</v>
          </cell>
          <cell r="M132">
            <v>43343</v>
          </cell>
          <cell r="N132" t="str">
            <v>ISBE</v>
          </cell>
          <cell r="O132" t="str">
            <v>18-4421-45</v>
          </cell>
        </row>
        <row r="133">
          <cell r="B133">
            <v>442169</v>
          </cell>
          <cell r="C133">
            <v>0</v>
          </cell>
          <cell r="D133">
            <v>324</v>
          </cell>
          <cell r="E133">
            <v>44421</v>
          </cell>
          <cell r="F133" t="str">
            <v>21st Century Community Learning Centers - (Cohort 15-Grant 5) FY18</v>
          </cell>
          <cell r="G133">
            <v>130471.03</v>
          </cell>
          <cell r="H133">
            <v>540000</v>
          </cell>
          <cell r="I133">
            <v>2.7400000000000001E-2</v>
          </cell>
          <cell r="J133" t="str">
            <v>USDE</v>
          </cell>
          <cell r="K133" t="str">
            <v>84.287C</v>
          </cell>
          <cell r="L133">
            <v>42917</v>
          </cell>
          <cell r="M133">
            <v>43343</v>
          </cell>
          <cell r="N133" t="str">
            <v>ISBE</v>
          </cell>
          <cell r="O133" t="str">
            <v>18-4421-55</v>
          </cell>
        </row>
        <row r="134">
          <cell r="B134">
            <v>442170</v>
          </cell>
          <cell r="C134">
            <v>0</v>
          </cell>
          <cell r="D134">
            <v>324</v>
          </cell>
          <cell r="E134">
            <v>44421</v>
          </cell>
          <cell r="F134" t="str">
            <v>21st Century Community Learning Centers - (Cohort 15-Grant 6) FY18</v>
          </cell>
          <cell r="G134">
            <v>72471.63</v>
          </cell>
          <cell r="H134">
            <v>540000</v>
          </cell>
          <cell r="I134">
            <v>2.7400000000000001E-2</v>
          </cell>
          <cell r="J134" t="str">
            <v>USDE</v>
          </cell>
          <cell r="K134" t="str">
            <v>84.287C</v>
          </cell>
          <cell r="L134">
            <v>42917</v>
          </cell>
          <cell r="M134">
            <v>43343</v>
          </cell>
          <cell r="N134" t="str">
            <v>ISBE</v>
          </cell>
          <cell r="O134" t="str">
            <v>18-4421-65</v>
          </cell>
        </row>
        <row r="135">
          <cell r="B135">
            <v>442171</v>
          </cell>
          <cell r="C135">
            <v>0</v>
          </cell>
          <cell r="D135">
            <v>324</v>
          </cell>
          <cell r="E135">
            <v>44421</v>
          </cell>
          <cell r="F135" t="str">
            <v>21st Century Community Learning Centers FY19</v>
          </cell>
          <cell r="G135">
            <v>2583645.04</v>
          </cell>
          <cell r="H135">
            <v>3150000</v>
          </cell>
          <cell r="I135">
            <v>2.0299999999999999E-2</v>
          </cell>
          <cell r="J135" t="str">
            <v>USDE</v>
          </cell>
          <cell r="K135" t="str">
            <v>84.287C</v>
          </cell>
          <cell r="L135">
            <v>43312</v>
          </cell>
          <cell r="M135">
            <v>43708</v>
          </cell>
          <cell r="N135" t="str">
            <v>ISBE</v>
          </cell>
          <cell r="O135" t="str">
            <v>19-4421-13</v>
          </cell>
        </row>
        <row r="136">
          <cell r="B136">
            <v>442172</v>
          </cell>
          <cell r="C136">
            <v>0</v>
          </cell>
          <cell r="D136">
            <v>324</v>
          </cell>
          <cell r="E136">
            <v>44421</v>
          </cell>
          <cell r="F136" t="str">
            <v>21st Century Community Learning Centers - (Cohort 15-Grant 1) FY19</v>
          </cell>
          <cell r="G136">
            <v>394325.58</v>
          </cell>
          <cell r="H136">
            <v>540000</v>
          </cell>
          <cell r="I136">
            <v>2.0299999999999999E-2</v>
          </cell>
          <cell r="J136" t="str">
            <v>USDE</v>
          </cell>
          <cell r="K136" t="str">
            <v>84.287C</v>
          </cell>
          <cell r="L136">
            <v>43312</v>
          </cell>
          <cell r="M136">
            <v>43708</v>
          </cell>
          <cell r="N136" t="str">
            <v>ISBE</v>
          </cell>
          <cell r="O136" t="str">
            <v>19-4421-15</v>
          </cell>
        </row>
        <row r="137">
          <cell r="B137">
            <v>442173</v>
          </cell>
          <cell r="C137">
            <v>0</v>
          </cell>
          <cell r="D137">
            <v>324</v>
          </cell>
          <cell r="E137">
            <v>44421</v>
          </cell>
          <cell r="F137" t="str">
            <v>21st Century Community Learning Centers - (Cohort 15-Grant 2) FY19</v>
          </cell>
          <cell r="G137">
            <v>381455.55</v>
          </cell>
          <cell r="H137">
            <v>540000</v>
          </cell>
          <cell r="I137">
            <v>2.0299999999999999E-2</v>
          </cell>
          <cell r="J137" t="str">
            <v>USDE</v>
          </cell>
          <cell r="K137" t="str">
            <v>84.287C</v>
          </cell>
          <cell r="L137">
            <v>43312</v>
          </cell>
          <cell r="M137">
            <v>43708</v>
          </cell>
          <cell r="N137" t="str">
            <v>ISBE</v>
          </cell>
          <cell r="O137" t="str">
            <v>19-4421-25</v>
          </cell>
        </row>
        <row r="138">
          <cell r="B138">
            <v>442174</v>
          </cell>
          <cell r="C138">
            <v>0</v>
          </cell>
          <cell r="D138">
            <v>324</v>
          </cell>
          <cell r="E138">
            <v>44421</v>
          </cell>
          <cell r="F138" t="str">
            <v>21st Century Community Learning Centers - (Cohort 15-Grant 3) FY19</v>
          </cell>
          <cell r="G138">
            <v>358882.33</v>
          </cell>
          <cell r="H138">
            <v>540000</v>
          </cell>
          <cell r="I138">
            <v>2.0299999999999999E-2</v>
          </cell>
          <cell r="J138" t="str">
            <v>USDE</v>
          </cell>
          <cell r="K138" t="str">
            <v>84.287C</v>
          </cell>
          <cell r="L138">
            <v>43312</v>
          </cell>
          <cell r="M138">
            <v>43708</v>
          </cell>
          <cell r="N138" t="str">
            <v>ISBE</v>
          </cell>
          <cell r="O138" t="str">
            <v>19-4421-35</v>
          </cell>
        </row>
        <row r="139">
          <cell r="B139">
            <v>442175</v>
          </cell>
          <cell r="C139">
            <v>0</v>
          </cell>
          <cell r="D139">
            <v>324</v>
          </cell>
          <cell r="E139">
            <v>44421</v>
          </cell>
          <cell r="F139" t="str">
            <v>21st Century Community Learning Centers - (Cohort 15-Grant 4) FY19</v>
          </cell>
          <cell r="G139">
            <v>357369</v>
          </cell>
          <cell r="H139">
            <v>540000</v>
          </cell>
          <cell r="I139">
            <v>2.0299999999999999E-2</v>
          </cell>
          <cell r="J139" t="str">
            <v>USDE</v>
          </cell>
          <cell r="K139" t="str">
            <v>84.287C</v>
          </cell>
          <cell r="L139">
            <v>43312</v>
          </cell>
          <cell r="M139">
            <v>43708</v>
          </cell>
          <cell r="N139" t="str">
            <v>ISBE</v>
          </cell>
          <cell r="O139" t="str">
            <v>19-4421-45</v>
          </cell>
        </row>
        <row r="140">
          <cell r="B140">
            <v>442176</v>
          </cell>
          <cell r="C140">
            <v>0</v>
          </cell>
          <cell r="D140">
            <v>324</v>
          </cell>
          <cell r="E140">
            <v>44421</v>
          </cell>
          <cell r="F140" t="str">
            <v>21st Century Community Learning Centers - (Cohort 15-Grant 5) FY19</v>
          </cell>
          <cell r="G140">
            <v>294883.03999999998</v>
          </cell>
          <cell r="H140">
            <v>540000</v>
          </cell>
          <cell r="I140">
            <v>2.0299999999999999E-2</v>
          </cell>
          <cell r="J140" t="str">
            <v>USDE</v>
          </cell>
          <cell r="K140" t="str">
            <v>84.287C</v>
          </cell>
          <cell r="L140">
            <v>43312</v>
          </cell>
          <cell r="M140">
            <v>43708</v>
          </cell>
          <cell r="N140" t="str">
            <v>ISBE</v>
          </cell>
          <cell r="O140" t="str">
            <v>19-4421-55</v>
          </cell>
        </row>
        <row r="141">
          <cell r="B141">
            <v>442177</v>
          </cell>
          <cell r="C141">
            <v>0</v>
          </cell>
          <cell r="D141">
            <v>324</v>
          </cell>
          <cell r="E141">
            <v>44421</v>
          </cell>
          <cell r="F141" t="str">
            <v>21st Century Community Learning Centers - (Cohort 15-Grant 6) FY19</v>
          </cell>
          <cell r="G141">
            <v>372641.44</v>
          </cell>
          <cell r="H141">
            <v>540000</v>
          </cell>
          <cell r="I141">
            <v>2.0299999999999999E-2</v>
          </cell>
          <cell r="J141" t="str">
            <v>USDE</v>
          </cell>
          <cell r="K141" t="str">
            <v>84.287C</v>
          </cell>
          <cell r="L141">
            <v>43312</v>
          </cell>
          <cell r="M141">
            <v>43708</v>
          </cell>
          <cell r="N141" t="str">
            <v>ISBE</v>
          </cell>
          <cell r="O141" t="str">
            <v>19-4421-65</v>
          </cell>
        </row>
        <row r="142">
          <cell r="B142">
            <v>442178</v>
          </cell>
          <cell r="C142">
            <v>0</v>
          </cell>
          <cell r="D142">
            <v>324</v>
          </cell>
          <cell r="E142">
            <v>44421</v>
          </cell>
          <cell r="F142" t="str">
            <v>21st Century Community Learning Centers - (Cohort 15-Grant 7) FY18</v>
          </cell>
          <cell r="G142">
            <v>40412.410000000003</v>
          </cell>
          <cell r="H142">
            <v>135000</v>
          </cell>
          <cell r="I142">
            <v>2.7400000000000001E-2</v>
          </cell>
          <cell r="J142" t="str">
            <v>USDE</v>
          </cell>
          <cell r="K142" t="str">
            <v>84.287C</v>
          </cell>
          <cell r="L142">
            <v>42917</v>
          </cell>
          <cell r="M142">
            <v>43343</v>
          </cell>
          <cell r="N142" t="str">
            <v>ISBE</v>
          </cell>
          <cell r="O142" t="str">
            <v>18-4421-75</v>
          </cell>
        </row>
        <row r="143">
          <cell r="B143">
            <v>442179</v>
          </cell>
          <cell r="C143">
            <v>0</v>
          </cell>
          <cell r="D143">
            <v>324</v>
          </cell>
          <cell r="E143">
            <v>44421</v>
          </cell>
          <cell r="F143" t="str">
            <v>21st Century Community Learning Centers - (Cohort 15-Grant 7) FY19</v>
          </cell>
          <cell r="G143">
            <v>86669.18</v>
          </cell>
          <cell r="H143">
            <v>135000</v>
          </cell>
          <cell r="I143">
            <v>2.0299999999999999E-2</v>
          </cell>
          <cell r="J143" t="str">
            <v>USDE</v>
          </cell>
          <cell r="K143" t="str">
            <v>84.287C</v>
          </cell>
          <cell r="L143">
            <v>43282</v>
          </cell>
          <cell r="M143">
            <v>43708</v>
          </cell>
          <cell r="N143" t="str">
            <v>ISBE</v>
          </cell>
          <cell r="O143" t="str">
            <v>19-4421-75</v>
          </cell>
        </row>
        <row r="144">
          <cell r="B144">
            <v>442180</v>
          </cell>
          <cell r="C144">
            <v>0</v>
          </cell>
          <cell r="D144">
            <v>324</v>
          </cell>
          <cell r="E144">
            <v>44421</v>
          </cell>
          <cell r="F144" t="str">
            <v>21st Century Community Learning Centers (Cohort 19-Grant 1) FY19</v>
          </cell>
          <cell r="G144">
            <v>297585.76</v>
          </cell>
          <cell r="H144">
            <v>600000</v>
          </cell>
          <cell r="I144">
            <v>2.0299999999999999E-2</v>
          </cell>
          <cell r="J144" t="str">
            <v>USDE</v>
          </cell>
          <cell r="K144" t="str">
            <v>84.287C</v>
          </cell>
          <cell r="L144">
            <v>43282</v>
          </cell>
          <cell r="M144">
            <v>43708</v>
          </cell>
          <cell r="N144" t="str">
            <v>ISBE</v>
          </cell>
          <cell r="O144" t="str">
            <v>19-4421-19</v>
          </cell>
        </row>
        <row r="145">
          <cell r="B145">
            <v>442181</v>
          </cell>
          <cell r="C145">
            <v>0</v>
          </cell>
          <cell r="D145">
            <v>324</v>
          </cell>
          <cell r="E145">
            <v>44421</v>
          </cell>
          <cell r="F145" t="str">
            <v>21st Century Community Learning Centers (Cohort 19-Grant 2) FY19</v>
          </cell>
          <cell r="G145">
            <v>287656.71999999997</v>
          </cell>
          <cell r="H145">
            <v>600000</v>
          </cell>
          <cell r="I145">
            <v>2.0299999999999999E-2</v>
          </cell>
          <cell r="J145" t="str">
            <v>USDE</v>
          </cell>
          <cell r="K145" t="str">
            <v>84.287C</v>
          </cell>
          <cell r="L145">
            <v>43282</v>
          </cell>
          <cell r="M145">
            <v>43708</v>
          </cell>
          <cell r="N145" t="str">
            <v>ISBE</v>
          </cell>
          <cell r="O145" t="str">
            <v>19-4421-29</v>
          </cell>
        </row>
        <row r="146">
          <cell r="B146">
            <v>442182</v>
          </cell>
          <cell r="C146">
            <v>0</v>
          </cell>
          <cell r="D146">
            <v>324</v>
          </cell>
          <cell r="E146">
            <v>44421</v>
          </cell>
          <cell r="F146" t="str">
            <v>21st Century Community Learning Centers (Cohort 19-Grant 3) FY19</v>
          </cell>
          <cell r="G146">
            <v>317176.78000000003</v>
          </cell>
          <cell r="H146">
            <v>600000</v>
          </cell>
          <cell r="I146">
            <v>2.0299999999999999E-2</v>
          </cell>
          <cell r="J146" t="str">
            <v>USDE</v>
          </cell>
          <cell r="K146" t="str">
            <v>84.287C</v>
          </cell>
          <cell r="L146">
            <v>43282</v>
          </cell>
          <cell r="M146">
            <v>43708</v>
          </cell>
          <cell r="N146" t="str">
            <v>ISBE</v>
          </cell>
          <cell r="O146" t="str">
            <v>19-4421-39</v>
          </cell>
        </row>
        <row r="147">
          <cell r="B147">
            <v>442183</v>
          </cell>
          <cell r="C147">
            <v>0</v>
          </cell>
          <cell r="D147">
            <v>324</v>
          </cell>
          <cell r="E147">
            <v>44421</v>
          </cell>
          <cell r="F147" t="str">
            <v>21st Century Community Learning Centers (Cohort 19-Grant 4) FY19</v>
          </cell>
          <cell r="G147">
            <v>195081.01</v>
          </cell>
          <cell r="H147">
            <v>600000</v>
          </cell>
          <cell r="I147">
            <v>2.0299999999999999E-2</v>
          </cell>
          <cell r="J147" t="str">
            <v>USDE</v>
          </cell>
          <cell r="K147" t="str">
            <v>84.287C</v>
          </cell>
          <cell r="L147">
            <v>43282</v>
          </cell>
          <cell r="M147">
            <v>43708</v>
          </cell>
          <cell r="N147" t="str">
            <v>ISBE</v>
          </cell>
          <cell r="O147" t="str">
            <v>19-4421-49</v>
          </cell>
        </row>
        <row r="148">
          <cell r="B148">
            <v>442184</v>
          </cell>
          <cell r="C148">
            <v>0</v>
          </cell>
          <cell r="D148">
            <v>324</v>
          </cell>
          <cell r="E148">
            <v>44421</v>
          </cell>
          <cell r="F148" t="str">
            <v>21st Century Community Learning Centers (Cohort 19-Grant 5) FY19</v>
          </cell>
          <cell r="G148">
            <v>130199.01</v>
          </cell>
          <cell r="H148">
            <v>450000</v>
          </cell>
          <cell r="I148">
            <v>2.0299999999999999E-2</v>
          </cell>
          <cell r="J148" t="str">
            <v>USDE</v>
          </cell>
          <cell r="K148" t="str">
            <v>84.287C</v>
          </cell>
          <cell r="L148">
            <v>43282</v>
          </cell>
          <cell r="M148">
            <v>43708</v>
          </cell>
          <cell r="N148" t="str">
            <v>ISBE</v>
          </cell>
          <cell r="O148" t="str">
            <v>19-4421-59</v>
          </cell>
        </row>
        <row r="149">
          <cell r="B149">
            <v>442223</v>
          </cell>
          <cell r="C149">
            <v>25921</v>
          </cell>
          <cell r="D149">
            <v>326</v>
          </cell>
          <cell r="E149">
            <v>44421</v>
          </cell>
          <cell r="F149" t="str">
            <v>21st Century CLC - NEIU FY18 ELLA FLAGG YOUNG ELEMENTARY</v>
          </cell>
          <cell r="G149">
            <v>14180.72</v>
          </cell>
          <cell r="H149">
            <v>36692</v>
          </cell>
          <cell r="I149">
            <v>0</v>
          </cell>
          <cell r="J149" t="str">
            <v>NEIU</v>
          </cell>
          <cell r="K149" t="str">
            <v>84.287C</v>
          </cell>
          <cell r="L149">
            <v>43040</v>
          </cell>
          <cell r="M149">
            <v>43373</v>
          </cell>
          <cell r="N149" t="str">
            <v>NEIU</v>
          </cell>
          <cell r="O149" t="str">
            <v>PO 00047632</v>
          </cell>
        </row>
        <row r="150">
          <cell r="B150">
            <v>442224</v>
          </cell>
          <cell r="C150">
            <v>25921</v>
          </cell>
          <cell r="D150">
            <v>326</v>
          </cell>
          <cell r="E150">
            <v>44421</v>
          </cell>
          <cell r="F150" t="str">
            <v>21st Century CLC - NEIU FY19 ELLA FLAGG YOUNG ELEMENTARY</v>
          </cell>
          <cell r="G150">
            <v>40100.199999999997</v>
          </cell>
          <cell r="H150">
            <v>27900</v>
          </cell>
          <cell r="I150">
            <v>0</v>
          </cell>
          <cell r="J150" t="str">
            <v>USDE</v>
          </cell>
          <cell r="K150" t="str">
            <v>84.287C</v>
          </cell>
          <cell r="L150">
            <v>43523</v>
          </cell>
          <cell r="M150">
            <v>43708</v>
          </cell>
          <cell r="N150" t="str">
            <v>NEIU</v>
          </cell>
          <cell r="O150" t="str">
            <v>PO 00050041</v>
          </cell>
        </row>
        <row r="151">
          <cell r="B151">
            <v>442224</v>
          </cell>
          <cell r="C151">
            <v>22921</v>
          </cell>
          <cell r="D151">
            <v>326</v>
          </cell>
          <cell r="E151">
            <v>44421</v>
          </cell>
          <cell r="F151" t="str">
            <v xml:space="preserve">21st Century CLC - NEIU FY19 AZUELA ELEMENTARY </v>
          </cell>
          <cell r="G151">
            <v>0</v>
          </cell>
          <cell r="H151">
            <v>15000</v>
          </cell>
          <cell r="I151">
            <v>0</v>
          </cell>
          <cell r="J151" t="str">
            <v>USDE</v>
          </cell>
          <cell r="K151" t="str">
            <v>84.287C</v>
          </cell>
          <cell r="L151">
            <v>43559</v>
          </cell>
          <cell r="M151">
            <v>43708</v>
          </cell>
          <cell r="N151" t="str">
            <v>NEIU</v>
          </cell>
          <cell r="O151" t="str">
            <v>PO 00051435</v>
          </cell>
        </row>
        <row r="152">
          <cell r="B152">
            <v>460022</v>
          </cell>
          <cell r="C152">
            <v>0</v>
          </cell>
          <cell r="D152">
            <v>220</v>
          </cell>
          <cell r="E152">
            <v>44600</v>
          </cell>
          <cell r="F152" t="str">
            <v>Preschool Incentive Grant</v>
          </cell>
          <cell r="G152">
            <v>284.95</v>
          </cell>
          <cell r="H152">
            <v>1277691</v>
          </cell>
          <cell r="I152">
            <v>0</v>
          </cell>
          <cell r="J152" t="str">
            <v>USDE</v>
          </cell>
          <cell r="K152" t="str">
            <v>84.173A</v>
          </cell>
          <cell r="L152">
            <v>42917</v>
          </cell>
          <cell r="M152">
            <v>43343</v>
          </cell>
          <cell r="N152" t="str">
            <v>ISBE</v>
          </cell>
          <cell r="O152" t="str">
            <v>18-4600-00</v>
          </cell>
        </row>
        <row r="153">
          <cell r="B153">
            <v>460023</v>
          </cell>
          <cell r="C153">
            <v>0</v>
          </cell>
          <cell r="D153">
            <v>220</v>
          </cell>
          <cell r="E153">
            <v>44600</v>
          </cell>
          <cell r="F153" t="str">
            <v>Preschool Incentive Grant FY19</v>
          </cell>
          <cell r="G153">
            <v>1316359.96</v>
          </cell>
          <cell r="H153">
            <v>1585518</v>
          </cell>
          <cell r="I153">
            <v>0</v>
          </cell>
          <cell r="J153" t="str">
            <v>USDE</v>
          </cell>
          <cell r="K153" t="str">
            <v>84.173A</v>
          </cell>
          <cell r="L153">
            <v>43282</v>
          </cell>
          <cell r="M153">
            <v>43708</v>
          </cell>
          <cell r="N153" t="str">
            <v>ISBE</v>
          </cell>
          <cell r="O153" t="str">
            <v>19-4600-00</v>
          </cell>
        </row>
        <row r="154">
          <cell r="B154">
            <v>460526</v>
          </cell>
          <cell r="C154">
            <v>0</v>
          </cell>
          <cell r="D154">
            <v>220</v>
          </cell>
          <cell r="E154">
            <v>44605</v>
          </cell>
          <cell r="F154" t="str">
            <v>Preschool Discretionary (STARNET) FY19</v>
          </cell>
          <cell r="G154">
            <v>391079.14</v>
          </cell>
          <cell r="H154">
            <v>489250</v>
          </cell>
          <cell r="I154">
            <v>0</v>
          </cell>
          <cell r="J154" t="str">
            <v>USDE</v>
          </cell>
          <cell r="K154" t="str">
            <v>84.173A</v>
          </cell>
          <cell r="L154">
            <v>43282</v>
          </cell>
          <cell r="M154">
            <v>43708</v>
          </cell>
          <cell r="N154" t="str">
            <v>ISBE</v>
          </cell>
          <cell r="O154" t="str">
            <v>19-4605-01</v>
          </cell>
        </row>
        <row r="155">
          <cell r="B155">
            <v>462069</v>
          </cell>
          <cell r="C155">
            <v>0</v>
          </cell>
          <cell r="D155">
            <v>220</v>
          </cell>
          <cell r="E155">
            <v>44620</v>
          </cell>
          <cell r="F155" t="str">
            <v>LEA FlowThru Instruction</v>
          </cell>
          <cell r="G155">
            <v>23156.82</v>
          </cell>
          <cell r="H155">
            <v>93777234</v>
          </cell>
          <cell r="I155">
            <v>2.7400000000000001E-2</v>
          </cell>
          <cell r="J155" t="str">
            <v>USDE</v>
          </cell>
          <cell r="K155" t="str">
            <v>84.027A</v>
          </cell>
          <cell r="L155">
            <v>42978</v>
          </cell>
          <cell r="M155">
            <v>43343</v>
          </cell>
          <cell r="N155" t="str">
            <v>ISBE</v>
          </cell>
          <cell r="O155" t="str">
            <v>18-4620-00</v>
          </cell>
        </row>
        <row r="156">
          <cell r="B156">
            <v>462070</v>
          </cell>
          <cell r="C156">
            <v>0</v>
          </cell>
          <cell r="D156">
            <v>220</v>
          </cell>
          <cell r="E156">
            <v>44620</v>
          </cell>
          <cell r="F156" t="str">
            <v>LEA  FlowThru Instruction - Nonpublic</v>
          </cell>
          <cell r="G156">
            <v>131206.15</v>
          </cell>
          <cell r="H156">
            <v>93777234</v>
          </cell>
          <cell r="I156">
            <v>2.7400000000000001E-2</v>
          </cell>
          <cell r="J156" t="str">
            <v>USDE</v>
          </cell>
          <cell r="K156" t="str">
            <v>84.027A</v>
          </cell>
          <cell r="L156">
            <v>42978</v>
          </cell>
          <cell r="M156">
            <v>43343</v>
          </cell>
          <cell r="N156" t="str">
            <v>ISBE</v>
          </cell>
          <cell r="O156" t="str">
            <v>18-4620-00</v>
          </cell>
        </row>
        <row r="157">
          <cell r="B157">
            <v>462071</v>
          </cell>
          <cell r="C157" t="str">
            <v>01000</v>
          </cell>
          <cell r="D157">
            <v>220</v>
          </cell>
          <cell r="E157">
            <v>44620</v>
          </cell>
          <cell r="F157" t="str">
            <v>LEA FlowThru Instruction FY 19</v>
          </cell>
          <cell r="G157">
            <v>85157290.870000005</v>
          </cell>
          <cell r="H157">
            <v>97873981</v>
          </cell>
          <cell r="I157">
            <v>2.0299999999999999E-2</v>
          </cell>
          <cell r="J157" t="str">
            <v>USDE</v>
          </cell>
          <cell r="K157" t="str">
            <v>84.027A</v>
          </cell>
          <cell r="L157">
            <v>43282</v>
          </cell>
          <cell r="M157">
            <v>43708</v>
          </cell>
          <cell r="N157" t="str">
            <v>ISBE</v>
          </cell>
          <cell r="O157" t="str">
            <v>19-4620-00</v>
          </cell>
        </row>
        <row r="158">
          <cell r="B158">
            <v>462072</v>
          </cell>
          <cell r="C158" t="str">
            <v>01000</v>
          </cell>
          <cell r="D158">
            <v>220</v>
          </cell>
          <cell r="E158">
            <v>44620</v>
          </cell>
          <cell r="F158" t="str">
            <v>LEA FlowThru Instruction - Nonpublic</v>
          </cell>
          <cell r="G158">
            <v>3172078.11</v>
          </cell>
          <cell r="H158">
            <v>97873981</v>
          </cell>
          <cell r="I158">
            <v>2.0299999999999999E-2</v>
          </cell>
          <cell r="J158" t="str">
            <v>USDE</v>
          </cell>
          <cell r="K158" t="str">
            <v>84.027A</v>
          </cell>
          <cell r="L158">
            <v>43282</v>
          </cell>
          <cell r="M158">
            <v>43708</v>
          </cell>
          <cell r="N158" t="str">
            <v>ISBE</v>
          </cell>
          <cell r="O158" t="str">
            <v>19-4620-00</v>
          </cell>
        </row>
        <row r="159">
          <cell r="B159">
            <v>462501</v>
          </cell>
          <cell r="C159">
            <v>0</v>
          </cell>
          <cell r="D159">
            <v>220</v>
          </cell>
          <cell r="E159">
            <v>0</v>
          </cell>
          <cell r="F159" t="str">
            <v>IDEA-ROOM AND BOARD</v>
          </cell>
          <cell r="G159">
            <v>74372.84</v>
          </cell>
          <cell r="H159">
            <v>0</v>
          </cell>
          <cell r="I159">
            <v>0</v>
          </cell>
          <cell r="J159" t="str">
            <v>US DEPARTMENT OF EDUCATION</v>
          </cell>
          <cell r="K159" t="str">
            <v>84.027A</v>
          </cell>
          <cell r="L159">
            <v>35674</v>
          </cell>
          <cell r="M159">
            <v>43343</v>
          </cell>
          <cell r="N159" t="str">
            <v>ISBE</v>
          </cell>
          <cell r="O159" t="str">
            <v>17-4625-00</v>
          </cell>
        </row>
        <row r="160">
          <cell r="B160">
            <v>462503</v>
          </cell>
          <cell r="C160">
            <v>0</v>
          </cell>
          <cell r="D160">
            <v>220</v>
          </cell>
          <cell r="E160">
            <v>0</v>
          </cell>
          <cell r="F160" t="str">
            <v>IDEA Room &amp; Board - FY19</v>
          </cell>
          <cell r="G160">
            <v>2589263.5099999998</v>
          </cell>
          <cell r="H160">
            <v>0</v>
          </cell>
          <cell r="I160">
            <v>0</v>
          </cell>
          <cell r="J160" t="str">
            <v>US Department of Education</v>
          </cell>
          <cell r="K160" t="str">
            <v>84.027A</v>
          </cell>
          <cell r="L160">
            <v>43344</v>
          </cell>
          <cell r="M160">
            <v>43708</v>
          </cell>
          <cell r="N160" t="str">
            <v>ISBE</v>
          </cell>
          <cell r="O160" t="str">
            <v>19-4625-00</v>
          </cell>
        </row>
        <row r="161">
          <cell r="B161">
            <v>474565</v>
          </cell>
          <cell r="C161">
            <v>0</v>
          </cell>
          <cell r="D161">
            <v>369</v>
          </cell>
          <cell r="E161">
            <v>44745</v>
          </cell>
          <cell r="F161" t="str">
            <v>Special Student Needs-C. Perkins FY18</v>
          </cell>
          <cell r="G161">
            <v>766942.74</v>
          </cell>
          <cell r="H161">
            <v>6240819</v>
          </cell>
          <cell r="I161">
            <v>0</v>
          </cell>
          <cell r="J161" t="str">
            <v>USDE</v>
          </cell>
          <cell r="K161">
            <v>84.048000000000002</v>
          </cell>
          <cell r="L161">
            <v>42978</v>
          </cell>
          <cell r="M161">
            <v>43281</v>
          </cell>
          <cell r="N161" t="str">
            <v>ISBE</v>
          </cell>
          <cell r="O161" t="str">
            <v>18-4745-00</v>
          </cell>
        </row>
        <row r="162">
          <cell r="B162">
            <v>474566</v>
          </cell>
          <cell r="C162">
            <v>0</v>
          </cell>
          <cell r="D162">
            <v>369</v>
          </cell>
          <cell r="E162">
            <v>44745</v>
          </cell>
          <cell r="F162" t="str">
            <v>Special Student Needs-C. Perkins FY19</v>
          </cell>
          <cell r="G162">
            <v>4990825.8499999996</v>
          </cell>
          <cell r="H162">
            <v>6103306</v>
          </cell>
          <cell r="I162">
            <v>0</v>
          </cell>
          <cell r="J162" t="str">
            <v>USDE</v>
          </cell>
          <cell r="K162">
            <v>84.048000000000002</v>
          </cell>
          <cell r="L162">
            <v>43282</v>
          </cell>
          <cell r="M162">
            <v>43646</v>
          </cell>
          <cell r="N162" t="str">
            <v>ISBE</v>
          </cell>
          <cell r="O162" t="str">
            <v>19-4745-00</v>
          </cell>
        </row>
        <row r="163">
          <cell r="B163">
            <v>490939</v>
          </cell>
          <cell r="C163">
            <v>0</v>
          </cell>
          <cell r="D163">
            <v>356</v>
          </cell>
          <cell r="E163">
            <v>44909</v>
          </cell>
          <cell r="F163" t="str">
            <v>Title III - Language Acquisition</v>
          </cell>
          <cell r="G163">
            <v>777569.27</v>
          </cell>
          <cell r="H163">
            <v>11896752</v>
          </cell>
          <cell r="I163">
            <v>0</v>
          </cell>
          <cell r="J163" t="str">
            <v>USDE</v>
          </cell>
          <cell r="K163" t="str">
            <v>84.365A</v>
          </cell>
          <cell r="L163">
            <v>42979</v>
          </cell>
          <cell r="M163">
            <v>43343</v>
          </cell>
          <cell r="N163" t="str">
            <v>ISBE</v>
          </cell>
          <cell r="O163" t="str">
            <v>18-4909-00</v>
          </cell>
        </row>
        <row r="164">
          <cell r="B164">
            <v>490940</v>
          </cell>
          <cell r="C164">
            <v>0</v>
          </cell>
          <cell r="D164">
            <v>356</v>
          </cell>
          <cell r="E164">
            <v>44909</v>
          </cell>
          <cell r="F164" t="str">
            <v>Title III - Lmtd. Eng. Prf. - Nonpublic</v>
          </cell>
          <cell r="G164">
            <v>157571.64000000001</v>
          </cell>
          <cell r="H164">
            <v>11896752</v>
          </cell>
          <cell r="I164">
            <v>0</v>
          </cell>
          <cell r="J164" t="str">
            <v>USDE</v>
          </cell>
          <cell r="K164" t="str">
            <v>84.365A</v>
          </cell>
          <cell r="L164">
            <v>42979</v>
          </cell>
          <cell r="M164">
            <v>43708</v>
          </cell>
          <cell r="N164" t="str">
            <v>ISBE</v>
          </cell>
          <cell r="O164" t="str">
            <v>18-4909-00</v>
          </cell>
        </row>
        <row r="165">
          <cell r="B165">
            <v>490941</v>
          </cell>
          <cell r="C165">
            <v>0</v>
          </cell>
          <cell r="D165">
            <v>356</v>
          </cell>
          <cell r="E165">
            <v>44909</v>
          </cell>
          <cell r="F165" t="str">
            <v>Title III - IEP</v>
          </cell>
          <cell r="G165">
            <v>193103.33</v>
          </cell>
          <cell r="H165">
            <v>1035251</v>
          </cell>
          <cell r="I165">
            <v>0</v>
          </cell>
          <cell r="J165" t="str">
            <v>USDE</v>
          </cell>
          <cell r="K165" t="str">
            <v>84.365A</v>
          </cell>
          <cell r="L165">
            <v>42979</v>
          </cell>
          <cell r="M165">
            <v>43343</v>
          </cell>
          <cell r="N165" t="str">
            <v>ISBE</v>
          </cell>
          <cell r="O165" t="str">
            <v>18-4905-00</v>
          </cell>
        </row>
        <row r="166">
          <cell r="B166">
            <v>490942</v>
          </cell>
          <cell r="C166" t="str">
            <v>01000</v>
          </cell>
          <cell r="D166">
            <v>356</v>
          </cell>
          <cell r="E166">
            <v>44909</v>
          </cell>
          <cell r="F166" t="str">
            <v>Title III - Language Acquisition</v>
          </cell>
          <cell r="G166">
            <v>7631771.8099999996</v>
          </cell>
          <cell r="H166">
            <v>9092341</v>
          </cell>
          <cell r="I166">
            <v>2.0299999999999999E-2</v>
          </cell>
          <cell r="J166" t="str">
            <v>USDE</v>
          </cell>
          <cell r="K166" t="str">
            <v>84.365A</v>
          </cell>
          <cell r="L166">
            <v>43344</v>
          </cell>
          <cell r="M166">
            <v>43708</v>
          </cell>
          <cell r="N166" t="str">
            <v>ISBE</v>
          </cell>
          <cell r="O166" t="str">
            <v>19-4909-00</v>
          </cell>
        </row>
        <row r="167">
          <cell r="B167">
            <v>490943</v>
          </cell>
          <cell r="C167" t="str">
            <v>01000</v>
          </cell>
          <cell r="D167">
            <v>356</v>
          </cell>
          <cell r="E167">
            <v>44909</v>
          </cell>
          <cell r="F167" t="str">
            <v>Title III - Lmtd. Eng. Prf. - Nonpublic</v>
          </cell>
          <cell r="G167">
            <v>239143.29</v>
          </cell>
          <cell r="H167">
            <v>9092341</v>
          </cell>
          <cell r="I167">
            <v>2.0299999999999999E-2</v>
          </cell>
          <cell r="J167" t="str">
            <v>USDE</v>
          </cell>
          <cell r="K167" t="str">
            <v>84.365A</v>
          </cell>
          <cell r="L167">
            <v>43344</v>
          </cell>
          <cell r="M167">
            <v>43708</v>
          </cell>
          <cell r="N167" t="str">
            <v>ISBE</v>
          </cell>
          <cell r="O167" t="str">
            <v>19-4909-00</v>
          </cell>
        </row>
        <row r="168">
          <cell r="B168">
            <v>490944</v>
          </cell>
          <cell r="C168" t="str">
            <v>01000</v>
          </cell>
          <cell r="D168">
            <v>356</v>
          </cell>
          <cell r="E168">
            <v>44905</v>
          </cell>
          <cell r="F168" t="str">
            <v>Title III - IEP</v>
          </cell>
          <cell r="G168">
            <v>219757.14</v>
          </cell>
          <cell r="H168">
            <v>684664</v>
          </cell>
          <cell r="I168">
            <v>2.0299999999999999E-2</v>
          </cell>
          <cell r="J168" t="str">
            <v>USDE</v>
          </cell>
          <cell r="K168" t="str">
            <v>84.365A</v>
          </cell>
          <cell r="L168">
            <v>43344</v>
          </cell>
          <cell r="M168">
            <v>43708</v>
          </cell>
          <cell r="N168" t="str">
            <v>ISBE</v>
          </cell>
          <cell r="O168" t="str">
            <v>19-4905-00</v>
          </cell>
        </row>
        <row r="169">
          <cell r="B169">
            <v>492123</v>
          </cell>
          <cell r="C169">
            <v>0</v>
          </cell>
          <cell r="D169">
            <v>324</v>
          </cell>
          <cell r="E169">
            <v>44920</v>
          </cell>
          <cell r="F169" t="str">
            <v>Homeless Education Prog. FY19</v>
          </cell>
          <cell r="G169">
            <v>878138.57</v>
          </cell>
          <cell r="H169">
            <v>906766</v>
          </cell>
          <cell r="I169">
            <v>0</v>
          </cell>
          <cell r="J169" t="str">
            <v>USDE</v>
          </cell>
          <cell r="K169" t="str">
            <v>84.196A</v>
          </cell>
          <cell r="L169">
            <v>43282</v>
          </cell>
          <cell r="M169">
            <v>43646</v>
          </cell>
          <cell r="N169" t="str">
            <v>ISBE</v>
          </cell>
          <cell r="O169" t="str">
            <v>19-4920-00</v>
          </cell>
        </row>
        <row r="170">
          <cell r="B170">
            <v>493518</v>
          </cell>
          <cell r="C170">
            <v>0</v>
          </cell>
          <cell r="D170">
            <v>353</v>
          </cell>
          <cell r="E170">
            <v>0</v>
          </cell>
          <cell r="F170" t="str">
            <v>Teacher Quality Leadership Grant FY18</v>
          </cell>
          <cell r="G170">
            <v>20500</v>
          </cell>
          <cell r="H170">
            <v>34382</v>
          </cell>
          <cell r="I170">
            <v>0</v>
          </cell>
          <cell r="J170" t="str">
            <v>USDE</v>
          </cell>
          <cell r="K170" t="str">
            <v>84.367A</v>
          </cell>
          <cell r="L170">
            <v>42968</v>
          </cell>
          <cell r="M170">
            <v>43343</v>
          </cell>
          <cell r="N170" t="str">
            <v>ISBE</v>
          </cell>
          <cell r="O170" t="str">
            <v>18-4935-02</v>
          </cell>
        </row>
        <row r="171">
          <cell r="B171">
            <v>493519</v>
          </cell>
          <cell r="C171">
            <v>0</v>
          </cell>
          <cell r="D171">
            <v>353</v>
          </cell>
          <cell r="E171">
            <v>44932</v>
          </cell>
          <cell r="F171" t="str">
            <v>Teacher Quality Leadership Grant FY19</v>
          </cell>
          <cell r="G171">
            <v>4875</v>
          </cell>
          <cell r="H171">
            <v>27505</v>
          </cell>
          <cell r="I171">
            <v>0</v>
          </cell>
          <cell r="J171" t="str">
            <v>USDE</v>
          </cell>
          <cell r="K171">
            <v>84.367000000000004</v>
          </cell>
          <cell r="L171">
            <v>43282</v>
          </cell>
          <cell r="M171">
            <v>43708</v>
          </cell>
          <cell r="N171" t="str">
            <v>ISBE</v>
          </cell>
          <cell r="O171" t="str">
            <v>19-4935-02</v>
          </cell>
        </row>
        <row r="172">
          <cell r="B172">
            <v>494061</v>
          </cell>
          <cell r="C172">
            <v>0</v>
          </cell>
          <cell r="D172">
            <v>353</v>
          </cell>
          <cell r="E172">
            <v>0</v>
          </cell>
          <cell r="F172" t="str">
            <v>Title II - Supplementary</v>
          </cell>
          <cell r="G172">
            <v>-47.67</v>
          </cell>
          <cell r="H172">
            <v>0</v>
          </cell>
          <cell r="I172">
            <v>0</v>
          </cell>
          <cell r="J172" t="str">
            <v>USDE</v>
          </cell>
          <cell r="K172" t="str">
            <v>84.367A</v>
          </cell>
          <cell r="L172">
            <v>42552</v>
          </cell>
          <cell r="M172">
            <v>42978</v>
          </cell>
          <cell r="N172" t="str">
            <v>ISBE</v>
          </cell>
          <cell r="O172" t="str">
            <v>17-4932-00</v>
          </cell>
        </row>
        <row r="173">
          <cell r="B173">
            <v>494062</v>
          </cell>
          <cell r="C173">
            <v>0</v>
          </cell>
          <cell r="D173">
            <v>353</v>
          </cell>
          <cell r="E173">
            <v>44932</v>
          </cell>
          <cell r="F173" t="str">
            <v>Title IIA - Teacher Quality</v>
          </cell>
          <cell r="G173">
            <v>202585.58</v>
          </cell>
          <cell r="H173">
            <v>28453545</v>
          </cell>
          <cell r="I173">
            <v>0</v>
          </cell>
          <cell r="J173" t="str">
            <v>USDE</v>
          </cell>
          <cell r="K173" t="str">
            <v>84.367A</v>
          </cell>
          <cell r="L173">
            <v>42917</v>
          </cell>
          <cell r="M173">
            <v>43343</v>
          </cell>
          <cell r="N173" t="str">
            <v>ISBE</v>
          </cell>
          <cell r="O173" t="str">
            <v>18-4932-00</v>
          </cell>
        </row>
        <row r="174">
          <cell r="B174">
            <v>494063</v>
          </cell>
          <cell r="C174">
            <v>0</v>
          </cell>
          <cell r="D174">
            <v>353</v>
          </cell>
          <cell r="E174">
            <v>44932</v>
          </cell>
          <cell r="F174" t="str">
            <v>Title IIA - Archdiocese of Chgo. Suppl. Servc.</v>
          </cell>
          <cell r="G174">
            <v>301367.98</v>
          </cell>
          <cell r="H174">
            <v>28453545</v>
          </cell>
          <cell r="I174">
            <v>0</v>
          </cell>
          <cell r="J174" t="str">
            <v>USDE</v>
          </cell>
          <cell r="K174" t="str">
            <v>84.367A</v>
          </cell>
          <cell r="L174">
            <v>42917</v>
          </cell>
          <cell r="M174">
            <v>43343</v>
          </cell>
          <cell r="N174" t="str">
            <v>ISBE</v>
          </cell>
          <cell r="O174" t="str">
            <v>18-4932-00</v>
          </cell>
        </row>
        <row r="175">
          <cell r="B175">
            <v>494064</v>
          </cell>
          <cell r="C175">
            <v>0</v>
          </cell>
          <cell r="D175">
            <v>353</v>
          </cell>
          <cell r="E175">
            <v>44932</v>
          </cell>
          <cell r="F175" t="str">
            <v>Title IIA - Other Private Supplementary Servc.</v>
          </cell>
          <cell r="G175">
            <v>161296.20000000001</v>
          </cell>
          <cell r="H175">
            <v>28453545</v>
          </cell>
          <cell r="I175">
            <v>0</v>
          </cell>
          <cell r="J175" t="str">
            <v>USDE</v>
          </cell>
          <cell r="K175" t="str">
            <v>84.367A</v>
          </cell>
          <cell r="L175">
            <v>42917</v>
          </cell>
          <cell r="M175">
            <v>43343</v>
          </cell>
          <cell r="N175" t="str">
            <v>ISBE</v>
          </cell>
          <cell r="O175" t="str">
            <v>18-4932-00</v>
          </cell>
        </row>
        <row r="176">
          <cell r="B176">
            <v>494065</v>
          </cell>
          <cell r="C176">
            <v>0</v>
          </cell>
          <cell r="D176">
            <v>353</v>
          </cell>
          <cell r="E176">
            <v>44932</v>
          </cell>
          <cell r="F176" t="str">
            <v>Title II - Supplementary</v>
          </cell>
          <cell r="G176">
            <v>3059.24</v>
          </cell>
          <cell r="H176">
            <v>28453545</v>
          </cell>
          <cell r="I176">
            <v>0</v>
          </cell>
          <cell r="J176" t="str">
            <v>USDE</v>
          </cell>
          <cell r="K176" t="str">
            <v>84.367A</v>
          </cell>
          <cell r="L176">
            <v>42917</v>
          </cell>
          <cell r="M176">
            <v>43343</v>
          </cell>
          <cell r="N176" t="str">
            <v>ISBE</v>
          </cell>
          <cell r="O176" t="str">
            <v>18-4932-00</v>
          </cell>
        </row>
        <row r="177">
          <cell r="B177">
            <v>494066</v>
          </cell>
          <cell r="C177" t="str">
            <v>01000</v>
          </cell>
          <cell r="D177">
            <v>353</v>
          </cell>
          <cell r="E177">
            <v>44932</v>
          </cell>
          <cell r="F177" t="str">
            <v>Title IIA - Teacher Quality</v>
          </cell>
          <cell r="G177">
            <v>10185531.949999999</v>
          </cell>
          <cell r="H177">
            <v>23766289</v>
          </cell>
          <cell r="I177">
            <v>0</v>
          </cell>
          <cell r="J177" t="str">
            <v>USDE</v>
          </cell>
          <cell r="K177" t="str">
            <v>84.367A</v>
          </cell>
          <cell r="L177">
            <v>43282</v>
          </cell>
          <cell r="M177">
            <v>43708</v>
          </cell>
          <cell r="N177" t="str">
            <v>ISBE</v>
          </cell>
          <cell r="O177" t="str">
            <v>19-4932-00</v>
          </cell>
        </row>
        <row r="178">
          <cell r="B178">
            <v>494067</v>
          </cell>
          <cell r="C178" t="str">
            <v>01000</v>
          </cell>
          <cell r="D178">
            <v>353</v>
          </cell>
          <cell r="E178">
            <v>44932</v>
          </cell>
          <cell r="F178" t="str">
            <v>Title IIA - Archdiocese of Chgo. Suppl. Servc.</v>
          </cell>
          <cell r="G178">
            <v>1101089.98</v>
          </cell>
          <cell r="H178">
            <v>23766289</v>
          </cell>
          <cell r="I178">
            <v>0</v>
          </cell>
          <cell r="J178" t="str">
            <v>USDE</v>
          </cell>
          <cell r="K178" t="str">
            <v>84.367A</v>
          </cell>
          <cell r="L178">
            <v>43282</v>
          </cell>
          <cell r="M178">
            <v>43708</v>
          </cell>
          <cell r="N178" t="str">
            <v>ISBE</v>
          </cell>
          <cell r="O178" t="str">
            <v>19-4932-00</v>
          </cell>
        </row>
        <row r="179">
          <cell r="B179">
            <v>494068</v>
          </cell>
          <cell r="C179" t="str">
            <v>01000</v>
          </cell>
          <cell r="D179">
            <v>353</v>
          </cell>
          <cell r="E179">
            <v>44932</v>
          </cell>
          <cell r="F179" t="str">
            <v>Title IIA - Other Private Supplementary Servc.</v>
          </cell>
          <cell r="G179">
            <v>793445.04</v>
          </cell>
          <cell r="H179">
            <v>23766289</v>
          </cell>
          <cell r="I179">
            <v>0</v>
          </cell>
          <cell r="J179" t="str">
            <v>USDE</v>
          </cell>
          <cell r="K179" t="str">
            <v>84.367A</v>
          </cell>
          <cell r="L179">
            <v>43282</v>
          </cell>
          <cell r="M179">
            <v>43708</v>
          </cell>
          <cell r="N179" t="str">
            <v>ISBE</v>
          </cell>
          <cell r="O179" t="str">
            <v>19-4932-00</v>
          </cell>
        </row>
        <row r="180">
          <cell r="B180">
            <v>494069</v>
          </cell>
          <cell r="C180" t="str">
            <v>01000</v>
          </cell>
          <cell r="D180">
            <v>353</v>
          </cell>
          <cell r="E180">
            <v>44932</v>
          </cell>
          <cell r="F180" t="str">
            <v>Title II - Supplementary</v>
          </cell>
          <cell r="G180">
            <v>5921578.1399999997</v>
          </cell>
          <cell r="H180">
            <v>23766289</v>
          </cell>
          <cell r="I180">
            <v>0</v>
          </cell>
          <cell r="J180" t="str">
            <v>USDE</v>
          </cell>
          <cell r="K180" t="str">
            <v>84.367A</v>
          </cell>
          <cell r="L180">
            <v>43282</v>
          </cell>
          <cell r="M180">
            <v>43708</v>
          </cell>
          <cell r="N180" t="str">
            <v>ISBE</v>
          </cell>
          <cell r="O180" t="str">
            <v>19-4932-00</v>
          </cell>
        </row>
        <row r="181">
          <cell r="B181">
            <v>499939</v>
          </cell>
          <cell r="C181">
            <v>0</v>
          </cell>
          <cell r="D181">
            <v>362</v>
          </cell>
          <cell r="E181">
            <v>44306</v>
          </cell>
          <cell r="F181" t="str">
            <v>Preschool Expansion FY19</v>
          </cell>
          <cell r="G181">
            <v>2640517.8199999998</v>
          </cell>
          <cell r="H181">
            <v>2999131</v>
          </cell>
          <cell r="I181">
            <v>0</v>
          </cell>
          <cell r="J181" t="str">
            <v>ISBE</v>
          </cell>
          <cell r="K181">
            <v>0</v>
          </cell>
          <cell r="L181">
            <v>43371</v>
          </cell>
          <cell r="M181">
            <v>43830</v>
          </cell>
          <cell r="N181" t="str">
            <v>ISBE</v>
          </cell>
          <cell r="O181" t="str">
            <v>19-4902-PE</v>
          </cell>
        </row>
        <row r="182">
          <cell r="B182">
            <v>500003</v>
          </cell>
          <cell r="C182">
            <v>0</v>
          </cell>
          <cell r="D182">
            <v>324</v>
          </cell>
          <cell r="E182">
            <v>44099</v>
          </cell>
          <cell r="F182" t="str">
            <v>Start on Success Program FY18</v>
          </cell>
          <cell r="G182">
            <v>44772.76</v>
          </cell>
          <cell r="H182">
            <v>614777</v>
          </cell>
          <cell r="I182">
            <v>2.7400000000000001E-2</v>
          </cell>
          <cell r="J182" t="str">
            <v>USDE</v>
          </cell>
          <cell r="K182" t="str">
            <v>84.215H</v>
          </cell>
          <cell r="L182">
            <v>43009</v>
          </cell>
          <cell r="M182">
            <v>43373</v>
          </cell>
          <cell r="N182" t="str">
            <v>Direct Funding</v>
          </cell>
          <cell r="O182" t="str">
            <v>U215H150069</v>
          </cell>
        </row>
        <row r="183">
          <cell r="B183">
            <v>500004</v>
          </cell>
          <cell r="C183">
            <v>0</v>
          </cell>
          <cell r="D183">
            <v>324</v>
          </cell>
          <cell r="E183">
            <v>44099</v>
          </cell>
          <cell r="F183" t="str">
            <v>Start on Success Program FY19</v>
          </cell>
          <cell r="G183">
            <v>171504.33</v>
          </cell>
          <cell r="H183">
            <v>313569</v>
          </cell>
          <cell r="I183">
            <v>2.0299999999999999E-2</v>
          </cell>
          <cell r="J183" t="str">
            <v>USDE</v>
          </cell>
          <cell r="K183" t="str">
            <v>84.215H</v>
          </cell>
          <cell r="L183">
            <v>43374</v>
          </cell>
          <cell r="M183">
            <v>43738</v>
          </cell>
          <cell r="N183" t="str">
            <v>Direct Funding</v>
          </cell>
          <cell r="O183" t="str">
            <v>U215H150069</v>
          </cell>
        </row>
        <row r="184">
          <cell r="B184">
            <v>500006</v>
          </cell>
          <cell r="C184">
            <v>0</v>
          </cell>
          <cell r="D184">
            <v>324</v>
          </cell>
          <cell r="E184">
            <v>44099</v>
          </cell>
          <cell r="F184" t="str">
            <v>Bridges - Advancing High School Computer Science FY19</v>
          </cell>
          <cell r="G184">
            <v>22441.47</v>
          </cell>
          <cell r="H184">
            <v>128898</v>
          </cell>
          <cell r="I184">
            <v>2.9100000000000001E-2</v>
          </cell>
          <cell r="J184" t="str">
            <v>National Science Foundation (NSF)</v>
          </cell>
          <cell r="K184" t="str">
            <v>47.076</v>
          </cell>
          <cell r="L184">
            <v>42901</v>
          </cell>
          <cell r="M184">
            <v>43251</v>
          </cell>
          <cell r="N184" t="str">
            <v>DEPAUL UNIVERSITY</v>
          </cell>
          <cell r="O184" t="str">
            <v>501313SG151</v>
          </cell>
        </row>
        <row r="185">
          <cell r="B185">
            <v>500007</v>
          </cell>
          <cell r="C185">
            <v>0</v>
          </cell>
          <cell r="D185">
            <v>324</v>
          </cell>
          <cell r="E185">
            <v>44099</v>
          </cell>
          <cell r="F185" t="str">
            <v>Bridges - Advancing High School Computer Science FY19</v>
          </cell>
          <cell r="G185">
            <v>22441.47</v>
          </cell>
          <cell r="H185">
            <v>123993</v>
          </cell>
          <cell r="I185">
            <v>1.3299999999999999E-2</v>
          </cell>
          <cell r="J185" t="str">
            <v>National Science Foundation (NSF)</v>
          </cell>
          <cell r="K185" t="str">
            <v>47.076</v>
          </cell>
          <cell r="L185">
            <v>43252</v>
          </cell>
          <cell r="M185">
            <v>43616</v>
          </cell>
          <cell r="N185" t="str">
            <v>DEPAUL UNIVERSITY</v>
          </cell>
          <cell r="O185" t="str">
            <v>501313SG151</v>
          </cell>
        </row>
        <row r="186">
          <cell r="B186">
            <v>500011</v>
          </cell>
          <cell r="C186">
            <v>0</v>
          </cell>
          <cell r="D186">
            <v>324</v>
          </cell>
          <cell r="E186">
            <v>44099</v>
          </cell>
          <cell r="F186" t="str">
            <v>Chicago Alliance for Equity in Computer Science (CAFE-CS)</v>
          </cell>
          <cell r="G186">
            <v>13831.87</v>
          </cell>
          <cell r="H186">
            <v>158790</v>
          </cell>
          <cell r="I186">
            <v>1.3299999999999999E-2</v>
          </cell>
          <cell r="J186" t="str">
            <v>National Science Foundation (NSF)</v>
          </cell>
          <cell r="K186" t="str">
            <v>47.070</v>
          </cell>
          <cell r="L186">
            <v>43023</v>
          </cell>
          <cell r="M186">
            <v>43373</v>
          </cell>
          <cell r="N186" t="str">
            <v>DEPAUL UNIVERSITY</v>
          </cell>
          <cell r="O186" t="str">
            <v>501334SG159</v>
          </cell>
        </row>
        <row r="187">
          <cell r="B187">
            <v>500012</v>
          </cell>
          <cell r="C187">
            <v>0</v>
          </cell>
          <cell r="D187">
            <v>324</v>
          </cell>
          <cell r="E187">
            <v>44099</v>
          </cell>
          <cell r="F187" t="str">
            <v>Chicago Alliance for Equity in Computer Science (CAFE-CS) FY19</v>
          </cell>
          <cell r="G187">
            <v>32143.74</v>
          </cell>
          <cell r="H187">
            <v>164334</v>
          </cell>
          <cell r="I187">
            <v>1.3299999999999999E-2</v>
          </cell>
          <cell r="J187" t="str">
            <v>National Science Foundation (NSF)</v>
          </cell>
          <cell r="K187" t="str">
            <v>47.070</v>
          </cell>
          <cell r="L187">
            <v>43374</v>
          </cell>
          <cell r="M187">
            <v>43738</v>
          </cell>
          <cell r="N187" t="str">
            <v>DEPAUL UNIVERSITY</v>
          </cell>
          <cell r="O187" t="str">
            <v>501334SG159</v>
          </cell>
        </row>
        <row r="188">
          <cell r="B188">
            <v>500016</v>
          </cell>
          <cell r="C188">
            <v>0</v>
          </cell>
          <cell r="D188">
            <v>324</v>
          </cell>
          <cell r="E188">
            <v>44099</v>
          </cell>
          <cell r="F188" t="str">
            <v>Collaborative Research: Geospatial HS Course in CTE Clusters</v>
          </cell>
          <cell r="G188">
            <v>98022.63</v>
          </cell>
          <cell r="H188">
            <v>238068</v>
          </cell>
          <cell r="I188">
            <v>2.7400000000000001E-2</v>
          </cell>
          <cell r="J188" t="str">
            <v>National Science Foundation (NSF)</v>
          </cell>
          <cell r="K188" t="str">
            <v>47.08</v>
          </cell>
          <cell r="L188">
            <v>42750</v>
          </cell>
          <cell r="M188">
            <v>43465</v>
          </cell>
          <cell r="N188" t="str">
            <v>DEPAUL UNIVERSITY</v>
          </cell>
          <cell r="O188" t="str">
            <v>DRL1759371/LP201801</v>
          </cell>
        </row>
        <row r="189">
          <cell r="B189">
            <v>500020</v>
          </cell>
          <cell r="C189">
            <v>0</v>
          </cell>
          <cell r="D189">
            <v>324</v>
          </cell>
          <cell r="E189">
            <v>44099</v>
          </cell>
          <cell r="F189" t="str">
            <v>Scratch Encore FY18</v>
          </cell>
          <cell r="G189">
            <v>6830.07</v>
          </cell>
          <cell r="H189">
            <v>96890</v>
          </cell>
          <cell r="I189">
            <v>2.1399999999999999E-2</v>
          </cell>
          <cell r="J189" t="str">
            <v>National Science Foundation (NSF)</v>
          </cell>
          <cell r="K189">
            <v>47.07</v>
          </cell>
          <cell r="L189">
            <v>42979</v>
          </cell>
          <cell r="M189">
            <v>43343</v>
          </cell>
          <cell r="N189" t="str">
            <v>The University of Chicago</v>
          </cell>
          <cell r="O189" t="str">
            <v>FP066563-01</v>
          </cell>
        </row>
        <row r="190">
          <cell r="B190">
            <v>500021</v>
          </cell>
          <cell r="C190">
            <v>0</v>
          </cell>
          <cell r="D190">
            <v>324</v>
          </cell>
          <cell r="E190">
            <v>44099</v>
          </cell>
          <cell r="F190" t="str">
            <v>Scratch Encore FY19</v>
          </cell>
          <cell r="G190">
            <v>48116.67</v>
          </cell>
          <cell r="H190">
            <v>64878</v>
          </cell>
          <cell r="I190">
            <v>2.1399999999999999E-2</v>
          </cell>
          <cell r="J190" t="str">
            <v>National Science Foundation (NSF)</v>
          </cell>
          <cell r="K190">
            <v>47.07</v>
          </cell>
          <cell r="L190">
            <v>43344</v>
          </cell>
          <cell r="M190">
            <v>43708</v>
          </cell>
          <cell r="N190" t="str">
            <v>The University of Chicago</v>
          </cell>
          <cell r="O190" t="str">
            <v>FP066563-01</v>
          </cell>
        </row>
        <row r="191">
          <cell r="B191">
            <v>500025</v>
          </cell>
          <cell r="C191">
            <v>0</v>
          </cell>
          <cell r="D191">
            <v>336</v>
          </cell>
          <cell r="E191">
            <v>44099</v>
          </cell>
          <cell r="F191" t="str">
            <v>Project Cultivate FY19</v>
          </cell>
          <cell r="G191">
            <v>90214.78</v>
          </cell>
          <cell r="H191">
            <v>487604</v>
          </cell>
          <cell r="I191">
            <v>0</v>
          </cell>
          <cell r="J191" t="str">
            <v>US Department of Education</v>
          </cell>
          <cell r="K191" t="str">
            <v>84.351D</v>
          </cell>
          <cell r="L191">
            <v>43374</v>
          </cell>
          <cell r="M191">
            <v>43738</v>
          </cell>
          <cell r="N191" t="str">
            <v>Direct Funding</v>
          </cell>
          <cell r="O191" t="str">
            <v>U351D180107</v>
          </cell>
        </row>
        <row r="192">
          <cell r="B192">
            <v>500117</v>
          </cell>
          <cell r="C192">
            <v>0</v>
          </cell>
          <cell r="D192">
            <v>324</v>
          </cell>
          <cell r="E192">
            <v>44099</v>
          </cell>
          <cell r="F192" t="str">
            <v>Connect and Redirect to Respect FY18</v>
          </cell>
          <cell r="G192">
            <v>69140.84</v>
          </cell>
          <cell r="H192">
            <v>739307.53</v>
          </cell>
          <cell r="I192">
            <v>0</v>
          </cell>
          <cell r="J192" t="str">
            <v>USDOJ</v>
          </cell>
          <cell r="K192">
            <v>16.559999999999999</v>
          </cell>
          <cell r="L192">
            <v>43101</v>
          </cell>
          <cell r="M192">
            <v>43465</v>
          </cell>
          <cell r="N192" t="str">
            <v>N/A</v>
          </cell>
          <cell r="O192" t="str">
            <v>2014-CK-BX-0002</v>
          </cell>
        </row>
        <row r="193">
          <cell r="B193">
            <v>500309</v>
          </cell>
          <cell r="C193">
            <v>0</v>
          </cell>
          <cell r="D193">
            <v>324</v>
          </cell>
          <cell r="E193">
            <v>44099</v>
          </cell>
          <cell r="F193" t="str">
            <v>Magnet Schools Assistance Program (CPSMSAP) FY18-19</v>
          </cell>
          <cell r="G193">
            <v>2115129.7799999998</v>
          </cell>
          <cell r="H193">
            <v>2309215</v>
          </cell>
          <cell r="I193">
            <v>2.7400000000000001E-2</v>
          </cell>
          <cell r="J193" t="str">
            <v>USDE</v>
          </cell>
          <cell r="K193" t="str">
            <v>84.165A</v>
          </cell>
          <cell r="L193">
            <v>43009</v>
          </cell>
          <cell r="M193">
            <v>43738</v>
          </cell>
          <cell r="N193" t="str">
            <v>Direct Funding</v>
          </cell>
          <cell r="O193" t="str">
            <v>U165A170071</v>
          </cell>
        </row>
        <row r="194">
          <cell r="B194">
            <v>500366</v>
          </cell>
          <cell r="C194">
            <v>0</v>
          </cell>
          <cell r="D194">
            <v>324</v>
          </cell>
          <cell r="E194">
            <v>44099</v>
          </cell>
          <cell r="F194" t="str">
            <v>STARTALK - Arabic/Chinese</v>
          </cell>
          <cell r="G194">
            <v>-204</v>
          </cell>
          <cell r="H194">
            <v>89947.42</v>
          </cell>
          <cell r="I194">
            <v>0</v>
          </cell>
          <cell r="J194" t="str">
            <v>National Security Agency</v>
          </cell>
          <cell r="K194" t="str">
            <v>12.90</v>
          </cell>
          <cell r="L194">
            <v>42844</v>
          </cell>
          <cell r="M194">
            <v>43190</v>
          </cell>
          <cell r="N194" t="str">
            <v>National Security Agency</v>
          </cell>
          <cell r="O194" t="str">
            <v>H98230-17-1-0014</v>
          </cell>
        </row>
        <row r="195">
          <cell r="B195">
            <v>500367</v>
          </cell>
          <cell r="C195">
            <v>0</v>
          </cell>
          <cell r="D195">
            <v>324</v>
          </cell>
          <cell r="E195">
            <v>44099</v>
          </cell>
          <cell r="F195" t="str">
            <v>STARTALK - Arabic/Chinese</v>
          </cell>
          <cell r="G195">
            <v>84177.61</v>
          </cell>
          <cell r="H195">
            <v>0</v>
          </cell>
          <cell r="I195">
            <v>0</v>
          </cell>
          <cell r="J195" t="str">
            <v>National Security Agency</v>
          </cell>
          <cell r="K195" t="str">
            <v>12.90</v>
          </cell>
          <cell r="L195">
            <v>43160</v>
          </cell>
          <cell r="M195">
            <v>43555</v>
          </cell>
          <cell r="N195">
            <v>0</v>
          </cell>
          <cell r="O195">
            <v>0</v>
          </cell>
        </row>
        <row r="196">
          <cell r="B196">
            <v>500689</v>
          </cell>
          <cell r="C196">
            <v>0</v>
          </cell>
          <cell r="D196">
            <v>324</v>
          </cell>
          <cell r="E196">
            <v>44099</v>
          </cell>
          <cell r="F196" t="str">
            <v>Refugee Children's School Impact Grant FY19</v>
          </cell>
          <cell r="G196">
            <v>60912.66</v>
          </cell>
          <cell r="H196">
            <v>57525</v>
          </cell>
          <cell r="I196">
            <v>0</v>
          </cell>
          <cell r="J196" t="str">
            <v>USDHHS</v>
          </cell>
          <cell r="K196">
            <v>93.566000000000003</v>
          </cell>
          <cell r="L196">
            <v>43282</v>
          </cell>
          <cell r="M196">
            <v>43646</v>
          </cell>
          <cell r="N196" t="str">
            <v>IDHS</v>
          </cell>
          <cell r="O196" t="str">
            <v>9FCSXK04937</v>
          </cell>
        </row>
        <row r="197">
          <cell r="B197">
            <v>500983</v>
          </cell>
          <cell r="C197">
            <v>0</v>
          </cell>
          <cell r="D197">
            <v>336</v>
          </cell>
          <cell r="E197">
            <v>44099</v>
          </cell>
          <cell r="F197" t="str">
            <v>Arts Teachers Leading Achievement and Success (ATLAS) Year 4</v>
          </cell>
          <cell r="G197">
            <v>102196.55</v>
          </cell>
          <cell r="H197">
            <v>460789</v>
          </cell>
          <cell r="I197">
            <v>2.7400000000000001E-2</v>
          </cell>
          <cell r="J197" t="str">
            <v>USDE</v>
          </cell>
          <cell r="K197" t="str">
            <v>84.351C</v>
          </cell>
          <cell r="L197">
            <v>43009</v>
          </cell>
          <cell r="M197">
            <v>43646</v>
          </cell>
          <cell r="N197" t="str">
            <v>Direct Funding</v>
          </cell>
          <cell r="O197" t="str">
            <v>U351C140052-16</v>
          </cell>
        </row>
        <row r="198">
          <cell r="B198">
            <v>500984</v>
          </cell>
          <cell r="C198">
            <v>0</v>
          </cell>
          <cell r="D198">
            <v>336</v>
          </cell>
          <cell r="E198">
            <v>44099</v>
          </cell>
          <cell r="F198" t="str">
            <v>Arts Teachers Leading Achievement and Success (ATLAS) FY19</v>
          </cell>
          <cell r="G198">
            <v>45733.51</v>
          </cell>
          <cell r="H198">
            <v>105686</v>
          </cell>
          <cell r="I198">
            <v>2.0299999999999999E-2</v>
          </cell>
          <cell r="J198" t="str">
            <v>USDE</v>
          </cell>
          <cell r="K198" t="str">
            <v>84.351C</v>
          </cell>
          <cell r="L198">
            <v>43374</v>
          </cell>
          <cell r="M198">
            <v>43738</v>
          </cell>
          <cell r="N198" t="str">
            <v>Direct Funding</v>
          </cell>
          <cell r="O198" t="str">
            <v>U351C140052</v>
          </cell>
        </row>
        <row r="199">
          <cell r="B199">
            <v>510225</v>
          </cell>
          <cell r="C199">
            <v>0</v>
          </cell>
          <cell r="D199">
            <v>362</v>
          </cell>
          <cell r="E199">
            <v>44045</v>
          </cell>
          <cell r="F199" t="str">
            <v>Headstart-Child Development</v>
          </cell>
          <cell r="G199">
            <v>13525513.6</v>
          </cell>
          <cell r="H199">
            <v>35912000</v>
          </cell>
          <cell r="I199">
            <v>0</v>
          </cell>
          <cell r="J199" t="str">
            <v>US Department of Health and Family Services</v>
          </cell>
          <cell r="K199" t="str">
            <v>93.600</v>
          </cell>
          <cell r="L199">
            <v>43070</v>
          </cell>
          <cell r="M199">
            <v>43434</v>
          </cell>
          <cell r="N199" t="str">
            <v>City of Chicago</v>
          </cell>
          <cell r="O199" t="str">
            <v>PO#33360-3</v>
          </cell>
        </row>
        <row r="200">
          <cell r="B200">
            <v>510226</v>
          </cell>
          <cell r="C200">
            <v>0</v>
          </cell>
          <cell r="D200">
            <v>362</v>
          </cell>
          <cell r="E200">
            <v>44045</v>
          </cell>
          <cell r="F200" t="str">
            <v>Headstart-Child Development</v>
          </cell>
          <cell r="G200">
            <v>21476852.93</v>
          </cell>
          <cell r="H200">
            <v>35912000</v>
          </cell>
          <cell r="I200">
            <v>0</v>
          </cell>
          <cell r="J200" t="str">
            <v>US Department of Health and Family Services</v>
          </cell>
          <cell r="K200" t="str">
            <v>93.600</v>
          </cell>
          <cell r="L200">
            <v>43435</v>
          </cell>
          <cell r="M200">
            <v>43799</v>
          </cell>
          <cell r="N200" t="str">
            <v>City of Chicago</v>
          </cell>
          <cell r="O200" t="str">
            <v>PO#33360-4</v>
          </cell>
        </row>
        <row r="201">
          <cell r="B201">
            <v>511247</v>
          </cell>
          <cell r="C201">
            <v>0</v>
          </cell>
          <cell r="D201">
            <v>324</v>
          </cell>
          <cell r="E201">
            <v>44099</v>
          </cell>
          <cell r="F201" t="str">
            <v>CPS Healing Trauma Together FY18</v>
          </cell>
          <cell r="G201">
            <v>67377.45</v>
          </cell>
          <cell r="H201">
            <v>1989718</v>
          </cell>
          <cell r="I201">
            <v>2.7400000000000001E-2</v>
          </cell>
          <cell r="J201" t="str">
            <v>US Department of Education</v>
          </cell>
          <cell r="K201" t="str">
            <v>84.184C</v>
          </cell>
          <cell r="L201">
            <v>43009</v>
          </cell>
          <cell r="M201">
            <v>43738</v>
          </cell>
          <cell r="N201" t="str">
            <v>Direct Funding</v>
          </cell>
          <cell r="O201" t="str">
            <v>S184C160002</v>
          </cell>
        </row>
        <row r="202">
          <cell r="B202">
            <v>511248</v>
          </cell>
          <cell r="C202">
            <v>0</v>
          </cell>
          <cell r="D202">
            <v>324</v>
          </cell>
          <cell r="E202">
            <v>44099</v>
          </cell>
          <cell r="F202" t="str">
            <v>CPS Healing Trauma Together FY19</v>
          </cell>
          <cell r="G202">
            <v>613278</v>
          </cell>
          <cell r="H202">
            <v>1092050</v>
          </cell>
          <cell r="I202">
            <v>2.7400000000000001E-2</v>
          </cell>
          <cell r="J202" t="str">
            <v>US Department of Education</v>
          </cell>
          <cell r="K202" t="str">
            <v>84.184C</v>
          </cell>
          <cell r="L202">
            <v>43374</v>
          </cell>
          <cell r="M202">
            <v>43738</v>
          </cell>
          <cell r="N202" t="str">
            <v>Direct Funding</v>
          </cell>
          <cell r="O202" t="str">
            <v>S184C160002</v>
          </cell>
        </row>
        <row r="203">
          <cell r="B203">
            <v>511341</v>
          </cell>
          <cell r="C203">
            <v>0</v>
          </cell>
          <cell r="D203">
            <v>324</v>
          </cell>
          <cell r="E203">
            <v>0</v>
          </cell>
          <cell r="F203" t="str">
            <v>Broadening Advanced Technological Education Connections (BATEC)</v>
          </cell>
          <cell r="G203">
            <v>1249.95</v>
          </cell>
          <cell r="H203">
            <v>0</v>
          </cell>
          <cell r="I203">
            <v>0</v>
          </cell>
          <cell r="J203" t="str">
            <v>National Science Foundation</v>
          </cell>
          <cell r="K203">
            <v>47.076000000000001</v>
          </cell>
          <cell r="L203">
            <v>42491</v>
          </cell>
          <cell r="M203">
            <v>43312</v>
          </cell>
          <cell r="N203" t="str">
            <v>University of Massachusetts Boston</v>
          </cell>
          <cell r="O203" t="str">
            <v>DUE 1104145</v>
          </cell>
        </row>
        <row r="204">
          <cell r="B204">
            <v>524023</v>
          </cell>
          <cell r="C204">
            <v>0</v>
          </cell>
          <cell r="D204">
            <v>324</v>
          </cell>
          <cell r="E204">
            <v>44999</v>
          </cell>
          <cell r="F204" t="str">
            <v>Secondary Transitional Experience Program (STEP) FY19</v>
          </cell>
          <cell r="G204">
            <v>195389.1</v>
          </cell>
          <cell r="H204">
            <v>400000</v>
          </cell>
          <cell r="I204">
            <v>0</v>
          </cell>
          <cell r="J204" t="str">
            <v>Department of Health and Human Services</v>
          </cell>
          <cell r="K204">
            <v>84.126000000000005</v>
          </cell>
          <cell r="L204">
            <v>43282</v>
          </cell>
          <cell r="M204">
            <v>43646</v>
          </cell>
          <cell r="N204" t="str">
            <v>IDHS</v>
          </cell>
          <cell r="O204" t="str">
            <v>46CXF00155</v>
          </cell>
        </row>
        <row r="205">
          <cell r="B205">
            <v>532011</v>
          </cell>
          <cell r="C205">
            <v>0</v>
          </cell>
          <cell r="D205">
            <v>324</v>
          </cell>
          <cell r="E205">
            <v>44099</v>
          </cell>
          <cell r="F205" t="str">
            <v>Accelerated STEM Program of Study and Leadership Development FY19</v>
          </cell>
          <cell r="G205">
            <v>524004.52</v>
          </cell>
          <cell r="H205">
            <v>1152236.03</v>
          </cell>
          <cell r="I205">
            <v>0</v>
          </cell>
          <cell r="J205" t="str">
            <v>US Army Research Office</v>
          </cell>
          <cell r="K205">
            <v>12.430999999999999</v>
          </cell>
          <cell r="L205">
            <v>43235</v>
          </cell>
          <cell r="M205">
            <v>43861</v>
          </cell>
          <cell r="N205" t="str">
            <v>DOD</v>
          </cell>
          <cell r="O205" t="str">
            <v>W911NF-15-1-0251</v>
          </cell>
        </row>
        <row r="206">
          <cell r="B206">
            <v>542132</v>
          </cell>
          <cell r="C206">
            <v>0</v>
          </cell>
          <cell r="D206">
            <v>324</v>
          </cell>
          <cell r="E206">
            <v>44099</v>
          </cell>
          <cell r="F206" t="str">
            <v>Distributed Leadership in Opportunity Schools (DLOS) FY18</v>
          </cell>
          <cell r="G206">
            <v>445400.43</v>
          </cell>
          <cell r="H206">
            <v>1814488</v>
          </cell>
          <cell r="I206">
            <v>2.7400000000000001E-2</v>
          </cell>
          <cell r="J206" t="str">
            <v>USDE</v>
          </cell>
          <cell r="K206" t="str">
            <v>84.374A</v>
          </cell>
          <cell r="L206">
            <v>43009</v>
          </cell>
          <cell r="M206">
            <v>43373</v>
          </cell>
          <cell r="N206" t="str">
            <v>Direct Funding</v>
          </cell>
          <cell r="O206" t="str">
            <v>U374A170088</v>
          </cell>
        </row>
        <row r="207">
          <cell r="B207">
            <v>542133</v>
          </cell>
          <cell r="C207">
            <v>0</v>
          </cell>
          <cell r="D207">
            <v>324</v>
          </cell>
          <cell r="E207">
            <v>44099</v>
          </cell>
          <cell r="F207" t="str">
            <v>Distributed Leadership in Opportunity School (DLOS) FY19</v>
          </cell>
          <cell r="G207">
            <v>1165350.8700000001</v>
          </cell>
          <cell r="H207">
            <v>2927373</v>
          </cell>
          <cell r="I207">
            <v>2.0299999999999999E-2</v>
          </cell>
          <cell r="J207" t="str">
            <v>USDE</v>
          </cell>
          <cell r="K207" t="str">
            <v>84.374A</v>
          </cell>
          <cell r="L207">
            <v>43374</v>
          </cell>
          <cell r="M207">
            <v>43738</v>
          </cell>
          <cell r="N207" t="str">
            <v>Direct Funding</v>
          </cell>
          <cell r="O207" t="str">
            <v>U374A170088</v>
          </cell>
        </row>
        <row r="208">
          <cell r="B208">
            <v>547522</v>
          </cell>
          <cell r="C208">
            <v>0</v>
          </cell>
          <cell r="D208">
            <v>324</v>
          </cell>
          <cell r="E208">
            <v>44099</v>
          </cell>
          <cell r="F208" t="str">
            <v>Indian Elem/Sec. Assistance Prog. FY18</v>
          </cell>
          <cell r="G208">
            <v>1897.47</v>
          </cell>
          <cell r="H208">
            <v>204142</v>
          </cell>
          <cell r="I208">
            <v>2.7400000000000001E-2</v>
          </cell>
          <cell r="J208" t="str">
            <v>USDE</v>
          </cell>
          <cell r="K208" t="str">
            <v>84.060A</v>
          </cell>
          <cell r="L208">
            <v>42917</v>
          </cell>
          <cell r="M208">
            <v>43281</v>
          </cell>
          <cell r="N208" t="str">
            <v>Direct Funding</v>
          </cell>
          <cell r="O208" t="str">
            <v>S060A140666</v>
          </cell>
        </row>
        <row r="209">
          <cell r="B209">
            <v>547523</v>
          </cell>
          <cell r="C209">
            <v>0</v>
          </cell>
          <cell r="D209">
            <v>324</v>
          </cell>
          <cell r="E209">
            <v>44099</v>
          </cell>
          <cell r="F209" t="str">
            <v>Indian Elem/Sec. Assistance Prog. FY19</v>
          </cell>
          <cell r="G209">
            <v>192528.05</v>
          </cell>
          <cell r="H209">
            <v>217185</v>
          </cell>
          <cell r="I209">
            <v>2.0299999999999999E-2</v>
          </cell>
          <cell r="J209" t="str">
            <v>USDE</v>
          </cell>
          <cell r="K209" t="str">
            <v>84.060A</v>
          </cell>
          <cell r="L209">
            <v>43282</v>
          </cell>
          <cell r="M209">
            <v>43646</v>
          </cell>
          <cell r="N209" t="str">
            <v>Direct Funding</v>
          </cell>
          <cell r="O209" t="str">
            <v>S060A140666</v>
          </cell>
        </row>
        <row r="210">
          <cell r="B210">
            <v>548023</v>
          </cell>
          <cell r="C210">
            <v>0</v>
          </cell>
          <cell r="D210">
            <v>324</v>
          </cell>
          <cell r="E210">
            <v>44099</v>
          </cell>
          <cell r="F210" t="str">
            <v>Track 2 CS10K: Accelerate ECS4ALL FY18-FY19</v>
          </cell>
          <cell r="G210">
            <v>170968.5</v>
          </cell>
          <cell r="H210">
            <v>274340</v>
          </cell>
          <cell r="I210">
            <v>1.3299999999999999E-2</v>
          </cell>
          <cell r="J210" t="str">
            <v>National Science Foundation</v>
          </cell>
          <cell r="K210" t="str">
            <v>47.070</v>
          </cell>
          <cell r="L210">
            <v>42917</v>
          </cell>
          <cell r="M210">
            <v>43373</v>
          </cell>
          <cell r="N210" t="str">
            <v>DePaul University</v>
          </cell>
          <cell r="O210" t="str">
            <v>500165SG155</v>
          </cell>
        </row>
        <row r="211">
          <cell r="B211">
            <v>548024</v>
          </cell>
          <cell r="C211">
            <v>0</v>
          </cell>
          <cell r="D211">
            <v>324</v>
          </cell>
          <cell r="E211">
            <v>44099</v>
          </cell>
          <cell r="F211" t="str">
            <v>Track 2 CS10K:  Accelerate ECS4ALL FY19</v>
          </cell>
          <cell r="G211">
            <v>156519.15</v>
          </cell>
          <cell r="H211">
            <v>285232</v>
          </cell>
          <cell r="I211">
            <v>1.3299999999999999E-2</v>
          </cell>
          <cell r="J211" t="str">
            <v>National Science Foundation</v>
          </cell>
          <cell r="K211" t="str">
            <v>47.070</v>
          </cell>
          <cell r="L211">
            <v>43374</v>
          </cell>
          <cell r="M211">
            <v>43738</v>
          </cell>
          <cell r="N211" t="str">
            <v>DePaul University</v>
          </cell>
          <cell r="O211" t="str">
            <v>500165SG155</v>
          </cell>
        </row>
        <row r="212">
          <cell r="B212">
            <v>548046</v>
          </cell>
          <cell r="C212">
            <v>0</v>
          </cell>
          <cell r="D212">
            <v>324</v>
          </cell>
          <cell r="E212">
            <v>44099</v>
          </cell>
          <cell r="F212" t="str">
            <v>Trio - Talent Search FY18</v>
          </cell>
          <cell r="G212">
            <v>63579.43</v>
          </cell>
          <cell r="H212">
            <v>261110</v>
          </cell>
          <cell r="I212">
            <v>2.7400000000000001E-2</v>
          </cell>
          <cell r="J212" t="str">
            <v>US Department of Education</v>
          </cell>
          <cell r="K212" t="str">
            <v>84.044A</v>
          </cell>
          <cell r="L212">
            <v>42979</v>
          </cell>
          <cell r="M212">
            <v>43343</v>
          </cell>
          <cell r="N212" t="str">
            <v>Direct Funding</v>
          </cell>
          <cell r="O212" t="str">
            <v>P044A160585</v>
          </cell>
        </row>
        <row r="213">
          <cell r="B213">
            <v>548047</v>
          </cell>
          <cell r="C213">
            <v>0</v>
          </cell>
          <cell r="D213">
            <v>324</v>
          </cell>
          <cell r="E213">
            <v>44099</v>
          </cell>
          <cell r="F213" t="str">
            <v>Trio - Talent Search FY19</v>
          </cell>
          <cell r="G213">
            <v>228271.98</v>
          </cell>
          <cell r="H213">
            <v>240077</v>
          </cell>
          <cell r="I213">
            <v>2.0299999999999999E-2</v>
          </cell>
          <cell r="J213" t="str">
            <v>US Department of Education</v>
          </cell>
          <cell r="K213" t="str">
            <v>84.044A</v>
          </cell>
          <cell r="L213">
            <v>43344</v>
          </cell>
          <cell r="M213">
            <v>43708</v>
          </cell>
          <cell r="N213" t="str">
            <v>Direct Funding</v>
          </cell>
          <cell r="O213" t="str">
            <v>P044A160585</v>
          </cell>
        </row>
        <row r="214">
          <cell r="B214">
            <v>560033</v>
          </cell>
          <cell r="C214">
            <v>0</v>
          </cell>
          <cell r="D214">
            <v>362</v>
          </cell>
          <cell r="E214">
            <v>0</v>
          </cell>
          <cell r="F214" t="str">
            <v>Headstart-Child Supp. Dis. SP Initiative</v>
          </cell>
          <cell r="G214">
            <v>209572.07</v>
          </cell>
          <cell r="H214">
            <v>1021990</v>
          </cell>
          <cell r="I214">
            <v>0</v>
          </cell>
          <cell r="J214" t="str">
            <v>US HFS</v>
          </cell>
          <cell r="K214">
            <v>93.6</v>
          </cell>
          <cell r="L214">
            <v>43070</v>
          </cell>
          <cell r="M214">
            <v>43434</v>
          </cell>
          <cell r="N214" t="str">
            <v>Chicago Family &amp; Support Services</v>
          </cell>
          <cell r="O214" t="str">
            <v>IGA</v>
          </cell>
        </row>
        <row r="215">
          <cell r="B215">
            <v>560034</v>
          </cell>
          <cell r="C215">
            <v>0</v>
          </cell>
          <cell r="D215">
            <v>362</v>
          </cell>
          <cell r="E215">
            <v>0</v>
          </cell>
          <cell r="F215" t="str">
            <v>Headstart-Child Supp. Dis. SP Initiative</v>
          </cell>
          <cell r="G215">
            <v>747591.14</v>
          </cell>
          <cell r="H215">
            <v>0</v>
          </cell>
          <cell r="I215">
            <v>0</v>
          </cell>
          <cell r="J215">
            <v>0</v>
          </cell>
          <cell r="K215">
            <v>93.6</v>
          </cell>
          <cell r="L215">
            <v>43435</v>
          </cell>
          <cell r="M215">
            <v>43799</v>
          </cell>
          <cell r="N215" t="str">
            <v>Chicago Family &amp; Support Services</v>
          </cell>
          <cell r="O215" t="str">
            <v>IGA</v>
          </cell>
        </row>
        <row r="216">
          <cell r="B216">
            <v>580212</v>
          </cell>
          <cell r="C216">
            <v>0</v>
          </cell>
          <cell r="D216">
            <v>324</v>
          </cell>
          <cell r="E216">
            <v>44099</v>
          </cell>
          <cell r="F216" t="str">
            <v>Healthy Chicago Public Schools-YRBS 262006 FY18</v>
          </cell>
          <cell r="G216">
            <v>3244.52</v>
          </cell>
          <cell r="H216">
            <v>61250</v>
          </cell>
          <cell r="I216">
            <v>2.8899999999999999E-2</v>
          </cell>
          <cell r="J216" t="str">
            <v>Department of Health and Human Services</v>
          </cell>
          <cell r="K216">
            <v>93.078999999999994</v>
          </cell>
          <cell r="L216">
            <v>42948</v>
          </cell>
          <cell r="M216">
            <v>43312</v>
          </cell>
          <cell r="N216">
            <v>0</v>
          </cell>
          <cell r="O216" t="str">
            <v>NU87PS004162-05-00</v>
          </cell>
        </row>
        <row r="217">
          <cell r="B217">
            <v>580213</v>
          </cell>
          <cell r="C217">
            <v>0</v>
          </cell>
          <cell r="D217">
            <v>324</v>
          </cell>
          <cell r="E217">
            <v>44099</v>
          </cell>
          <cell r="F217" t="str">
            <v>Healthy Chicago Public Schools-HIV/STD Prevention Initiative 221077 FY18</v>
          </cell>
          <cell r="G217">
            <v>11962.49</v>
          </cell>
          <cell r="H217">
            <v>271672</v>
          </cell>
          <cell r="I217">
            <v>2.8899999999999999E-2</v>
          </cell>
          <cell r="J217" t="str">
            <v>Department of Health and Human Services</v>
          </cell>
          <cell r="K217">
            <v>93.078999999999994</v>
          </cell>
          <cell r="L217">
            <v>42948</v>
          </cell>
          <cell r="M217">
            <v>43312</v>
          </cell>
          <cell r="N217">
            <v>0</v>
          </cell>
          <cell r="O217" t="str">
            <v>NU87PS004162-05-00</v>
          </cell>
        </row>
        <row r="218">
          <cell r="B218">
            <v>580214</v>
          </cell>
          <cell r="C218">
            <v>0</v>
          </cell>
          <cell r="D218">
            <v>324</v>
          </cell>
          <cell r="E218">
            <v>44099</v>
          </cell>
          <cell r="F218" t="str">
            <v>Healthy Chicago Public Schools-YRBS 262006 FY19</v>
          </cell>
          <cell r="G218">
            <v>32576.16</v>
          </cell>
          <cell r="H218">
            <v>60000</v>
          </cell>
          <cell r="I218">
            <v>2.7400000000000001E-2</v>
          </cell>
          <cell r="J218" t="str">
            <v>Department of Health and Human Services</v>
          </cell>
          <cell r="K218">
            <v>93.078999999999994</v>
          </cell>
          <cell r="L218">
            <v>43313</v>
          </cell>
          <cell r="M218">
            <v>43677</v>
          </cell>
          <cell r="N218">
            <v>0</v>
          </cell>
          <cell r="O218" t="str">
            <v>NU87PS004311-01-00</v>
          </cell>
        </row>
        <row r="219">
          <cell r="B219">
            <v>580215</v>
          </cell>
          <cell r="C219">
            <v>0</v>
          </cell>
          <cell r="D219">
            <v>324</v>
          </cell>
          <cell r="E219">
            <v>44099</v>
          </cell>
          <cell r="F219" t="str">
            <v>Healthy Chicago Public Schools-HIV/STD Prevention Initiative 221077 FY19</v>
          </cell>
          <cell r="G219">
            <v>116394.22</v>
          </cell>
          <cell r="H219">
            <v>300000</v>
          </cell>
          <cell r="I219">
            <v>2.7400000000000001E-2</v>
          </cell>
          <cell r="J219" t="str">
            <v>Department of Health and Human Services</v>
          </cell>
          <cell r="K219">
            <v>93.078999999999994</v>
          </cell>
          <cell r="L219">
            <v>43313</v>
          </cell>
          <cell r="M219">
            <v>43677</v>
          </cell>
          <cell r="N219">
            <v>0</v>
          </cell>
          <cell r="O219" t="str">
            <v>NU87PS004311-01-00</v>
          </cell>
        </row>
        <row r="220">
          <cell r="B220">
            <v>580301</v>
          </cell>
          <cell r="C220">
            <v>0</v>
          </cell>
          <cell r="D220">
            <v>324</v>
          </cell>
          <cell r="E220">
            <v>44099</v>
          </cell>
          <cell r="F220" t="str">
            <v>Middle School YRBS Program FY19</v>
          </cell>
          <cell r="G220">
            <v>18079.39</v>
          </cell>
          <cell r="H220">
            <v>72300</v>
          </cell>
          <cell r="I220">
            <v>0</v>
          </cell>
          <cell r="J220" t="str">
            <v>Illionis Department of Public Health</v>
          </cell>
          <cell r="K220">
            <v>93.994</v>
          </cell>
          <cell r="L220">
            <v>43282</v>
          </cell>
          <cell r="M220">
            <v>43646</v>
          </cell>
          <cell r="N220">
            <v>0</v>
          </cell>
          <cell r="O220" t="str">
            <v>86380013F</v>
          </cell>
        </row>
        <row r="221">
          <cell r="B221">
            <v>0</v>
          </cell>
          <cell r="C221">
            <v>0</v>
          </cell>
          <cell r="D221">
            <v>0</v>
          </cell>
          <cell r="E221">
            <v>0</v>
          </cell>
          <cell r="G221">
            <v>0</v>
          </cell>
          <cell r="H221">
            <v>0</v>
          </cell>
          <cell r="I221">
            <v>0</v>
          </cell>
          <cell r="J221">
            <v>0</v>
          </cell>
          <cell r="K221">
            <v>0</v>
          </cell>
          <cell r="L221">
            <v>0</v>
          </cell>
          <cell r="M221">
            <v>0</v>
          </cell>
          <cell r="N221">
            <v>0</v>
          </cell>
          <cell r="O221">
            <v>0</v>
          </cell>
        </row>
        <row r="222">
          <cell r="B222">
            <v>0</v>
          </cell>
          <cell r="C222">
            <v>0</v>
          </cell>
          <cell r="D222">
            <v>0</v>
          </cell>
          <cell r="E222">
            <v>0</v>
          </cell>
          <cell r="G222">
            <v>1362653</v>
          </cell>
          <cell r="H222">
            <v>0</v>
          </cell>
          <cell r="I222">
            <v>0</v>
          </cell>
          <cell r="J222">
            <v>0</v>
          </cell>
          <cell r="K222">
            <v>0</v>
          </cell>
          <cell r="L222">
            <v>0</v>
          </cell>
          <cell r="M222">
            <v>0</v>
          </cell>
          <cell r="N222">
            <v>0</v>
          </cell>
          <cell r="O222">
            <v>0</v>
          </cell>
        </row>
        <row r="223">
          <cell r="B223">
            <v>0</v>
          </cell>
          <cell r="C223">
            <v>0</v>
          </cell>
          <cell r="D223">
            <v>0</v>
          </cell>
          <cell r="E223">
            <v>0</v>
          </cell>
          <cell r="G223">
            <v>1362653</v>
          </cell>
          <cell r="H223">
            <v>0</v>
          </cell>
          <cell r="I223">
            <v>0</v>
          </cell>
          <cell r="J223">
            <v>0</v>
          </cell>
          <cell r="K223">
            <v>0</v>
          </cell>
          <cell r="L223">
            <v>0</v>
          </cell>
          <cell r="M223">
            <v>0</v>
          </cell>
          <cell r="N223">
            <v>0</v>
          </cell>
          <cell r="O223">
            <v>0</v>
          </cell>
        </row>
        <row r="224">
          <cell r="B224">
            <v>0</v>
          </cell>
          <cell r="C224">
            <v>0</v>
          </cell>
          <cell r="D224">
            <v>0</v>
          </cell>
          <cell r="E224">
            <v>0</v>
          </cell>
          <cell r="G224">
            <v>136265.29999999999</v>
          </cell>
          <cell r="H224">
            <v>0</v>
          </cell>
          <cell r="I224">
            <v>0</v>
          </cell>
          <cell r="J224">
            <v>0</v>
          </cell>
          <cell r="K224">
            <v>0</v>
          </cell>
          <cell r="L224">
            <v>0</v>
          </cell>
          <cell r="M224">
            <v>0</v>
          </cell>
          <cell r="N224">
            <v>0</v>
          </cell>
          <cell r="O224">
            <v>0</v>
          </cell>
        </row>
        <row r="225">
          <cell r="B225">
            <v>0</v>
          </cell>
          <cell r="C225">
            <v>0</v>
          </cell>
          <cell r="D225">
            <v>0</v>
          </cell>
          <cell r="E225">
            <v>0</v>
          </cell>
          <cell r="G225">
            <v>1498918.3</v>
          </cell>
          <cell r="H225">
            <v>0</v>
          </cell>
          <cell r="I225">
            <v>0</v>
          </cell>
          <cell r="J225">
            <v>0</v>
          </cell>
          <cell r="K225">
            <v>0</v>
          </cell>
          <cell r="L225">
            <v>0</v>
          </cell>
          <cell r="M225">
            <v>0</v>
          </cell>
          <cell r="N225">
            <v>0</v>
          </cell>
          <cell r="O225">
            <v>0</v>
          </cell>
        </row>
        <row r="226">
          <cell r="B226">
            <v>0</v>
          </cell>
          <cell r="C226">
            <v>0</v>
          </cell>
          <cell r="D226">
            <v>0</v>
          </cell>
          <cell r="E226">
            <v>0</v>
          </cell>
          <cell r="G226">
            <v>0</v>
          </cell>
          <cell r="H226">
            <v>0</v>
          </cell>
          <cell r="I226">
            <v>0</v>
          </cell>
          <cell r="J226">
            <v>0</v>
          </cell>
          <cell r="K226">
            <v>0</v>
          </cell>
          <cell r="L226">
            <v>0</v>
          </cell>
          <cell r="M226">
            <v>0</v>
          </cell>
          <cell r="N226">
            <v>0</v>
          </cell>
          <cell r="O226">
            <v>0</v>
          </cell>
        </row>
        <row r="227">
          <cell r="B227">
            <v>0</v>
          </cell>
          <cell r="C227">
            <v>0</v>
          </cell>
          <cell r="D227">
            <v>0</v>
          </cell>
          <cell r="E227">
            <v>0</v>
          </cell>
          <cell r="G227">
            <v>0</v>
          </cell>
          <cell r="H227">
            <v>0</v>
          </cell>
          <cell r="I227">
            <v>0</v>
          </cell>
          <cell r="J227">
            <v>0</v>
          </cell>
          <cell r="K227">
            <v>0</v>
          </cell>
          <cell r="L227">
            <v>0</v>
          </cell>
          <cell r="M227">
            <v>0</v>
          </cell>
          <cell r="N227">
            <v>0</v>
          </cell>
          <cell r="O227">
            <v>0</v>
          </cell>
        </row>
        <row r="228">
          <cell r="B228">
            <v>0</v>
          </cell>
          <cell r="C228">
            <v>0</v>
          </cell>
          <cell r="D228">
            <v>0</v>
          </cell>
          <cell r="E228">
            <v>0</v>
          </cell>
          <cell r="G228">
            <v>0</v>
          </cell>
          <cell r="H228">
            <v>0</v>
          </cell>
          <cell r="I228">
            <v>0</v>
          </cell>
          <cell r="J228">
            <v>0</v>
          </cell>
          <cell r="K228">
            <v>0</v>
          </cell>
          <cell r="L228">
            <v>0</v>
          </cell>
          <cell r="M228">
            <v>0</v>
          </cell>
          <cell r="N228">
            <v>0</v>
          </cell>
          <cell r="O228">
            <v>0</v>
          </cell>
        </row>
        <row r="229">
          <cell r="B229">
            <v>0</v>
          </cell>
          <cell r="C229">
            <v>0</v>
          </cell>
          <cell r="D229">
            <v>0</v>
          </cell>
          <cell r="E229">
            <v>0</v>
          </cell>
          <cell r="G229">
            <v>0</v>
          </cell>
          <cell r="H229">
            <v>0</v>
          </cell>
          <cell r="I229">
            <v>0</v>
          </cell>
          <cell r="J229">
            <v>0</v>
          </cell>
          <cell r="K229">
            <v>0</v>
          </cell>
          <cell r="L229">
            <v>0</v>
          </cell>
          <cell r="M229">
            <v>0</v>
          </cell>
          <cell r="N229">
            <v>0</v>
          </cell>
          <cell r="O229">
            <v>0</v>
          </cell>
        </row>
        <row r="230">
          <cell r="B230">
            <v>0</v>
          </cell>
          <cell r="C230">
            <v>0</v>
          </cell>
          <cell r="D230">
            <v>0</v>
          </cell>
          <cell r="E230">
            <v>0</v>
          </cell>
          <cell r="G230">
            <v>0</v>
          </cell>
          <cell r="H230">
            <v>0</v>
          </cell>
          <cell r="I230">
            <v>0</v>
          </cell>
          <cell r="J230">
            <v>0</v>
          </cell>
          <cell r="K230">
            <v>0</v>
          </cell>
          <cell r="L230">
            <v>0</v>
          </cell>
          <cell r="M230">
            <v>0</v>
          </cell>
          <cell r="N230">
            <v>0</v>
          </cell>
          <cell r="O230">
            <v>0</v>
          </cell>
        </row>
        <row r="231">
          <cell r="B231">
            <v>0</v>
          </cell>
          <cell r="C231">
            <v>0</v>
          </cell>
          <cell r="D231">
            <v>0</v>
          </cell>
          <cell r="E231">
            <v>0</v>
          </cell>
          <cell r="G231">
            <v>0</v>
          </cell>
          <cell r="H231">
            <v>0</v>
          </cell>
          <cell r="I231">
            <v>0</v>
          </cell>
          <cell r="J231">
            <v>0</v>
          </cell>
          <cell r="K231">
            <v>0</v>
          </cell>
          <cell r="L231">
            <v>0</v>
          </cell>
          <cell r="M231">
            <v>0</v>
          </cell>
          <cell r="N231">
            <v>0</v>
          </cell>
          <cell r="O231">
            <v>0</v>
          </cell>
        </row>
        <row r="232">
          <cell r="B232">
            <v>0</v>
          </cell>
          <cell r="C232">
            <v>0</v>
          </cell>
          <cell r="D232">
            <v>0</v>
          </cell>
          <cell r="E232">
            <v>0</v>
          </cell>
          <cell r="G232">
            <v>0</v>
          </cell>
          <cell r="H232">
            <v>0</v>
          </cell>
          <cell r="I232">
            <v>0</v>
          </cell>
          <cell r="J232">
            <v>0</v>
          </cell>
          <cell r="K232">
            <v>0</v>
          </cell>
          <cell r="L232">
            <v>0</v>
          </cell>
          <cell r="M232">
            <v>0</v>
          </cell>
          <cell r="N232">
            <v>0</v>
          </cell>
          <cell r="O232">
            <v>0</v>
          </cell>
        </row>
        <row r="233">
          <cell r="B233">
            <v>0</v>
          </cell>
          <cell r="C233">
            <v>0</v>
          </cell>
          <cell r="D233">
            <v>0</v>
          </cell>
          <cell r="E233">
            <v>0</v>
          </cell>
          <cell r="G233">
            <v>0</v>
          </cell>
          <cell r="H233">
            <v>0</v>
          </cell>
          <cell r="I233">
            <v>0</v>
          </cell>
          <cell r="J233">
            <v>0</v>
          </cell>
          <cell r="K233">
            <v>0</v>
          </cell>
          <cell r="L233">
            <v>0</v>
          </cell>
          <cell r="M233">
            <v>0</v>
          </cell>
          <cell r="N233">
            <v>0</v>
          </cell>
          <cell r="O233">
            <v>0</v>
          </cell>
        </row>
        <row r="234">
          <cell r="B234">
            <v>0</v>
          </cell>
          <cell r="C234">
            <v>0</v>
          </cell>
          <cell r="D234">
            <v>0</v>
          </cell>
          <cell r="E234">
            <v>0</v>
          </cell>
          <cell r="G234">
            <v>0</v>
          </cell>
          <cell r="H234">
            <v>0</v>
          </cell>
          <cell r="I234">
            <v>0</v>
          </cell>
          <cell r="J234" t="str">
            <v>`</v>
          </cell>
          <cell r="K234">
            <v>0</v>
          </cell>
          <cell r="L234">
            <v>0</v>
          </cell>
          <cell r="M234">
            <v>0</v>
          </cell>
          <cell r="N234">
            <v>0</v>
          </cell>
          <cell r="O234">
            <v>0</v>
          </cell>
        </row>
        <row r="235">
          <cell r="B235">
            <v>0</v>
          </cell>
          <cell r="C235">
            <v>0</v>
          </cell>
          <cell r="D235">
            <v>0</v>
          </cell>
          <cell r="E235">
            <v>0</v>
          </cell>
          <cell r="G235">
            <v>0</v>
          </cell>
          <cell r="H235">
            <v>0</v>
          </cell>
          <cell r="I235">
            <v>0</v>
          </cell>
          <cell r="J235">
            <v>0</v>
          </cell>
          <cell r="K235">
            <v>0</v>
          </cell>
          <cell r="L235">
            <v>0</v>
          </cell>
          <cell r="M235">
            <v>0</v>
          </cell>
          <cell r="N235">
            <v>0</v>
          </cell>
          <cell r="O235">
            <v>0</v>
          </cell>
        </row>
        <row r="236">
          <cell r="B236">
            <v>0</v>
          </cell>
          <cell r="C236">
            <v>0</v>
          </cell>
          <cell r="D236">
            <v>0</v>
          </cell>
          <cell r="E236">
            <v>0</v>
          </cell>
          <cell r="G236">
            <v>0</v>
          </cell>
          <cell r="H236">
            <v>0</v>
          </cell>
          <cell r="I236">
            <v>0</v>
          </cell>
          <cell r="J236">
            <v>0</v>
          </cell>
          <cell r="K236">
            <v>0</v>
          </cell>
          <cell r="L236">
            <v>0</v>
          </cell>
          <cell r="M236">
            <v>0</v>
          </cell>
          <cell r="N236">
            <v>0</v>
          </cell>
          <cell r="O236">
            <v>0</v>
          </cell>
        </row>
        <row r="237">
          <cell r="B237">
            <v>0</v>
          </cell>
          <cell r="C237">
            <v>0</v>
          </cell>
          <cell r="D237">
            <v>0</v>
          </cell>
          <cell r="E237">
            <v>0</v>
          </cell>
          <cell r="G237">
            <v>0</v>
          </cell>
          <cell r="H237">
            <v>0</v>
          </cell>
          <cell r="I237">
            <v>0</v>
          </cell>
          <cell r="J237">
            <v>0</v>
          </cell>
          <cell r="K237">
            <v>0</v>
          </cell>
          <cell r="L237">
            <v>0</v>
          </cell>
          <cell r="M237">
            <v>0</v>
          </cell>
          <cell r="N237">
            <v>0</v>
          </cell>
          <cell r="O237">
            <v>0</v>
          </cell>
        </row>
        <row r="238">
          <cell r="B238">
            <v>0</v>
          </cell>
          <cell r="C238">
            <v>0</v>
          </cell>
          <cell r="D238">
            <v>0</v>
          </cell>
          <cell r="E238">
            <v>0</v>
          </cell>
          <cell r="G238">
            <v>0</v>
          </cell>
          <cell r="H238">
            <v>0</v>
          </cell>
          <cell r="I238">
            <v>0</v>
          </cell>
          <cell r="J238">
            <v>0</v>
          </cell>
          <cell r="K238">
            <v>0</v>
          </cell>
          <cell r="L238">
            <v>0</v>
          </cell>
          <cell r="M238">
            <v>0</v>
          </cell>
          <cell r="N238">
            <v>0</v>
          </cell>
          <cell r="O238">
            <v>0</v>
          </cell>
        </row>
        <row r="239">
          <cell r="B239">
            <v>0</v>
          </cell>
          <cell r="C239">
            <v>0</v>
          </cell>
          <cell r="D239">
            <v>0</v>
          </cell>
          <cell r="E239">
            <v>0</v>
          </cell>
          <cell r="G239">
            <v>0</v>
          </cell>
          <cell r="H239">
            <v>0</v>
          </cell>
          <cell r="I239">
            <v>0</v>
          </cell>
          <cell r="J239">
            <v>0</v>
          </cell>
          <cell r="K239">
            <v>0</v>
          </cell>
          <cell r="L239">
            <v>0</v>
          </cell>
          <cell r="M239">
            <v>0</v>
          </cell>
          <cell r="N239">
            <v>0</v>
          </cell>
          <cell r="O239">
            <v>0</v>
          </cell>
        </row>
        <row r="240">
          <cell r="B240">
            <v>0</v>
          </cell>
          <cell r="C240">
            <v>0</v>
          </cell>
          <cell r="D240">
            <v>0</v>
          </cell>
          <cell r="E240">
            <v>0</v>
          </cell>
          <cell r="G240">
            <v>0</v>
          </cell>
          <cell r="H240">
            <v>0</v>
          </cell>
          <cell r="I240">
            <v>0</v>
          </cell>
          <cell r="J240">
            <v>0</v>
          </cell>
          <cell r="K240">
            <v>0</v>
          </cell>
          <cell r="L240">
            <v>0</v>
          </cell>
          <cell r="M240">
            <v>0</v>
          </cell>
          <cell r="N240">
            <v>0</v>
          </cell>
          <cell r="O240">
            <v>0</v>
          </cell>
        </row>
        <row r="241">
          <cell r="B241">
            <v>0</v>
          </cell>
          <cell r="C241">
            <v>0</v>
          </cell>
          <cell r="D241">
            <v>0</v>
          </cell>
          <cell r="E241">
            <v>0</v>
          </cell>
          <cell r="G241">
            <v>0</v>
          </cell>
          <cell r="H241">
            <v>0</v>
          </cell>
          <cell r="I241">
            <v>0</v>
          </cell>
          <cell r="J241">
            <v>0</v>
          </cell>
          <cell r="K241">
            <v>0</v>
          </cell>
          <cell r="L241">
            <v>0</v>
          </cell>
          <cell r="M241">
            <v>0</v>
          </cell>
          <cell r="N241">
            <v>0</v>
          </cell>
          <cell r="O241">
            <v>0</v>
          </cell>
        </row>
        <row r="242">
          <cell r="B242">
            <v>0</v>
          </cell>
          <cell r="C242">
            <v>0</v>
          </cell>
          <cell r="D242">
            <v>0</v>
          </cell>
          <cell r="E242">
            <v>0</v>
          </cell>
          <cell r="G242">
            <v>0</v>
          </cell>
          <cell r="H242">
            <v>0</v>
          </cell>
          <cell r="I242">
            <v>0</v>
          </cell>
          <cell r="J242">
            <v>0</v>
          </cell>
          <cell r="K242">
            <v>0</v>
          </cell>
          <cell r="L242">
            <v>0</v>
          </cell>
          <cell r="M242">
            <v>0</v>
          </cell>
          <cell r="N242">
            <v>0</v>
          </cell>
          <cell r="O242">
            <v>0</v>
          </cell>
        </row>
        <row r="243">
          <cell r="B243">
            <v>0</v>
          </cell>
          <cell r="C243">
            <v>0</v>
          </cell>
          <cell r="D243">
            <v>0</v>
          </cell>
          <cell r="E243">
            <v>0</v>
          </cell>
          <cell r="G243">
            <v>0</v>
          </cell>
          <cell r="H243">
            <v>0</v>
          </cell>
          <cell r="I243">
            <v>0</v>
          </cell>
          <cell r="J243">
            <v>0</v>
          </cell>
          <cell r="K243">
            <v>0</v>
          </cell>
          <cell r="L243">
            <v>0</v>
          </cell>
          <cell r="M243">
            <v>0</v>
          </cell>
          <cell r="N243">
            <v>0</v>
          </cell>
          <cell r="O243">
            <v>0</v>
          </cell>
        </row>
        <row r="244">
          <cell r="B244">
            <v>0</v>
          </cell>
          <cell r="C244">
            <v>0</v>
          </cell>
          <cell r="D244">
            <v>0</v>
          </cell>
          <cell r="E244">
            <v>0</v>
          </cell>
          <cell r="G244">
            <v>0</v>
          </cell>
          <cell r="H244">
            <v>0</v>
          </cell>
          <cell r="I244">
            <v>0</v>
          </cell>
          <cell r="J244">
            <v>0</v>
          </cell>
          <cell r="K244">
            <v>0</v>
          </cell>
          <cell r="L244">
            <v>0</v>
          </cell>
          <cell r="M244">
            <v>0</v>
          </cell>
          <cell r="N244">
            <v>0</v>
          </cell>
          <cell r="O244">
            <v>0</v>
          </cell>
        </row>
        <row r="245">
          <cell r="B245">
            <v>0</v>
          </cell>
          <cell r="C245">
            <v>0</v>
          </cell>
          <cell r="D245">
            <v>0</v>
          </cell>
          <cell r="E245">
            <v>0</v>
          </cell>
          <cell r="G245">
            <v>0</v>
          </cell>
          <cell r="H245">
            <v>0</v>
          </cell>
          <cell r="I245">
            <v>0</v>
          </cell>
          <cell r="J245">
            <v>0</v>
          </cell>
          <cell r="K245">
            <v>0</v>
          </cell>
          <cell r="L245">
            <v>0</v>
          </cell>
          <cell r="M245">
            <v>0</v>
          </cell>
          <cell r="N245">
            <v>0</v>
          </cell>
          <cell r="O245">
            <v>0</v>
          </cell>
        </row>
        <row r="246">
          <cell r="B246">
            <v>0</v>
          </cell>
          <cell r="C246">
            <v>0</v>
          </cell>
          <cell r="D246">
            <v>0</v>
          </cell>
          <cell r="E246">
            <v>0</v>
          </cell>
          <cell r="G246">
            <v>0</v>
          </cell>
          <cell r="H246">
            <v>0</v>
          </cell>
          <cell r="I246">
            <v>0</v>
          </cell>
          <cell r="J246">
            <v>0</v>
          </cell>
          <cell r="K246">
            <v>0</v>
          </cell>
          <cell r="L246">
            <v>0</v>
          </cell>
          <cell r="M246">
            <v>0</v>
          </cell>
          <cell r="N246">
            <v>0</v>
          </cell>
          <cell r="O246">
            <v>0</v>
          </cell>
        </row>
        <row r="247">
          <cell r="B247">
            <v>0</v>
          </cell>
          <cell r="C247">
            <v>0</v>
          </cell>
          <cell r="D247">
            <v>0</v>
          </cell>
          <cell r="E247">
            <v>0</v>
          </cell>
          <cell r="G247">
            <v>0</v>
          </cell>
          <cell r="H247">
            <v>0</v>
          </cell>
          <cell r="I247">
            <v>0</v>
          </cell>
          <cell r="J247">
            <v>0</v>
          </cell>
          <cell r="K247">
            <v>0</v>
          </cell>
          <cell r="L247">
            <v>0</v>
          </cell>
          <cell r="M247">
            <v>0</v>
          </cell>
          <cell r="N247">
            <v>0</v>
          </cell>
          <cell r="O247">
            <v>0</v>
          </cell>
        </row>
        <row r="248">
          <cell r="B248">
            <v>0</v>
          </cell>
          <cell r="C248">
            <v>0</v>
          </cell>
          <cell r="D248">
            <v>0</v>
          </cell>
          <cell r="E248">
            <v>0</v>
          </cell>
          <cell r="G248">
            <v>0</v>
          </cell>
          <cell r="H248">
            <v>0</v>
          </cell>
          <cell r="I248">
            <v>0</v>
          </cell>
          <cell r="J248">
            <v>0</v>
          </cell>
          <cell r="K248">
            <v>0</v>
          </cell>
          <cell r="L248">
            <v>0</v>
          </cell>
          <cell r="M248">
            <v>0</v>
          </cell>
          <cell r="N248">
            <v>0</v>
          </cell>
          <cell r="O248">
            <v>0</v>
          </cell>
        </row>
        <row r="249">
          <cell r="B249">
            <v>0</v>
          </cell>
          <cell r="C249">
            <v>0</v>
          </cell>
          <cell r="D249">
            <v>0</v>
          </cell>
          <cell r="E249">
            <v>0</v>
          </cell>
          <cell r="G249">
            <v>0</v>
          </cell>
          <cell r="H249">
            <v>0</v>
          </cell>
          <cell r="I249">
            <v>0</v>
          </cell>
          <cell r="J249">
            <v>0</v>
          </cell>
          <cell r="K249">
            <v>0</v>
          </cell>
          <cell r="L249">
            <v>0</v>
          </cell>
          <cell r="M249">
            <v>0</v>
          </cell>
          <cell r="N249">
            <v>0</v>
          </cell>
          <cell r="O249">
            <v>0</v>
          </cell>
        </row>
        <row r="250">
          <cell r="B250">
            <v>0</v>
          </cell>
          <cell r="C250">
            <v>0</v>
          </cell>
          <cell r="D250">
            <v>0</v>
          </cell>
          <cell r="E250">
            <v>0</v>
          </cell>
          <cell r="G250">
            <v>0</v>
          </cell>
          <cell r="H250">
            <v>0</v>
          </cell>
          <cell r="I250">
            <v>0</v>
          </cell>
          <cell r="J250">
            <v>0</v>
          </cell>
          <cell r="K250">
            <v>0</v>
          </cell>
          <cell r="L250">
            <v>0</v>
          </cell>
          <cell r="M250">
            <v>0</v>
          </cell>
          <cell r="N250">
            <v>0</v>
          </cell>
          <cell r="O250">
            <v>0</v>
          </cell>
        </row>
        <row r="251">
          <cell r="B251">
            <v>0</v>
          </cell>
          <cell r="C251">
            <v>0</v>
          </cell>
          <cell r="D251">
            <v>0</v>
          </cell>
          <cell r="E251">
            <v>0</v>
          </cell>
          <cell r="G251">
            <v>0</v>
          </cell>
          <cell r="H251">
            <v>0</v>
          </cell>
          <cell r="I251">
            <v>0</v>
          </cell>
          <cell r="J251">
            <v>0</v>
          </cell>
          <cell r="K251">
            <v>0</v>
          </cell>
          <cell r="L251">
            <v>0</v>
          </cell>
          <cell r="M251">
            <v>0</v>
          </cell>
          <cell r="N251">
            <v>0</v>
          </cell>
          <cell r="O251">
            <v>0</v>
          </cell>
        </row>
        <row r="252">
          <cell r="B252">
            <v>0</v>
          </cell>
          <cell r="C252">
            <v>0</v>
          </cell>
          <cell r="D252">
            <v>0</v>
          </cell>
          <cell r="E252">
            <v>0</v>
          </cell>
          <cell r="G252">
            <v>0</v>
          </cell>
          <cell r="H252">
            <v>0</v>
          </cell>
          <cell r="I252">
            <v>0</v>
          </cell>
          <cell r="J252">
            <v>0</v>
          </cell>
          <cell r="K252">
            <v>0</v>
          </cell>
          <cell r="L252">
            <v>0</v>
          </cell>
          <cell r="M252">
            <v>0</v>
          </cell>
          <cell r="N252">
            <v>0</v>
          </cell>
          <cell r="O252">
            <v>0</v>
          </cell>
        </row>
        <row r="253">
          <cell r="B253">
            <v>0</v>
          </cell>
          <cell r="C253">
            <v>0</v>
          </cell>
          <cell r="D253">
            <v>0</v>
          </cell>
          <cell r="E253">
            <v>0</v>
          </cell>
          <cell r="G253">
            <v>0</v>
          </cell>
          <cell r="H253">
            <v>0</v>
          </cell>
          <cell r="I253">
            <v>0</v>
          </cell>
          <cell r="J253">
            <v>0</v>
          </cell>
          <cell r="K253">
            <v>0</v>
          </cell>
          <cell r="L253">
            <v>0</v>
          </cell>
          <cell r="M253">
            <v>0</v>
          </cell>
          <cell r="N253">
            <v>0</v>
          </cell>
          <cell r="O253">
            <v>0</v>
          </cell>
        </row>
        <row r="254">
          <cell r="B254">
            <v>0</v>
          </cell>
          <cell r="C254">
            <v>0</v>
          </cell>
          <cell r="D254">
            <v>0</v>
          </cell>
          <cell r="E254">
            <v>0</v>
          </cell>
          <cell r="G254">
            <v>0</v>
          </cell>
          <cell r="H254">
            <v>0</v>
          </cell>
          <cell r="I254">
            <v>0</v>
          </cell>
          <cell r="J254">
            <v>0</v>
          </cell>
          <cell r="K254">
            <v>0</v>
          </cell>
          <cell r="L254">
            <v>0</v>
          </cell>
          <cell r="M254">
            <v>0</v>
          </cell>
          <cell r="N254">
            <v>0</v>
          </cell>
          <cell r="O254">
            <v>0</v>
          </cell>
        </row>
        <row r="255">
          <cell r="B255">
            <v>0</v>
          </cell>
          <cell r="C255">
            <v>0</v>
          </cell>
          <cell r="D255">
            <v>0</v>
          </cell>
          <cell r="E255">
            <v>0</v>
          </cell>
          <cell r="G255">
            <v>0</v>
          </cell>
          <cell r="H255">
            <v>0</v>
          </cell>
          <cell r="I255">
            <v>0</v>
          </cell>
          <cell r="J255">
            <v>0</v>
          </cell>
          <cell r="K255">
            <v>0</v>
          </cell>
          <cell r="L255">
            <v>0</v>
          </cell>
          <cell r="M255">
            <v>0</v>
          </cell>
          <cell r="N255">
            <v>0</v>
          </cell>
          <cell r="O255">
            <v>0</v>
          </cell>
        </row>
        <row r="256">
          <cell r="B256">
            <v>0</v>
          </cell>
          <cell r="C256">
            <v>0</v>
          </cell>
          <cell r="D256">
            <v>0</v>
          </cell>
          <cell r="E256">
            <v>0</v>
          </cell>
          <cell r="G256">
            <v>0</v>
          </cell>
          <cell r="H256">
            <v>0</v>
          </cell>
          <cell r="I256">
            <v>0</v>
          </cell>
          <cell r="J256">
            <v>0</v>
          </cell>
          <cell r="K256">
            <v>0</v>
          </cell>
          <cell r="L256">
            <v>0</v>
          </cell>
          <cell r="M256">
            <v>0</v>
          </cell>
          <cell r="N256">
            <v>0</v>
          </cell>
          <cell r="O256">
            <v>0</v>
          </cell>
        </row>
        <row r="257">
          <cell r="B257">
            <v>0</v>
          </cell>
          <cell r="C257">
            <v>0</v>
          </cell>
          <cell r="D257">
            <v>0</v>
          </cell>
          <cell r="E257">
            <v>0</v>
          </cell>
          <cell r="G257">
            <v>0</v>
          </cell>
          <cell r="H257">
            <v>0</v>
          </cell>
          <cell r="I257">
            <v>0</v>
          </cell>
          <cell r="J257">
            <v>0</v>
          </cell>
          <cell r="K257">
            <v>0</v>
          </cell>
          <cell r="L257">
            <v>0</v>
          </cell>
          <cell r="M257">
            <v>0</v>
          </cell>
          <cell r="N257">
            <v>0</v>
          </cell>
          <cell r="O257">
            <v>0</v>
          </cell>
        </row>
        <row r="258">
          <cell r="B258">
            <v>0</v>
          </cell>
          <cell r="C258">
            <v>0</v>
          </cell>
          <cell r="D258">
            <v>0</v>
          </cell>
          <cell r="E258">
            <v>0</v>
          </cell>
          <cell r="G258">
            <v>0</v>
          </cell>
          <cell r="H258">
            <v>0</v>
          </cell>
          <cell r="I258">
            <v>0</v>
          </cell>
          <cell r="J258">
            <v>0</v>
          </cell>
          <cell r="K258">
            <v>0</v>
          </cell>
          <cell r="L258">
            <v>0</v>
          </cell>
          <cell r="M258">
            <v>0</v>
          </cell>
          <cell r="N258">
            <v>0</v>
          </cell>
          <cell r="O258">
            <v>0</v>
          </cell>
        </row>
        <row r="259">
          <cell r="B259">
            <v>0</v>
          </cell>
          <cell r="C259">
            <v>0</v>
          </cell>
          <cell r="D259">
            <v>0</v>
          </cell>
          <cell r="E259">
            <v>0</v>
          </cell>
          <cell r="G259">
            <v>0</v>
          </cell>
          <cell r="H259">
            <v>0</v>
          </cell>
          <cell r="I259">
            <v>0</v>
          </cell>
          <cell r="J259">
            <v>0</v>
          </cell>
          <cell r="K259">
            <v>0</v>
          </cell>
          <cell r="L259">
            <v>0</v>
          </cell>
          <cell r="M259">
            <v>0</v>
          </cell>
          <cell r="N259">
            <v>0</v>
          </cell>
          <cell r="O259">
            <v>0</v>
          </cell>
        </row>
        <row r="260">
          <cell r="B260">
            <v>0</v>
          </cell>
          <cell r="C260">
            <v>0</v>
          </cell>
          <cell r="D260">
            <v>0</v>
          </cell>
          <cell r="E260">
            <v>0</v>
          </cell>
          <cell r="G260">
            <v>0</v>
          </cell>
          <cell r="H260">
            <v>0</v>
          </cell>
          <cell r="I260">
            <v>0</v>
          </cell>
          <cell r="J260">
            <v>0</v>
          </cell>
          <cell r="K260">
            <v>0</v>
          </cell>
          <cell r="L260">
            <v>0</v>
          </cell>
          <cell r="M260">
            <v>0</v>
          </cell>
          <cell r="N260">
            <v>0</v>
          </cell>
          <cell r="O260">
            <v>0</v>
          </cell>
        </row>
        <row r="261">
          <cell r="B261">
            <v>0</v>
          </cell>
          <cell r="C261">
            <v>0</v>
          </cell>
          <cell r="D261">
            <v>0</v>
          </cell>
          <cell r="E261">
            <v>0</v>
          </cell>
          <cell r="G261">
            <v>0</v>
          </cell>
          <cell r="H261">
            <v>0</v>
          </cell>
          <cell r="I261">
            <v>0</v>
          </cell>
          <cell r="J261">
            <v>0</v>
          </cell>
          <cell r="K261">
            <v>0</v>
          </cell>
          <cell r="L261">
            <v>0</v>
          </cell>
          <cell r="M261">
            <v>0</v>
          </cell>
          <cell r="N261">
            <v>0</v>
          </cell>
          <cell r="O261">
            <v>0</v>
          </cell>
        </row>
        <row r="262">
          <cell r="B262">
            <v>0</v>
          </cell>
          <cell r="C262">
            <v>0</v>
          </cell>
          <cell r="D262">
            <v>0</v>
          </cell>
          <cell r="E262">
            <v>0</v>
          </cell>
          <cell r="G262">
            <v>0</v>
          </cell>
          <cell r="H262">
            <v>0</v>
          </cell>
          <cell r="I262">
            <v>0</v>
          </cell>
          <cell r="J262">
            <v>0</v>
          </cell>
          <cell r="K262">
            <v>0</v>
          </cell>
          <cell r="L262">
            <v>0</v>
          </cell>
          <cell r="M262">
            <v>0</v>
          </cell>
          <cell r="N262">
            <v>0</v>
          </cell>
          <cell r="O262">
            <v>0</v>
          </cell>
        </row>
        <row r="263">
          <cell r="B263">
            <v>0</v>
          </cell>
          <cell r="C263">
            <v>0</v>
          </cell>
          <cell r="D263">
            <v>0</v>
          </cell>
          <cell r="E263">
            <v>0</v>
          </cell>
          <cell r="G263">
            <v>0</v>
          </cell>
          <cell r="H263">
            <v>0</v>
          </cell>
          <cell r="I263">
            <v>0</v>
          </cell>
          <cell r="J263">
            <v>0</v>
          </cell>
          <cell r="K263">
            <v>0</v>
          </cell>
          <cell r="L263">
            <v>0</v>
          </cell>
          <cell r="M263">
            <v>0</v>
          </cell>
          <cell r="N263">
            <v>0</v>
          </cell>
          <cell r="O263">
            <v>0</v>
          </cell>
        </row>
        <row r="264">
          <cell r="B264">
            <v>0</v>
          </cell>
          <cell r="C264">
            <v>0</v>
          </cell>
          <cell r="D264">
            <v>0</v>
          </cell>
          <cell r="E264">
            <v>0</v>
          </cell>
          <cell r="G264">
            <v>0</v>
          </cell>
          <cell r="H264">
            <v>0</v>
          </cell>
          <cell r="I264">
            <v>0</v>
          </cell>
          <cell r="J264">
            <v>0</v>
          </cell>
          <cell r="K264">
            <v>0</v>
          </cell>
          <cell r="L264">
            <v>0</v>
          </cell>
          <cell r="M264">
            <v>0</v>
          </cell>
          <cell r="N264">
            <v>0</v>
          </cell>
          <cell r="O264">
            <v>0</v>
          </cell>
        </row>
        <row r="265">
          <cell r="B265">
            <v>0</v>
          </cell>
          <cell r="C265">
            <v>0</v>
          </cell>
          <cell r="D265">
            <v>0</v>
          </cell>
          <cell r="E265">
            <v>0</v>
          </cell>
          <cell r="G265">
            <v>0</v>
          </cell>
          <cell r="H265">
            <v>0</v>
          </cell>
          <cell r="I265">
            <v>0</v>
          </cell>
          <cell r="J265">
            <v>0</v>
          </cell>
          <cell r="K265">
            <v>0</v>
          </cell>
          <cell r="L265">
            <v>0</v>
          </cell>
          <cell r="M265">
            <v>0</v>
          </cell>
          <cell r="N265">
            <v>0</v>
          </cell>
          <cell r="O265">
            <v>0</v>
          </cell>
        </row>
        <row r="266">
          <cell r="B266">
            <v>0</v>
          </cell>
          <cell r="C266">
            <v>0</v>
          </cell>
          <cell r="D266">
            <v>0</v>
          </cell>
          <cell r="E266">
            <v>0</v>
          </cell>
          <cell r="G266">
            <v>0</v>
          </cell>
          <cell r="H266">
            <v>0</v>
          </cell>
          <cell r="I266">
            <v>0</v>
          </cell>
          <cell r="J266">
            <v>0</v>
          </cell>
          <cell r="K266">
            <v>0</v>
          </cell>
          <cell r="L266">
            <v>0</v>
          </cell>
          <cell r="M266">
            <v>0</v>
          </cell>
          <cell r="N266">
            <v>0</v>
          </cell>
          <cell r="O266">
            <v>0</v>
          </cell>
        </row>
        <row r="267">
          <cell r="B267">
            <v>0</v>
          </cell>
          <cell r="C267">
            <v>0</v>
          </cell>
          <cell r="D267">
            <v>0</v>
          </cell>
          <cell r="E267">
            <v>0</v>
          </cell>
          <cell r="G267">
            <v>0</v>
          </cell>
          <cell r="H267">
            <v>0</v>
          </cell>
          <cell r="I267">
            <v>0</v>
          </cell>
          <cell r="J267">
            <v>0</v>
          </cell>
          <cell r="K267">
            <v>0</v>
          </cell>
          <cell r="L267">
            <v>0</v>
          </cell>
          <cell r="M267">
            <v>0</v>
          </cell>
          <cell r="N267">
            <v>0</v>
          </cell>
          <cell r="O267">
            <v>0</v>
          </cell>
        </row>
        <row r="268">
          <cell r="B268">
            <v>0</v>
          </cell>
          <cell r="C268">
            <v>0</v>
          </cell>
          <cell r="D268">
            <v>0</v>
          </cell>
          <cell r="E268">
            <v>0</v>
          </cell>
          <cell r="G268">
            <v>0</v>
          </cell>
          <cell r="H268">
            <v>0</v>
          </cell>
          <cell r="I268">
            <v>0</v>
          </cell>
          <cell r="J268">
            <v>0</v>
          </cell>
          <cell r="K268">
            <v>0</v>
          </cell>
          <cell r="L268">
            <v>0</v>
          </cell>
          <cell r="M268">
            <v>0</v>
          </cell>
          <cell r="N268">
            <v>0</v>
          </cell>
          <cell r="O268">
            <v>0</v>
          </cell>
        </row>
        <row r="269">
          <cell r="B269">
            <v>0</v>
          </cell>
          <cell r="C269">
            <v>0</v>
          </cell>
          <cell r="D269">
            <v>0</v>
          </cell>
          <cell r="E269">
            <v>0</v>
          </cell>
          <cell r="G269">
            <v>0</v>
          </cell>
          <cell r="H269">
            <v>0</v>
          </cell>
          <cell r="I269">
            <v>0</v>
          </cell>
          <cell r="J269">
            <v>0</v>
          </cell>
          <cell r="K269">
            <v>0</v>
          </cell>
          <cell r="L269">
            <v>0</v>
          </cell>
          <cell r="M269">
            <v>0</v>
          </cell>
          <cell r="N269">
            <v>0</v>
          </cell>
          <cell r="O269">
            <v>0</v>
          </cell>
        </row>
        <row r="270">
          <cell r="B270">
            <v>0</v>
          </cell>
          <cell r="C270">
            <v>0</v>
          </cell>
          <cell r="D270">
            <v>0</v>
          </cell>
          <cell r="E270">
            <v>0</v>
          </cell>
          <cell r="G270">
            <v>0</v>
          </cell>
          <cell r="H270">
            <v>0</v>
          </cell>
          <cell r="I270">
            <v>0</v>
          </cell>
          <cell r="J270">
            <v>0</v>
          </cell>
          <cell r="K270">
            <v>0</v>
          </cell>
          <cell r="L270">
            <v>0</v>
          </cell>
          <cell r="M270">
            <v>0</v>
          </cell>
          <cell r="N270">
            <v>0</v>
          </cell>
          <cell r="O270">
            <v>0</v>
          </cell>
        </row>
        <row r="271">
          <cell r="B271">
            <v>0</v>
          </cell>
          <cell r="C271">
            <v>0</v>
          </cell>
          <cell r="D271">
            <v>0</v>
          </cell>
          <cell r="E271">
            <v>0</v>
          </cell>
          <cell r="G271">
            <v>0</v>
          </cell>
          <cell r="H271">
            <v>0</v>
          </cell>
          <cell r="I271">
            <v>0</v>
          </cell>
          <cell r="J271">
            <v>0</v>
          </cell>
          <cell r="K271">
            <v>0</v>
          </cell>
          <cell r="L271">
            <v>0</v>
          </cell>
          <cell r="M271">
            <v>0</v>
          </cell>
          <cell r="N271">
            <v>0</v>
          </cell>
          <cell r="O271">
            <v>0</v>
          </cell>
        </row>
        <row r="272">
          <cell r="B272">
            <v>0</v>
          </cell>
          <cell r="C272">
            <v>0</v>
          </cell>
          <cell r="D272">
            <v>0</v>
          </cell>
          <cell r="E272">
            <v>0</v>
          </cell>
          <cell r="G272">
            <v>0</v>
          </cell>
          <cell r="H272">
            <v>0</v>
          </cell>
          <cell r="I272">
            <v>0</v>
          </cell>
          <cell r="J272">
            <v>0</v>
          </cell>
          <cell r="K272">
            <v>0</v>
          </cell>
          <cell r="L272">
            <v>0</v>
          </cell>
          <cell r="M272">
            <v>0</v>
          </cell>
          <cell r="N272">
            <v>0</v>
          </cell>
          <cell r="O272">
            <v>0</v>
          </cell>
        </row>
        <row r="273">
          <cell r="B273">
            <v>0</v>
          </cell>
          <cell r="C273">
            <v>0</v>
          </cell>
          <cell r="D273">
            <v>0</v>
          </cell>
          <cell r="E273">
            <v>0</v>
          </cell>
          <cell r="G273">
            <v>0</v>
          </cell>
          <cell r="H273">
            <v>0</v>
          </cell>
          <cell r="I273">
            <v>0</v>
          </cell>
          <cell r="J273">
            <v>0</v>
          </cell>
          <cell r="K273">
            <v>0</v>
          </cell>
          <cell r="L273">
            <v>0</v>
          </cell>
          <cell r="M273">
            <v>0</v>
          </cell>
          <cell r="N273">
            <v>0</v>
          </cell>
          <cell r="O273">
            <v>0</v>
          </cell>
        </row>
        <row r="274">
          <cell r="B274">
            <v>0</v>
          </cell>
          <cell r="C274">
            <v>0</v>
          </cell>
          <cell r="D274">
            <v>0</v>
          </cell>
          <cell r="E274">
            <v>0</v>
          </cell>
          <cell r="G274">
            <v>0</v>
          </cell>
          <cell r="H274">
            <v>0</v>
          </cell>
          <cell r="I274">
            <v>0</v>
          </cell>
          <cell r="J274">
            <v>0</v>
          </cell>
          <cell r="K274">
            <v>0</v>
          </cell>
          <cell r="L274">
            <v>0</v>
          </cell>
          <cell r="M274">
            <v>0</v>
          </cell>
          <cell r="N274">
            <v>0</v>
          </cell>
          <cell r="O274">
            <v>0</v>
          </cell>
        </row>
        <row r="275">
          <cell r="B275">
            <v>0</v>
          </cell>
          <cell r="C275">
            <v>0</v>
          </cell>
          <cell r="D275">
            <v>0</v>
          </cell>
          <cell r="E275">
            <v>0</v>
          </cell>
          <cell r="G275">
            <v>0</v>
          </cell>
          <cell r="H275">
            <v>0</v>
          </cell>
          <cell r="I275">
            <v>0</v>
          </cell>
          <cell r="J275">
            <v>0</v>
          </cell>
          <cell r="K275">
            <v>0</v>
          </cell>
          <cell r="L275">
            <v>0</v>
          </cell>
          <cell r="M275">
            <v>0</v>
          </cell>
          <cell r="N275">
            <v>0</v>
          </cell>
          <cell r="O275">
            <v>0</v>
          </cell>
        </row>
        <row r="276">
          <cell r="B276">
            <v>0</v>
          </cell>
          <cell r="C276">
            <v>0</v>
          </cell>
          <cell r="D276">
            <v>0</v>
          </cell>
          <cell r="E276">
            <v>0</v>
          </cell>
          <cell r="G276">
            <v>0</v>
          </cell>
          <cell r="H276">
            <v>0</v>
          </cell>
          <cell r="I276">
            <v>0</v>
          </cell>
          <cell r="J276">
            <v>0</v>
          </cell>
          <cell r="K276">
            <v>0</v>
          </cell>
          <cell r="L276">
            <v>0</v>
          </cell>
          <cell r="M276">
            <v>0</v>
          </cell>
          <cell r="N276">
            <v>0</v>
          </cell>
          <cell r="O276">
            <v>0</v>
          </cell>
        </row>
        <row r="277">
          <cell r="B277">
            <v>0</v>
          </cell>
          <cell r="C277">
            <v>0</v>
          </cell>
          <cell r="D277">
            <v>0</v>
          </cell>
          <cell r="E277">
            <v>0</v>
          </cell>
          <cell r="G277">
            <v>0</v>
          </cell>
          <cell r="H277">
            <v>0</v>
          </cell>
          <cell r="I277">
            <v>0</v>
          </cell>
          <cell r="J277">
            <v>0</v>
          </cell>
          <cell r="K277">
            <v>0</v>
          </cell>
          <cell r="L277">
            <v>0</v>
          </cell>
          <cell r="M277">
            <v>0</v>
          </cell>
          <cell r="N277">
            <v>0</v>
          </cell>
          <cell r="O277">
            <v>0</v>
          </cell>
        </row>
        <row r="278">
          <cell r="B278">
            <v>0</v>
          </cell>
          <cell r="C278">
            <v>0</v>
          </cell>
          <cell r="D278">
            <v>0</v>
          </cell>
          <cell r="E278">
            <v>0</v>
          </cell>
          <cell r="G278">
            <v>0</v>
          </cell>
          <cell r="H278">
            <v>0</v>
          </cell>
          <cell r="I278">
            <v>0</v>
          </cell>
          <cell r="J278">
            <v>0</v>
          </cell>
          <cell r="K278">
            <v>0</v>
          </cell>
          <cell r="L278">
            <v>0</v>
          </cell>
          <cell r="M278">
            <v>0</v>
          </cell>
          <cell r="N278">
            <v>0</v>
          </cell>
          <cell r="O278">
            <v>0</v>
          </cell>
        </row>
        <row r="279">
          <cell r="B279">
            <v>0</v>
          </cell>
          <cell r="C279">
            <v>0</v>
          </cell>
          <cell r="D279">
            <v>0</v>
          </cell>
          <cell r="E279">
            <v>0</v>
          </cell>
          <cell r="G279">
            <v>0</v>
          </cell>
          <cell r="H279">
            <v>0</v>
          </cell>
          <cell r="I279">
            <v>0</v>
          </cell>
          <cell r="J279">
            <v>0</v>
          </cell>
          <cell r="K279">
            <v>0</v>
          </cell>
          <cell r="L279">
            <v>0</v>
          </cell>
          <cell r="M279">
            <v>0</v>
          </cell>
          <cell r="N279">
            <v>0</v>
          </cell>
          <cell r="O279">
            <v>0</v>
          </cell>
        </row>
        <row r="280">
          <cell r="B280">
            <v>0</v>
          </cell>
          <cell r="C280">
            <v>0</v>
          </cell>
          <cell r="D280">
            <v>0</v>
          </cell>
          <cell r="E280">
            <v>0</v>
          </cell>
          <cell r="G280">
            <v>0</v>
          </cell>
          <cell r="H280">
            <v>0</v>
          </cell>
          <cell r="I280">
            <v>0</v>
          </cell>
          <cell r="J280">
            <v>0</v>
          </cell>
          <cell r="K280">
            <v>0</v>
          </cell>
          <cell r="L280">
            <v>0</v>
          </cell>
          <cell r="M280">
            <v>0</v>
          </cell>
          <cell r="N280">
            <v>0</v>
          </cell>
          <cell r="O280">
            <v>0</v>
          </cell>
        </row>
        <row r="281">
          <cell r="B281">
            <v>0</v>
          </cell>
          <cell r="C281">
            <v>0</v>
          </cell>
          <cell r="D281">
            <v>0</v>
          </cell>
          <cell r="E281">
            <v>0</v>
          </cell>
          <cell r="G281">
            <v>0</v>
          </cell>
          <cell r="H281">
            <v>0</v>
          </cell>
          <cell r="I281">
            <v>0</v>
          </cell>
          <cell r="J281">
            <v>0</v>
          </cell>
          <cell r="K281">
            <v>0</v>
          </cell>
          <cell r="L281">
            <v>0</v>
          </cell>
          <cell r="M281">
            <v>0</v>
          </cell>
          <cell r="N281">
            <v>0</v>
          </cell>
          <cell r="O281">
            <v>0</v>
          </cell>
        </row>
        <row r="282">
          <cell r="B282">
            <v>0</v>
          </cell>
          <cell r="C282">
            <v>0</v>
          </cell>
          <cell r="D282">
            <v>0</v>
          </cell>
          <cell r="E282">
            <v>0</v>
          </cell>
          <cell r="G282">
            <v>0</v>
          </cell>
          <cell r="H282">
            <v>0</v>
          </cell>
          <cell r="I282">
            <v>0</v>
          </cell>
          <cell r="J282">
            <v>0</v>
          </cell>
          <cell r="K282">
            <v>0</v>
          </cell>
          <cell r="L282">
            <v>0</v>
          </cell>
          <cell r="M282">
            <v>0</v>
          </cell>
          <cell r="N282">
            <v>0</v>
          </cell>
          <cell r="O282">
            <v>0</v>
          </cell>
        </row>
        <row r="283">
          <cell r="B283">
            <v>0</v>
          </cell>
          <cell r="C283">
            <v>0</v>
          </cell>
          <cell r="D283">
            <v>0</v>
          </cell>
          <cell r="E283">
            <v>0</v>
          </cell>
          <cell r="G283">
            <v>0</v>
          </cell>
          <cell r="H283">
            <v>0</v>
          </cell>
          <cell r="I283">
            <v>0</v>
          </cell>
          <cell r="J283">
            <v>0</v>
          </cell>
          <cell r="K283">
            <v>0</v>
          </cell>
          <cell r="L283">
            <v>0</v>
          </cell>
          <cell r="M283">
            <v>0</v>
          </cell>
          <cell r="N283">
            <v>0</v>
          </cell>
          <cell r="O283">
            <v>0</v>
          </cell>
        </row>
        <row r="284">
          <cell r="B284">
            <v>0</v>
          </cell>
          <cell r="C284">
            <v>0</v>
          </cell>
          <cell r="D284">
            <v>0</v>
          </cell>
          <cell r="E284">
            <v>0</v>
          </cell>
          <cell r="G284">
            <v>0</v>
          </cell>
          <cell r="H284">
            <v>0</v>
          </cell>
          <cell r="I284">
            <v>0</v>
          </cell>
          <cell r="J284">
            <v>0</v>
          </cell>
          <cell r="K284">
            <v>0</v>
          </cell>
          <cell r="L284">
            <v>0</v>
          </cell>
          <cell r="M284">
            <v>0</v>
          </cell>
          <cell r="N284">
            <v>0</v>
          </cell>
          <cell r="O284">
            <v>0</v>
          </cell>
        </row>
        <row r="285">
          <cell r="B285">
            <v>0</v>
          </cell>
          <cell r="C285">
            <v>0</v>
          </cell>
          <cell r="D285">
            <v>0</v>
          </cell>
          <cell r="E285">
            <v>0</v>
          </cell>
          <cell r="G285">
            <v>0</v>
          </cell>
          <cell r="H285">
            <v>0</v>
          </cell>
          <cell r="I285">
            <v>0</v>
          </cell>
          <cell r="J285">
            <v>0</v>
          </cell>
          <cell r="K285">
            <v>0</v>
          </cell>
          <cell r="L285">
            <v>0</v>
          </cell>
          <cell r="M285">
            <v>0</v>
          </cell>
          <cell r="N285">
            <v>0</v>
          </cell>
          <cell r="O285">
            <v>0</v>
          </cell>
        </row>
        <row r="286">
          <cell r="B286">
            <v>0</v>
          </cell>
          <cell r="C286">
            <v>0</v>
          </cell>
          <cell r="D286">
            <v>0</v>
          </cell>
          <cell r="E286">
            <v>0</v>
          </cell>
          <cell r="G286">
            <v>0</v>
          </cell>
          <cell r="H286">
            <v>0</v>
          </cell>
          <cell r="I286">
            <v>0</v>
          </cell>
          <cell r="J286">
            <v>0</v>
          </cell>
          <cell r="K286">
            <v>0</v>
          </cell>
          <cell r="L286">
            <v>0</v>
          </cell>
          <cell r="M286">
            <v>0</v>
          </cell>
          <cell r="N286">
            <v>0</v>
          </cell>
          <cell r="O286">
            <v>0</v>
          </cell>
        </row>
        <row r="287">
          <cell r="B287">
            <v>0</v>
          </cell>
          <cell r="C287">
            <v>0</v>
          </cell>
          <cell r="D287">
            <v>0</v>
          </cell>
          <cell r="E287">
            <v>0</v>
          </cell>
          <cell r="G287">
            <v>0</v>
          </cell>
          <cell r="H287">
            <v>0</v>
          </cell>
          <cell r="I287">
            <v>0</v>
          </cell>
          <cell r="J287">
            <v>0</v>
          </cell>
          <cell r="K287">
            <v>0</v>
          </cell>
          <cell r="L287">
            <v>0</v>
          </cell>
          <cell r="M287">
            <v>0</v>
          </cell>
          <cell r="N287">
            <v>0</v>
          </cell>
          <cell r="O287">
            <v>0</v>
          </cell>
        </row>
        <row r="288">
          <cell r="B288">
            <v>0</v>
          </cell>
          <cell r="C288">
            <v>0</v>
          </cell>
          <cell r="D288">
            <v>0</v>
          </cell>
          <cell r="E288">
            <v>0</v>
          </cell>
          <cell r="G288">
            <v>0</v>
          </cell>
          <cell r="H288">
            <v>0</v>
          </cell>
          <cell r="I288">
            <v>0</v>
          </cell>
          <cell r="J288">
            <v>0</v>
          </cell>
          <cell r="K288">
            <v>0</v>
          </cell>
          <cell r="L288">
            <v>0</v>
          </cell>
          <cell r="M288">
            <v>0</v>
          </cell>
          <cell r="N288">
            <v>0</v>
          </cell>
          <cell r="O288">
            <v>0</v>
          </cell>
        </row>
        <row r="289">
          <cell r="B289">
            <v>0</v>
          </cell>
          <cell r="C289">
            <v>0</v>
          </cell>
          <cell r="D289">
            <v>0</v>
          </cell>
          <cell r="E289">
            <v>0</v>
          </cell>
          <cell r="G289">
            <v>0</v>
          </cell>
          <cell r="H289">
            <v>0</v>
          </cell>
          <cell r="I289">
            <v>0</v>
          </cell>
          <cell r="J289">
            <v>0</v>
          </cell>
          <cell r="K289">
            <v>0</v>
          </cell>
          <cell r="L289">
            <v>0</v>
          </cell>
          <cell r="M289">
            <v>0</v>
          </cell>
          <cell r="N289">
            <v>0</v>
          </cell>
          <cell r="O289">
            <v>0</v>
          </cell>
        </row>
        <row r="290">
          <cell r="B290">
            <v>0</v>
          </cell>
          <cell r="C290">
            <v>0</v>
          </cell>
          <cell r="D290">
            <v>0</v>
          </cell>
          <cell r="E290">
            <v>0</v>
          </cell>
          <cell r="G290">
            <v>0</v>
          </cell>
          <cell r="H290">
            <v>0</v>
          </cell>
          <cell r="I290">
            <v>0</v>
          </cell>
          <cell r="J290">
            <v>0</v>
          </cell>
          <cell r="K290">
            <v>0</v>
          </cell>
          <cell r="L290">
            <v>0</v>
          </cell>
          <cell r="M290">
            <v>0</v>
          </cell>
          <cell r="N290">
            <v>0</v>
          </cell>
          <cell r="O290">
            <v>0</v>
          </cell>
        </row>
        <row r="291">
          <cell r="B291">
            <v>0</v>
          </cell>
          <cell r="C291">
            <v>0</v>
          </cell>
          <cell r="D291">
            <v>0</v>
          </cell>
          <cell r="E291">
            <v>0</v>
          </cell>
          <cell r="G291">
            <v>0</v>
          </cell>
          <cell r="H291">
            <v>0</v>
          </cell>
          <cell r="I291">
            <v>0</v>
          </cell>
          <cell r="J291">
            <v>0</v>
          </cell>
          <cell r="K291">
            <v>0</v>
          </cell>
          <cell r="L291">
            <v>0</v>
          </cell>
          <cell r="M291">
            <v>0</v>
          </cell>
          <cell r="N291">
            <v>0</v>
          </cell>
          <cell r="O291">
            <v>0</v>
          </cell>
        </row>
        <row r="292">
          <cell r="B292">
            <v>0</v>
          </cell>
          <cell r="C292">
            <v>0</v>
          </cell>
          <cell r="D292">
            <v>0</v>
          </cell>
          <cell r="E292">
            <v>0</v>
          </cell>
          <cell r="G292">
            <v>0</v>
          </cell>
          <cell r="H292">
            <v>0</v>
          </cell>
          <cell r="I292">
            <v>0</v>
          </cell>
          <cell r="J292">
            <v>0</v>
          </cell>
          <cell r="K292">
            <v>0</v>
          </cell>
          <cell r="L292">
            <v>0</v>
          </cell>
          <cell r="M292">
            <v>0</v>
          </cell>
          <cell r="N292">
            <v>0</v>
          </cell>
          <cell r="O292">
            <v>0</v>
          </cell>
        </row>
        <row r="293">
          <cell r="B293">
            <v>0</v>
          </cell>
          <cell r="C293">
            <v>0</v>
          </cell>
          <cell r="D293">
            <v>0</v>
          </cell>
          <cell r="E293">
            <v>0</v>
          </cell>
          <cell r="G293">
            <v>0</v>
          </cell>
          <cell r="H293">
            <v>0</v>
          </cell>
          <cell r="I293">
            <v>0</v>
          </cell>
          <cell r="J293">
            <v>0</v>
          </cell>
          <cell r="K293">
            <v>0</v>
          </cell>
          <cell r="L293">
            <v>0</v>
          </cell>
          <cell r="M293">
            <v>0</v>
          </cell>
          <cell r="N293">
            <v>0</v>
          </cell>
          <cell r="O293">
            <v>0</v>
          </cell>
        </row>
        <row r="294">
          <cell r="B294">
            <v>0</v>
          </cell>
          <cell r="C294">
            <v>0</v>
          </cell>
          <cell r="D294">
            <v>0</v>
          </cell>
          <cell r="E294">
            <v>0</v>
          </cell>
          <cell r="G294">
            <v>0</v>
          </cell>
          <cell r="H294">
            <v>0</v>
          </cell>
          <cell r="I294">
            <v>0</v>
          </cell>
          <cell r="J294">
            <v>0</v>
          </cell>
          <cell r="K294">
            <v>0</v>
          </cell>
          <cell r="L294">
            <v>0</v>
          </cell>
          <cell r="M294">
            <v>0</v>
          </cell>
          <cell r="N294">
            <v>0</v>
          </cell>
          <cell r="O294">
            <v>0</v>
          </cell>
        </row>
        <row r="295">
          <cell r="B295">
            <v>0</v>
          </cell>
          <cell r="C295">
            <v>0</v>
          </cell>
          <cell r="D295">
            <v>0</v>
          </cell>
          <cell r="E295">
            <v>0</v>
          </cell>
          <cell r="G295">
            <v>0</v>
          </cell>
          <cell r="H295">
            <v>0</v>
          </cell>
          <cell r="I295">
            <v>0</v>
          </cell>
          <cell r="J295">
            <v>0</v>
          </cell>
          <cell r="K295">
            <v>0</v>
          </cell>
          <cell r="L295">
            <v>0</v>
          </cell>
          <cell r="M295">
            <v>0</v>
          </cell>
          <cell r="N295">
            <v>0</v>
          </cell>
          <cell r="O295">
            <v>0</v>
          </cell>
        </row>
        <row r="296">
          <cell r="B296">
            <v>0</v>
          </cell>
          <cell r="C296">
            <v>0</v>
          </cell>
          <cell r="D296">
            <v>0</v>
          </cell>
          <cell r="E296">
            <v>0</v>
          </cell>
          <cell r="G296">
            <v>0</v>
          </cell>
          <cell r="H296">
            <v>0</v>
          </cell>
          <cell r="I296">
            <v>0</v>
          </cell>
          <cell r="J296">
            <v>0</v>
          </cell>
          <cell r="K296">
            <v>0</v>
          </cell>
          <cell r="L296">
            <v>0</v>
          </cell>
          <cell r="M296">
            <v>0</v>
          </cell>
          <cell r="N296">
            <v>0</v>
          </cell>
          <cell r="O296">
            <v>0</v>
          </cell>
        </row>
        <row r="297">
          <cell r="B297">
            <v>0</v>
          </cell>
          <cell r="C297">
            <v>0</v>
          </cell>
          <cell r="D297">
            <v>0</v>
          </cell>
          <cell r="E297">
            <v>0</v>
          </cell>
          <cell r="G297">
            <v>0</v>
          </cell>
          <cell r="H297">
            <v>0</v>
          </cell>
          <cell r="I297">
            <v>0</v>
          </cell>
          <cell r="J297">
            <v>0</v>
          </cell>
          <cell r="K297">
            <v>0</v>
          </cell>
          <cell r="L297">
            <v>0</v>
          </cell>
          <cell r="M297">
            <v>0</v>
          </cell>
          <cell r="N297">
            <v>0</v>
          </cell>
          <cell r="O297">
            <v>0</v>
          </cell>
        </row>
        <row r="298">
          <cell r="B298">
            <v>0</v>
          </cell>
          <cell r="C298">
            <v>0</v>
          </cell>
          <cell r="D298">
            <v>0</v>
          </cell>
          <cell r="E298">
            <v>0</v>
          </cell>
          <cell r="G298">
            <v>0</v>
          </cell>
          <cell r="H298">
            <v>0</v>
          </cell>
          <cell r="I298">
            <v>0</v>
          </cell>
          <cell r="J298">
            <v>0</v>
          </cell>
          <cell r="K298">
            <v>0</v>
          </cell>
          <cell r="L298">
            <v>0</v>
          </cell>
          <cell r="M298">
            <v>0</v>
          </cell>
          <cell r="N298">
            <v>0</v>
          </cell>
          <cell r="O298">
            <v>0</v>
          </cell>
        </row>
        <row r="299">
          <cell r="B299">
            <v>0</v>
          </cell>
          <cell r="C299">
            <v>0</v>
          </cell>
          <cell r="D299">
            <v>0</v>
          </cell>
          <cell r="E299">
            <v>0</v>
          </cell>
          <cell r="G299">
            <v>0</v>
          </cell>
          <cell r="H299">
            <v>0</v>
          </cell>
          <cell r="I299">
            <v>0</v>
          </cell>
          <cell r="J299">
            <v>0</v>
          </cell>
          <cell r="K299">
            <v>0</v>
          </cell>
          <cell r="L299">
            <v>0</v>
          </cell>
          <cell r="M299">
            <v>0</v>
          </cell>
          <cell r="N299">
            <v>0</v>
          </cell>
          <cell r="O299">
            <v>0</v>
          </cell>
        </row>
        <row r="300">
          <cell r="B300">
            <v>0</v>
          </cell>
          <cell r="C300">
            <v>0</v>
          </cell>
          <cell r="D300">
            <v>0</v>
          </cell>
          <cell r="E300">
            <v>0</v>
          </cell>
          <cell r="G300">
            <v>0</v>
          </cell>
          <cell r="H300">
            <v>0</v>
          </cell>
          <cell r="I300">
            <v>0</v>
          </cell>
          <cell r="J300">
            <v>0</v>
          </cell>
          <cell r="K300">
            <v>0</v>
          </cell>
          <cell r="L300">
            <v>0</v>
          </cell>
          <cell r="M300">
            <v>0</v>
          </cell>
          <cell r="N300">
            <v>0</v>
          </cell>
          <cell r="O300">
            <v>0</v>
          </cell>
        </row>
        <row r="301">
          <cell r="B301">
            <v>0</v>
          </cell>
          <cell r="C301">
            <v>0</v>
          </cell>
          <cell r="D301">
            <v>0</v>
          </cell>
          <cell r="E301">
            <v>0</v>
          </cell>
          <cell r="G301">
            <v>0</v>
          </cell>
          <cell r="H301">
            <v>0</v>
          </cell>
          <cell r="I301">
            <v>0</v>
          </cell>
          <cell r="J301">
            <v>0</v>
          </cell>
          <cell r="K301">
            <v>0</v>
          </cell>
          <cell r="L301">
            <v>0</v>
          </cell>
          <cell r="M301">
            <v>0</v>
          </cell>
          <cell r="N301">
            <v>0</v>
          </cell>
          <cell r="O301">
            <v>0</v>
          </cell>
        </row>
        <row r="302">
          <cell r="B302">
            <v>0</v>
          </cell>
          <cell r="C302">
            <v>0</v>
          </cell>
          <cell r="D302">
            <v>0</v>
          </cell>
          <cell r="E302">
            <v>0</v>
          </cell>
          <cell r="G302">
            <v>0</v>
          </cell>
          <cell r="H302">
            <v>0</v>
          </cell>
          <cell r="I302">
            <v>0</v>
          </cell>
          <cell r="J302">
            <v>0</v>
          </cell>
          <cell r="K302">
            <v>0</v>
          </cell>
          <cell r="L302">
            <v>0</v>
          </cell>
          <cell r="M302">
            <v>0</v>
          </cell>
          <cell r="N302">
            <v>0</v>
          </cell>
          <cell r="O302">
            <v>0</v>
          </cell>
        </row>
        <row r="303">
          <cell r="B303">
            <v>0</v>
          </cell>
          <cell r="C303">
            <v>0</v>
          </cell>
          <cell r="D303">
            <v>0</v>
          </cell>
          <cell r="E303">
            <v>0</v>
          </cell>
          <cell r="G303">
            <v>0</v>
          </cell>
          <cell r="H303">
            <v>0</v>
          </cell>
          <cell r="I303">
            <v>0</v>
          </cell>
          <cell r="J303">
            <v>0</v>
          </cell>
          <cell r="K303">
            <v>0</v>
          </cell>
          <cell r="L303">
            <v>0</v>
          </cell>
          <cell r="M303">
            <v>0</v>
          </cell>
          <cell r="N303">
            <v>0</v>
          </cell>
          <cell r="O303">
            <v>0</v>
          </cell>
        </row>
        <row r="304">
          <cell r="B304">
            <v>0</v>
          </cell>
          <cell r="C304">
            <v>0</v>
          </cell>
          <cell r="D304">
            <v>0</v>
          </cell>
          <cell r="E304">
            <v>0</v>
          </cell>
          <cell r="G304">
            <v>0</v>
          </cell>
          <cell r="H304">
            <v>0</v>
          </cell>
          <cell r="I304">
            <v>0</v>
          </cell>
          <cell r="J304">
            <v>0</v>
          </cell>
          <cell r="K304">
            <v>0</v>
          </cell>
          <cell r="L304">
            <v>0</v>
          </cell>
          <cell r="M304">
            <v>0</v>
          </cell>
          <cell r="N304">
            <v>0</v>
          </cell>
          <cell r="O304">
            <v>0</v>
          </cell>
        </row>
        <row r="305">
          <cell r="B305">
            <v>0</v>
          </cell>
          <cell r="C305">
            <v>0</v>
          </cell>
          <cell r="D305">
            <v>0</v>
          </cell>
          <cell r="E305">
            <v>0</v>
          </cell>
          <cell r="G305">
            <v>0</v>
          </cell>
          <cell r="H305">
            <v>0</v>
          </cell>
          <cell r="I305">
            <v>0</v>
          </cell>
          <cell r="J305">
            <v>0</v>
          </cell>
          <cell r="K305">
            <v>0</v>
          </cell>
          <cell r="L305">
            <v>0</v>
          </cell>
          <cell r="M305">
            <v>0</v>
          </cell>
          <cell r="N305">
            <v>0</v>
          </cell>
          <cell r="O305">
            <v>0</v>
          </cell>
        </row>
        <row r="306">
          <cell r="B306">
            <v>0</v>
          </cell>
          <cell r="C306">
            <v>0</v>
          </cell>
          <cell r="D306">
            <v>0</v>
          </cell>
          <cell r="E306">
            <v>0</v>
          </cell>
          <cell r="G306">
            <v>0</v>
          </cell>
          <cell r="H306">
            <v>0</v>
          </cell>
          <cell r="I306">
            <v>0</v>
          </cell>
          <cell r="J306">
            <v>0</v>
          </cell>
          <cell r="K306">
            <v>0</v>
          </cell>
          <cell r="L306">
            <v>0</v>
          </cell>
          <cell r="M306">
            <v>0</v>
          </cell>
          <cell r="N306">
            <v>0</v>
          </cell>
          <cell r="O306">
            <v>0</v>
          </cell>
        </row>
        <row r="307">
          <cell r="B307">
            <v>0</v>
          </cell>
          <cell r="C307">
            <v>0</v>
          </cell>
          <cell r="D307">
            <v>0</v>
          </cell>
          <cell r="E307">
            <v>0</v>
          </cell>
          <cell r="G307">
            <v>0</v>
          </cell>
          <cell r="H307">
            <v>0</v>
          </cell>
          <cell r="I307">
            <v>0</v>
          </cell>
          <cell r="J307">
            <v>0</v>
          </cell>
          <cell r="K307">
            <v>0</v>
          </cell>
          <cell r="L307">
            <v>0</v>
          </cell>
          <cell r="M307">
            <v>0</v>
          </cell>
          <cell r="N307">
            <v>0</v>
          </cell>
          <cell r="O307">
            <v>0</v>
          </cell>
        </row>
        <row r="308">
          <cell r="B308">
            <v>0</v>
          </cell>
          <cell r="C308">
            <v>0</v>
          </cell>
          <cell r="D308">
            <v>0</v>
          </cell>
          <cell r="E308">
            <v>0</v>
          </cell>
          <cell r="G308">
            <v>0</v>
          </cell>
          <cell r="H308">
            <v>0</v>
          </cell>
          <cell r="I308">
            <v>0</v>
          </cell>
          <cell r="J308">
            <v>0</v>
          </cell>
          <cell r="K308">
            <v>0</v>
          </cell>
          <cell r="L308">
            <v>0</v>
          </cell>
          <cell r="M308">
            <v>0</v>
          </cell>
          <cell r="N308">
            <v>0</v>
          </cell>
          <cell r="O308">
            <v>0</v>
          </cell>
        </row>
        <row r="309">
          <cell r="B309">
            <v>0</v>
          </cell>
          <cell r="C309">
            <v>0</v>
          </cell>
          <cell r="D309">
            <v>0</v>
          </cell>
          <cell r="E309">
            <v>0</v>
          </cell>
          <cell r="G309">
            <v>0</v>
          </cell>
          <cell r="H309">
            <v>0</v>
          </cell>
          <cell r="I309">
            <v>0</v>
          </cell>
          <cell r="J309">
            <v>0</v>
          </cell>
          <cell r="K309">
            <v>0</v>
          </cell>
          <cell r="L309">
            <v>0</v>
          </cell>
          <cell r="M309">
            <v>0</v>
          </cell>
          <cell r="N309">
            <v>0</v>
          </cell>
          <cell r="O309">
            <v>0</v>
          </cell>
        </row>
        <row r="310">
          <cell r="B310">
            <v>0</v>
          </cell>
          <cell r="C310">
            <v>0</v>
          </cell>
          <cell r="D310">
            <v>0</v>
          </cell>
          <cell r="E310">
            <v>0</v>
          </cell>
          <cell r="G310">
            <v>0</v>
          </cell>
          <cell r="H310">
            <v>0</v>
          </cell>
          <cell r="I310">
            <v>0</v>
          </cell>
          <cell r="J310">
            <v>0</v>
          </cell>
          <cell r="K310">
            <v>0</v>
          </cell>
          <cell r="L310">
            <v>0</v>
          </cell>
          <cell r="M310">
            <v>0</v>
          </cell>
          <cell r="N310">
            <v>0</v>
          </cell>
          <cell r="O310">
            <v>0</v>
          </cell>
        </row>
        <row r="311">
          <cell r="B311">
            <v>0</v>
          </cell>
          <cell r="C311">
            <v>0</v>
          </cell>
          <cell r="D311">
            <v>0</v>
          </cell>
          <cell r="E311">
            <v>0</v>
          </cell>
          <cell r="G311">
            <v>0</v>
          </cell>
          <cell r="H311">
            <v>0</v>
          </cell>
          <cell r="I311">
            <v>0</v>
          </cell>
          <cell r="J311">
            <v>0</v>
          </cell>
          <cell r="K311">
            <v>0</v>
          </cell>
          <cell r="L311">
            <v>0</v>
          </cell>
          <cell r="M311">
            <v>0</v>
          </cell>
          <cell r="N311">
            <v>0</v>
          </cell>
          <cell r="O311">
            <v>0</v>
          </cell>
        </row>
        <row r="312">
          <cell r="B312">
            <v>0</v>
          </cell>
          <cell r="C312">
            <v>0</v>
          </cell>
          <cell r="D312">
            <v>0</v>
          </cell>
          <cell r="E312">
            <v>0</v>
          </cell>
          <cell r="G312">
            <v>0</v>
          </cell>
          <cell r="H312">
            <v>0</v>
          </cell>
          <cell r="I312">
            <v>0</v>
          </cell>
          <cell r="J312">
            <v>0</v>
          </cell>
          <cell r="K312">
            <v>0</v>
          </cell>
          <cell r="L312">
            <v>0</v>
          </cell>
          <cell r="M312">
            <v>0</v>
          </cell>
          <cell r="N312">
            <v>0</v>
          </cell>
          <cell r="O312">
            <v>0</v>
          </cell>
        </row>
        <row r="313">
          <cell r="B313">
            <v>0</v>
          </cell>
          <cell r="C313">
            <v>0</v>
          </cell>
          <cell r="D313">
            <v>0</v>
          </cell>
          <cell r="E313">
            <v>0</v>
          </cell>
          <cell r="G313">
            <v>0</v>
          </cell>
          <cell r="H313">
            <v>0</v>
          </cell>
          <cell r="I313">
            <v>0</v>
          </cell>
          <cell r="J313">
            <v>0</v>
          </cell>
          <cell r="K313">
            <v>0</v>
          </cell>
          <cell r="L313">
            <v>0</v>
          </cell>
          <cell r="M313">
            <v>0</v>
          </cell>
          <cell r="N313">
            <v>0</v>
          </cell>
          <cell r="O313">
            <v>0</v>
          </cell>
        </row>
        <row r="314">
          <cell r="B314">
            <v>0</v>
          </cell>
          <cell r="C314">
            <v>0</v>
          </cell>
          <cell r="D314">
            <v>0</v>
          </cell>
          <cell r="E314">
            <v>0</v>
          </cell>
          <cell r="G314">
            <v>0</v>
          </cell>
          <cell r="H314">
            <v>0</v>
          </cell>
          <cell r="I314">
            <v>0</v>
          </cell>
          <cell r="J314">
            <v>0</v>
          </cell>
          <cell r="K314">
            <v>0</v>
          </cell>
          <cell r="L314">
            <v>0</v>
          </cell>
          <cell r="M314">
            <v>0</v>
          </cell>
          <cell r="N314">
            <v>0</v>
          </cell>
          <cell r="O314">
            <v>0</v>
          </cell>
        </row>
        <row r="315">
          <cell r="B315">
            <v>0</v>
          </cell>
          <cell r="C315">
            <v>0</v>
          </cell>
          <cell r="D315">
            <v>0</v>
          </cell>
          <cell r="E315">
            <v>0</v>
          </cell>
          <cell r="G315">
            <v>0</v>
          </cell>
          <cell r="H315">
            <v>0</v>
          </cell>
          <cell r="I315">
            <v>0</v>
          </cell>
          <cell r="J315">
            <v>0</v>
          </cell>
          <cell r="K315">
            <v>0</v>
          </cell>
          <cell r="L315">
            <v>0</v>
          </cell>
          <cell r="M315">
            <v>0</v>
          </cell>
          <cell r="N315">
            <v>0</v>
          </cell>
          <cell r="O315">
            <v>0</v>
          </cell>
        </row>
        <row r="316">
          <cell r="B316">
            <v>0</v>
          </cell>
          <cell r="C316">
            <v>0</v>
          </cell>
          <cell r="D316">
            <v>0</v>
          </cell>
          <cell r="E316">
            <v>0</v>
          </cell>
          <cell r="G316">
            <v>0</v>
          </cell>
          <cell r="H316">
            <v>0</v>
          </cell>
          <cell r="I316">
            <v>0</v>
          </cell>
          <cell r="J316">
            <v>0</v>
          </cell>
          <cell r="K316">
            <v>0</v>
          </cell>
          <cell r="L316">
            <v>0</v>
          </cell>
          <cell r="M316">
            <v>0</v>
          </cell>
          <cell r="N316">
            <v>0</v>
          </cell>
          <cell r="O316">
            <v>0</v>
          </cell>
        </row>
        <row r="317">
          <cell r="B317">
            <v>0</v>
          </cell>
          <cell r="C317">
            <v>0</v>
          </cell>
          <cell r="D317">
            <v>0</v>
          </cell>
          <cell r="E317">
            <v>0</v>
          </cell>
          <cell r="G317">
            <v>0</v>
          </cell>
          <cell r="H317">
            <v>0</v>
          </cell>
          <cell r="I317">
            <v>0</v>
          </cell>
          <cell r="J317">
            <v>0</v>
          </cell>
          <cell r="K317">
            <v>0</v>
          </cell>
          <cell r="L317">
            <v>0</v>
          </cell>
          <cell r="M317">
            <v>0</v>
          </cell>
          <cell r="N317">
            <v>0</v>
          </cell>
          <cell r="O317">
            <v>0</v>
          </cell>
        </row>
        <row r="318">
          <cell r="B318">
            <v>0</v>
          </cell>
          <cell r="C318">
            <v>0</v>
          </cell>
          <cell r="D318">
            <v>0</v>
          </cell>
          <cell r="E318">
            <v>0</v>
          </cell>
          <cell r="G318">
            <v>0</v>
          </cell>
          <cell r="H318">
            <v>0</v>
          </cell>
          <cell r="I318">
            <v>0</v>
          </cell>
          <cell r="J318">
            <v>0</v>
          </cell>
          <cell r="K318">
            <v>0</v>
          </cell>
          <cell r="L318">
            <v>0</v>
          </cell>
          <cell r="M318">
            <v>0</v>
          </cell>
          <cell r="N318">
            <v>0</v>
          </cell>
          <cell r="O318">
            <v>0</v>
          </cell>
        </row>
        <row r="319">
          <cell r="B319">
            <v>0</v>
          </cell>
          <cell r="C319">
            <v>0</v>
          </cell>
          <cell r="D319">
            <v>0</v>
          </cell>
          <cell r="E319">
            <v>0</v>
          </cell>
          <cell r="G319">
            <v>0</v>
          </cell>
          <cell r="H319">
            <v>0</v>
          </cell>
          <cell r="I319">
            <v>0</v>
          </cell>
          <cell r="J319">
            <v>0</v>
          </cell>
          <cell r="K319">
            <v>0</v>
          </cell>
          <cell r="L319">
            <v>0</v>
          </cell>
          <cell r="M319">
            <v>0</v>
          </cell>
          <cell r="N319">
            <v>0</v>
          </cell>
          <cell r="O319">
            <v>0</v>
          </cell>
        </row>
        <row r="320">
          <cell r="B320">
            <v>0</v>
          </cell>
          <cell r="C320">
            <v>0</v>
          </cell>
          <cell r="D320">
            <v>0</v>
          </cell>
          <cell r="E320">
            <v>0</v>
          </cell>
          <cell r="G320">
            <v>0</v>
          </cell>
          <cell r="H320">
            <v>0</v>
          </cell>
          <cell r="I320">
            <v>0</v>
          </cell>
          <cell r="J320">
            <v>0</v>
          </cell>
          <cell r="K320">
            <v>0</v>
          </cell>
          <cell r="L320">
            <v>0</v>
          </cell>
          <cell r="M320">
            <v>0</v>
          </cell>
          <cell r="N320">
            <v>0</v>
          </cell>
          <cell r="O320">
            <v>0</v>
          </cell>
        </row>
        <row r="321">
          <cell r="B321">
            <v>0</v>
          </cell>
          <cell r="C321">
            <v>0</v>
          </cell>
          <cell r="D321">
            <v>0</v>
          </cell>
          <cell r="E321">
            <v>0</v>
          </cell>
          <cell r="G321">
            <v>0</v>
          </cell>
          <cell r="H321">
            <v>0</v>
          </cell>
          <cell r="I321">
            <v>0</v>
          </cell>
          <cell r="J321">
            <v>0</v>
          </cell>
          <cell r="K321">
            <v>0</v>
          </cell>
          <cell r="L321">
            <v>0</v>
          </cell>
          <cell r="M321">
            <v>0</v>
          </cell>
          <cell r="N321">
            <v>0</v>
          </cell>
          <cell r="O321">
            <v>0</v>
          </cell>
        </row>
        <row r="322">
          <cell r="B322">
            <v>0</v>
          </cell>
          <cell r="C322">
            <v>0</v>
          </cell>
          <cell r="D322">
            <v>0</v>
          </cell>
          <cell r="E322">
            <v>0</v>
          </cell>
          <cell r="G322">
            <v>0</v>
          </cell>
          <cell r="H322">
            <v>0</v>
          </cell>
          <cell r="I322">
            <v>0</v>
          </cell>
          <cell r="J322">
            <v>0</v>
          </cell>
          <cell r="K322">
            <v>0</v>
          </cell>
          <cell r="L322">
            <v>0</v>
          </cell>
          <cell r="M322">
            <v>0</v>
          </cell>
          <cell r="N322">
            <v>0</v>
          </cell>
          <cell r="O322">
            <v>0</v>
          </cell>
        </row>
        <row r="323">
          <cell r="B323">
            <v>0</v>
          </cell>
          <cell r="C323">
            <v>0</v>
          </cell>
          <cell r="D323">
            <v>0</v>
          </cell>
          <cell r="E323">
            <v>0</v>
          </cell>
          <cell r="G323">
            <v>0</v>
          </cell>
          <cell r="H323">
            <v>0</v>
          </cell>
          <cell r="I323">
            <v>0</v>
          </cell>
          <cell r="J323">
            <v>0</v>
          </cell>
          <cell r="K323">
            <v>0</v>
          </cell>
          <cell r="L323">
            <v>0</v>
          </cell>
          <cell r="M323">
            <v>0</v>
          </cell>
          <cell r="N323">
            <v>0</v>
          </cell>
          <cell r="O323">
            <v>0</v>
          </cell>
        </row>
        <row r="324">
          <cell r="B324">
            <v>0</v>
          </cell>
          <cell r="C324">
            <v>0</v>
          </cell>
          <cell r="D324">
            <v>0</v>
          </cell>
          <cell r="E324">
            <v>0</v>
          </cell>
          <cell r="G324">
            <v>0</v>
          </cell>
          <cell r="H324">
            <v>0</v>
          </cell>
          <cell r="I324">
            <v>0</v>
          </cell>
          <cell r="J324">
            <v>0</v>
          </cell>
          <cell r="K324">
            <v>0</v>
          </cell>
          <cell r="L324">
            <v>0</v>
          </cell>
          <cell r="M324">
            <v>0</v>
          </cell>
          <cell r="N324">
            <v>0</v>
          </cell>
          <cell r="O324">
            <v>0</v>
          </cell>
        </row>
        <row r="325">
          <cell r="B325">
            <v>0</v>
          </cell>
          <cell r="C325">
            <v>0</v>
          </cell>
          <cell r="D325">
            <v>0</v>
          </cell>
          <cell r="E325">
            <v>0</v>
          </cell>
          <cell r="G325">
            <v>0</v>
          </cell>
          <cell r="H325">
            <v>0</v>
          </cell>
          <cell r="I325">
            <v>0</v>
          </cell>
          <cell r="J325">
            <v>0</v>
          </cell>
          <cell r="K325">
            <v>0</v>
          </cell>
          <cell r="L325">
            <v>0</v>
          </cell>
          <cell r="M325">
            <v>0</v>
          </cell>
          <cell r="N325">
            <v>0</v>
          </cell>
          <cell r="O325">
            <v>0</v>
          </cell>
        </row>
        <row r="326">
          <cell r="B326">
            <v>0</v>
          </cell>
          <cell r="C326">
            <v>0</v>
          </cell>
          <cell r="D326">
            <v>0</v>
          </cell>
          <cell r="E326">
            <v>0</v>
          </cell>
          <cell r="G326">
            <v>0</v>
          </cell>
          <cell r="H326">
            <v>0</v>
          </cell>
          <cell r="I326">
            <v>0</v>
          </cell>
          <cell r="J326">
            <v>0</v>
          </cell>
          <cell r="K326">
            <v>0</v>
          </cell>
          <cell r="L326">
            <v>0</v>
          </cell>
          <cell r="M326">
            <v>0</v>
          </cell>
          <cell r="N326">
            <v>0</v>
          </cell>
          <cell r="O326">
            <v>0</v>
          </cell>
        </row>
        <row r="327">
          <cell r="B327">
            <v>0</v>
          </cell>
          <cell r="C327">
            <v>0</v>
          </cell>
          <cell r="D327">
            <v>0</v>
          </cell>
          <cell r="E327">
            <v>0</v>
          </cell>
          <cell r="G327">
            <v>0</v>
          </cell>
          <cell r="H327">
            <v>0</v>
          </cell>
          <cell r="I327">
            <v>0</v>
          </cell>
          <cell r="J327">
            <v>0</v>
          </cell>
          <cell r="K327">
            <v>0</v>
          </cell>
          <cell r="L327">
            <v>0</v>
          </cell>
          <cell r="M327">
            <v>0</v>
          </cell>
          <cell r="N327">
            <v>0</v>
          </cell>
          <cell r="O327">
            <v>0</v>
          </cell>
        </row>
        <row r="328">
          <cell r="B328">
            <v>0</v>
          </cell>
          <cell r="C328">
            <v>0</v>
          </cell>
          <cell r="D328">
            <v>0</v>
          </cell>
          <cell r="E328">
            <v>0</v>
          </cell>
          <cell r="G328">
            <v>0</v>
          </cell>
          <cell r="H328">
            <v>0</v>
          </cell>
          <cell r="I328">
            <v>0</v>
          </cell>
          <cell r="J328">
            <v>0</v>
          </cell>
          <cell r="K328">
            <v>0</v>
          </cell>
          <cell r="L328">
            <v>0</v>
          </cell>
          <cell r="M328">
            <v>0</v>
          </cell>
          <cell r="N328">
            <v>0</v>
          </cell>
          <cell r="O328">
            <v>0</v>
          </cell>
        </row>
        <row r="329">
          <cell r="B329">
            <v>0</v>
          </cell>
          <cell r="C329">
            <v>0</v>
          </cell>
          <cell r="D329">
            <v>0</v>
          </cell>
          <cell r="E329">
            <v>0</v>
          </cell>
          <cell r="G329">
            <v>0</v>
          </cell>
          <cell r="H329">
            <v>0</v>
          </cell>
          <cell r="I329">
            <v>0</v>
          </cell>
          <cell r="J329">
            <v>0</v>
          </cell>
          <cell r="K329">
            <v>0</v>
          </cell>
          <cell r="L329">
            <v>0</v>
          </cell>
          <cell r="M329">
            <v>0</v>
          </cell>
          <cell r="N329">
            <v>0</v>
          </cell>
          <cell r="O329">
            <v>0</v>
          </cell>
        </row>
        <row r="330">
          <cell r="B330">
            <v>0</v>
          </cell>
          <cell r="C330">
            <v>0</v>
          </cell>
          <cell r="D330">
            <v>0</v>
          </cell>
          <cell r="E330">
            <v>0</v>
          </cell>
          <cell r="G330">
            <v>0</v>
          </cell>
          <cell r="H330">
            <v>0</v>
          </cell>
          <cell r="I330">
            <v>0</v>
          </cell>
          <cell r="J330">
            <v>0</v>
          </cell>
          <cell r="K330">
            <v>0</v>
          </cell>
          <cell r="L330">
            <v>0</v>
          </cell>
          <cell r="M330">
            <v>0</v>
          </cell>
          <cell r="N330">
            <v>0</v>
          </cell>
          <cell r="O330">
            <v>0</v>
          </cell>
        </row>
        <row r="331">
          <cell r="B331">
            <v>0</v>
          </cell>
          <cell r="C331">
            <v>0</v>
          </cell>
          <cell r="D331">
            <v>0</v>
          </cell>
          <cell r="E331">
            <v>0</v>
          </cell>
          <cell r="G331">
            <v>0</v>
          </cell>
          <cell r="H331">
            <v>0</v>
          </cell>
          <cell r="I331">
            <v>0</v>
          </cell>
          <cell r="J331">
            <v>0</v>
          </cell>
          <cell r="K331">
            <v>0</v>
          </cell>
          <cell r="L331">
            <v>0</v>
          </cell>
          <cell r="M331">
            <v>0</v>
          </cell>
          <cell r="N331">
            <v>0</v>
          </cell>
          <cell r="O331">
            <v>0</v>
          </cell>
        </row>
        <row r="332">
          <cell r="B332">
            <v>0</v>
          </cell>
          <cell r="C332">
            <v>0</v>
          </cell>
          <cell r="D332">
            <v>0</v>
          </cell>
          <cell r="E332">
            <v>0</v>
          </cell>
          <cell r="G332">
            <v>0</v>
          </cell>
          <cell r="H332">
            <v>0</v>
          </cell>
          <cell r="I332">
            <v>0</v>
          </cell>
          <cell r="J332">
            <v>0</v>
          </cell>
          <cell r="K332">
            <v>0</v>
          </cell>
          <cell r="L332">
            <v>0</v>
          </cell>
          <cell r="M332">
            <v>0</v>
          </cell>
          <cell r="N332">
            <v>0</v>
          </cell>
          <cell r="O332">
            <v>0</v>
          </cell>
        </row>
        <row r="333">
          <cell r="B333">
            <v>0</v>
          </cell>
          <cell r="C333">
            <v>0</v>
          </cell>
          <cell r="D333">
            <v>0</v>
          </cell>
          <cell r="E333">
            <v>0</v>
          </cell>
          <cell r="G333">
            <v>0</v>
          </cell>
          <cell r="H333">
            <v>0</v>
          </cell>
          <cell r="I333">
            <v>0</v>
          </cell>
          <cell r="J333">
            <v>0</v>
          </cell>
          <cell r="K333">
            <v>0</v>
          </cell>
          <cell r="L333">
            <v>0</v>
          </cell>
          <cell r="M333">
            <v>0</v>
          </cell>
          <cell r="N333">
            <v>0</v>
          </cell>
          <cell r="O333">
            <v>0</v>
          </cell>
        </row>
        <row r="334">
          <cell r="B334">
            <v>0</v>
          </cell>
          <cell r="C334">
            <v>0</v>
          </cell>
          <cell r="D334">
            <v>0</v>
          </cell>
          <cell r="E334">
            <v>0</v>
          </cell>
          <cell r="G334">
            <v>0</v>
          </cell>
          <cell r="H334">
            <v>0</v>
          </cell>
          <cell r="I334">
            <v>0</v>
          </cell>
          <cell r="J334">
            <v>0</v>
          </cell>
          <cell r="K334">
            <v>0</v>
          </cell>
          <cell r="L334">
            <v>0</v>
          </cell>
          <cell r="M334">
            <v>0</v>
          </cell>
          <cell r="N334">
            <v>0</v>
          </cell>
          <cell r="O334">
            <v>0</v>
          </cell>
        </row>
        <row r="335">
          <cell r="B335">
            <v>0</v>
          </cell>
          <cell r="C335">
            <v>0</v>
          </cell>
          <cell r="D335">
            <v>0</v>
          </cell>
          <cell r="E335">
            <v>0</v>
          </cell>
          <cell r="G335">
            <v>0</v>
          </cell>
          <cell r="H335">
            <v>0</v>
          </cell>
          <cell r="I335">
            <v>0</v>
          </cell>
          <cell r="J335">
            <v>0</v>
          </cell>
          <cell r="K335">
            <v>0</v>
          </cell>
          <cell r="L335">
            <v>0</v>
          </cell>
          <cell r="M335">
            <v>0</v>
          </cell>
          <cell r="N335">
            <v>0</v>
          </cell>
          <cell r="O335">
            <v>0</v>
          </cell>
        </row>
        <row r="336">
          <cell r="B336">
            <v>0</v>
          </cell>
          <cell r="C336">
            <v>0</v>
          </cell>
          <cell r="D336">
            <v>0</v>
          </cell>
          <cell r="E336">
            <v>0</v>
          </cell>
          <cell r="G336">
            <v>0</v>
          </cell>
          <cell r="H336">
            <v>0</v>
          </cell>
          <cell r="I336">
            <v>0</v>
          </cell>
          <cell r="J336">
            <v>0</v>
          </cell>
          <cell r="K336">
            <v>0</v>
          </cell>
          <cell r="L336">
            <v>0</v>
          </cell>
          <cell r="M336">
            <v>0</v>
          </cell>
          <cell r="N336">
            <v>0</v>
          </cell>
          <cell r="O336">
            <v>0</v>
          </cell>
        </row>
        <row r="337">
          <cell r="B337">
            <v>0</v>
          </cell>
          <cell r="C337">
            <v>0</v>
          </cell>
          <cell r="D337">
            <v>0</v>
          </cell>
          <cell r="E337">
            <v>0</v>
          </cell>
          <cell r="G337">
            <v>0</v>
          </cell>
          <cell r="H337">
            <v>0</v>
          </cell>
          <cell r="I337">
            <v>0</v>
          </cell>
          <cell r="J337">
            <v>0</v>
          </cell>
          <cell r="K337">
            <v>0</v>
          </cell>
          <cell r="L337">
            <v>0</v>
          </cell>
          <cell r="M337">
            <v>0</v>
          </cell>
          <cell r="N337">
            <v>0</v>
          </cell>
          <cell r="O337">
            <v>0</v>
          </cell>
        </row>
        <row r="338">
          <cell r="B338">
            <v>0</v>
          </cell>
          <cell r="C338">
            <v>0</v>
          </cell>
          <cell r="D338">
            <v>0</v>
          </cell>
          <cell r="E338">
            <v>0</v>
          </cell>
          <cell r="G338">
            <v>0</v>
          </cell>
          <cell r="H338">
            <v>0</v>
          </cell>
          <cell r="I338">
            <v>0</v>
          </cell>
          <cell r="J338">
            <v>0</v>
          </cell>
          <cell r="K338">
            <v>0</v>
          </cell>
          <cell r="L338">
            <v>0</v>
          </cell>
          <cell r="M338">
            <v>0</v>
          </cell>
          <cell r="N338">
            <v>0</v>
          </cell>
          <cell r="O338">
            <v>0</v>
          </cell>
        </row>
        <row r="339">
          <cell r="B339">
            <v>0</v>
          </cell>
          <cell r="C339">
            <v>0</v>
          </cell>
          <cell r="D339">
            <v>0</v>
          </cell>
          <cell r="E339">
            <v>0</v>
          </cell>
          <cell r="G339">
            <v>0</v>
          </cell>
          <cell r="H339">
            <v>0</v>
          </cell>
          <cell r="I339">
            <v>0</v>
          </cell>
          <cell r="J339">
            <v>0</v>
          </cell>
          <cell r="K339">
            <v>0</v>
          </cell>
          <cell r="L339">
            <v>0</v>
          </cell>
          <cell r="M339">
            <v>0</v>
          </cell>
          <cell r="N339">
            <v>0</v>
          </cell>
          <cell r="O339">
            <v>0</v>
          </cell>
        </row>
        <row r="340">
          <cell r="B340">
            <v>0</v>
          </cell>
          <cell r="C340">
            <v>0</v>
          </cell>
          <cell r="D340">
            <v>0</v>
          </cell>
          <cell r="E340">
            <v>0</v>
          </cell>
          <cell r="G340">
            <v>0</v>
          </cell>
          <cell r="H340">
            <v>0</v>
          </cell>
          <cell r="I340">
            <v>0</v>
          </cell>
          <cell r="J340">
            <v>0</v>
          </cell>
          <cell r="K340">
            <v>0</v>
          </cell>
          <cell r="L340">
            <v>0</v>
          </cell>
          <cell r="M340">
            <v>0</v>
          </cell>
          <cell r="N340">
            <v>0</v>
          </cell>
          <cell r="O340">
            <v>0</v>
          </cell>
        </row>
        <row r="341">
          <cell r="B341">
            <v>0</v>
          </cell>
          <cell r="C341">
            <v>0</v>
          </cell>
          <cell r="D341">
            <v>0</v>
          </cell>
          <cell r="E341">
            <v>0</v>
          </cell>
          <cell r="G341">
            <v>0</v>
          </cell>
          <cell r="H341">
            <v>0</v>
          </cell>
          <cell r="I341">
            <v>0</v>
          </cell>
          <cell r="J341">
            <v>0</v>
          </cell>
          <cell r="K341">
            <v>0</v>
          </cell>
          <cell r="L341">
            <v>0</v>
          </cell>
          <cell r="M341">
            <v>0</v>
          </cell>
          <cell r="N341">
            <v>0</v>
          </cell>
          <cell r="O341">
            <v>0</v>
          </cell>
        </row>
        <row r="342">
          <cell r="B342">
            <v>0</v>
          </cell>
          <cell r="C342">
            <v>0</v>
          </cell>
          <cell r="D342">
            <v>0</v>
          </cell>
          <cell r="E342">
            <v>0</v>
          </cell>
          <cell r="G342">
            <v>0</v>
          </cell>
          <cell r="H342">
            <v>0</v>
          </cell>
          <cell r="I342">
            <v>0</v>
          </cell>
          <cell r="J342">
            <v>0</v>
          </cell>
          <cell r="K342">
            <v>0</v>
          </cell>
          <cell r="L342">
            <v>0</v>
          </cell>
          <cell r="M342">
            <v>0</v>
          </cell>
          <cell r="N342">
            <v>0</v>
          </cell>
          <cell r="O342">
            <v>0</v>
          </cell>
        </row>
        <row r="343">
          <cell r="B343">
            <v>0</v>
          </cell>
          <cell r="C343">
            <v>0</v>
          </cell>
          <cell r="D343">
            <v>0</v>
          </cell>
          <cell r="E343">
            <v>0</v>
          </cell>
          <cell r="G343">
            <v>0</v>
          </cell>
          <cell r="H343">
            <v>0</v>
          </cell>
          <cell r="I343">
            <v>0</v>
          </cell>
          <cell r="J343">
            <v>0</v>
          </cell>
          <cell r="K343">
            <v>0</v>
          </cell>
          <cell r="L343">
            <v>0</v>
          </cell>
          <cell r="M343">
            <v>0</v>
          </cell>
          <cell r="N343">
            <v>0</v>
          </cell>
          <cell r="O343">
            <v>0</v>
          </cell>
        </row>
        <row r="344">
          <cell r="B344">
            <v>0</v>
          </cell>
          <cell r="C344">
            <v>0</v>
          </cell>
          <cell r="D344">
            <v>0</v>
          </cell>
          <cell r="E344">
            <v>0</v>
          </cell>
          <cell r="G344">
            <v>0</v>
          </cell>
          <cell r="H344">
            <v>0</v>
          </cell>
          <cell r="I344">
            <v>0</v>
          </cell>
          <cell r="J344">
            <v>0</v>
          </cell>
          <cell r="K344">
            <v>0</v>
          </cell>
          <cell r="L344">
            <v>0</v>
          </cell>
          <cell r="M344">
            <v>0</v>
          </cell>
          <cell r="N344">
            <v>0</v>
          </cell>
          <cell r="O344">
            <v>0</v>
          </cell>
        </row>
        <row r="345">
          <cell r="B345">
            <v>0</v>
          </cell>
          <cell r="C345">
            <v>0</v>
          </cell>
          <cell r="D345">
            <v>0</v>
          </cell>
          <cell r="E345">
            <v>0</v>
          </cell>
          <cell r="G345">
            <v>0</v>
          </cell>
          <cell r="H345">
            <v>0</v>
          </cell>
          <cell r="I345">
            <v>0</v>
          </cell>
          <cell r="J345">
            <v>0</v>
          </cell>
          <cell r="K345">
            <v>0</v>
          </cell>
          <cell r="L345">
            <v>0</v>
          </cell>
          <cell r="M345">
            <v>0</v>
          </cell>
          <cell r="N345">
            <v>0</v>
          </cell>
          <cell r="O345">
            <v>0</v>
          </cell>
        </row>
        <row r="346">
          <cell r="B346">
            <v>0</v>
          </cell>
          <cell r="C346">
            <v>0</v>
          </cell>
          <cell r="D346">
            <v>0</v>
          </cell>
          <cell r="E346">
            <v>0</v>
          </cell>
          <cell r="G346">
            <v>0</v>
          </cell>
          <cell r="H346">
            <v>0</v>
          </cell>
          <cell r="I346">
            <v>0</v>
          </cell>
          <cell r="J346">
            <v>0</v>
          </cell>
          <cell r="K346">
            <v>0</v>
          </cell>
          <cell r="L346">
            <v>0</v>
          </cell>
          <cell r="M346">
            <v>0</v>
          </cell>
          <cell r="N346">
            <v>0</v>
          </cell>
          <cell r="O346">
            <v>0</v>
          </cell>
        </row>
        <row r="347">
          <cell r="B347">
            <v>0</v>
          </cell>
          <cell r="C347">
            <v>0</v>
          </cell>
          <cell r="D347">
            <v>0</v>
          </cell>
          <cell r="E347">
            <v>0</v>
          </cell>
          <cell r="G347">
            <v>0</v>
          </cell>
          <cell r="H347">
            <v>0</v>
          </cell>
          <cell r="I347">
            <v>0</v>
          </cell>
          <cell r="J347">
            <v>0</v>
          </cell>
          <cell r="K347">
            <v>0</v>
          </cell>
          <cell r="L347">
            <v>0</v>
          </cell>
          <cell r="M347">
            <v>0</v>
          </cell>
          <cell r="N347">
            <v>0</v>
          </cell>
          <cell r="O347">
            <v>0</v>
          </cell>
        </row>
        <row r="348">
          <cell r="B348">
            <v>0</v>
          </cell>
          <cell r="C348">
            <v>0</v>
          </cell>
          <cell r="D348">
            <v>0</v>
          </cell>
          <cell r="E348">
            <v>0</v>
          </cell>
          <cell r="G348">
            <v>0</v>
          </cell>
          <cell r="H348">
            <v>0</v>
          </cell>
          <cell r="I348">
            <v>0</v>
          </cell>
          <cell r="J348">
            <v>0</v>
          </cell>
          <cell r="K348">
            <v>0</v>
          </cell>
          <cell r="L348">
            <v>0</v>
          </cell>
          <cell r="M348">
            <v>0</v>
          </cell>
          <cell r="N348">
            <v>0</v>
          </cell>
          <cell r="O348">
            <v>0</v>
          </cell>
        </row>
        <row r="349">
          <cell r="B349">
            <v>0</v>
          </cell>
          <cell r="C349">
            <v>0</v>
          </cell>
          <cell r="D349">
            <v>0</v>
          </cell>
          <cell r="E349">
            <v>0</v>
          </cell>
          <cell r="G349">
            <v>0</v>
          </cell>
          <cell r="H349">
            <v>0</v>
          </cell>
          <cell r="I349">
            <v>0</v>
          </cell>
          <cell r="J349">
            <v>0</v>
          </cell>
          <cell r="K349">
            <v>0</v>
          </cell>
          <cell r="L349">
            <v>0</v>
          </cell>
          <cell r="M349">
            <v>0</v>
          </cell>
          <cell r="N349">
            <v>0</v>
          </cell>
          <cell r="O349">
            <v>0</v>
          </cell>
        </row>
        <row r="350">
          <cell r="B350">
            <v>0</v>
          </cell>
          <cell r="C350">
            <v>0</v>
          </cell>
          <cell r="D350">
            <v>0</v>
          </cell>
          <cell r="E350">
            <v>0</v>
          </cell>
          <cell r="G350">
            <v>0</v>
          </cell>
          <cell r="H350">
            <v>0</v>
          </cell>
          <cell r="I350">
            <v>0</v>
          </cell>
          <cell r="J350">
            <v>0</v>
          </cell>
          <cell r="K350">
            <v>0</v>
          </cell>
          <cell r="L350">
            <v>0</v>
          </cell>
          <cell r="M350">
            <v>0</v>
          </cell>
          <cell r="N350">
            <v>0</v>
          </cell>
          <cell r="O350">
            <v>0</v>
          </cell>
        </row>
        <row r="351">
          <cell r="B351">
            <v>0</v>
          </cell>
          <cell r="C351">
            <v>0</v>
          </cell>
          <cell r="D351">
            <v>0</v>
          </cell>
          <cell r="E351">
            <v>0</v>
          </cell>
          <cell r="G351">
            <v>0</v>
          </cell>
          <cell r="H351">
            <v>0</v>
          </cell>
          <cell r="I351">
            <v>0</v>
          </cell>
          <cell r="J351">
            <v>0</v>
          </cell>
          <cell r="K351">
            <v>0</v>
          </cell>
          <cell r="L351">
            <v>0</v>
          </cell>
          <cell r="M351">
            <v>0</v>
          </cell>
          <cell r="N351">
            <v>0</v>
          </cell>
          <cell r="O351">
            <v>0</v>
          </cell>
        </row>
        <row r="352">
          <cell r="B352">
            <v>0</v>
          </cell>
          <cell r="C352">
            <v>0</v>
          </cell>
          <cell r="D352">
            <v>0</v>
          </cell>
          <cell r="E352">
            <v>0</v>
          </cell>
          <cell r="G352">
            <v>0</v>
          </cell>
          <cell r="H352">
            <v>0</v>
          </cell>
          <cell r="I352">
            <v>0</v>
          </cell>
          <cell r="J352">
            <v>0</v>
          </cell>
          <cell r="K352">
            <v>0</v>
          </cell>
          <cell r="L352">
            <v>0</v>
          </cell>
          <cell r="M352">
            <v>0</v>
          </cell>
          <cell r="N352">
            <v>0</v>
          </cell>
          <cell r="O352">
            <v>0</v>
          </cell>
        </row>
        <row r="353">
          <cell r="B353">
            <v>0</v>
          </cell>
          <cell r="C353">
            <v>0</v>
          </cell>
          <cell r="D353">
            <v>0</v>
          </cell>
          <cell r="E353">
            <v>0</v>
          </cell>
          <cell r="G353">
            <v>0</v>
          </cell>
          <cell r="H353">
            <v>0</v>
          </cell>
          <cell r="I353">
            <v>0</v>
          </cell>
          <cell r="J353">
            <v>0</v>
          </cell>
          <cell r="K353">
            <v>0</v>
          </cell>
          <cell r="L353">
            <v>0</v>
          </cell>
          <cell r="M353">
            <v>0</v>
          </cell>
          <cell r="N353">
            <v>0</v>
          </cell>
          <cell r="O353">
            <v>0</v>
          </cell>
        </row>
        <row r="354">
          <cell r="B354">
            <v>0</v>
          </cell>
          <cell r="C354">
            <v>0</v>
          </cell>
          <cell r="D354">
            <v>0</v>
          </cell>
          <cell r="E354">
            <v>0</v>
          </cell>
          <cell r="G354">
            <v>0</v>
          </cell>
          <cell r="H354">
            <v>0</v>
          </cell>
          <cell r="I354">
            <v>0</v>
          </cell>
          <cell r="J354">
            <v>0</v>
          </cell>
          <cell r="K354">
            <v>0</v>
          </cell>
          <cell r="L354">
            <v>0</v>
          </cell>
          <cell r="M354">
            <v>0</v>
          </cell>
          <cell r="N354">
            <v>0</v>
          </cell>
          <cell r="O354">
            <v>0</v>
          </cell>
        </row>
        <row r="355">
          <cell r="B355">
            <v>0</v>
          </cell>
          <cell r="C355">
            <v>0</v>
          </cell>
          <cell r="D355">
            <v>0</v>
          </cell>
          <cell r="E355">
            <v>0</v>
          </cell>
          <cell r="G355">
            <v>0</v>
          </cell>
          <cell r="H355">
            <v>0</v>
          </cell>
          <cell r="I355">
            <v>0</v>
          </cell>
          <cell r="J355">
            <v>0</v>
          </cell>
          <cell r="K355">
            <v>0</v>
          </cell>
          <cell r="L355">
            <v>0</v>
          </cell>
          <cell r="M355">
            <v>0</v>
          </cell>
          <cell r="N355">
            <v>0</v>
          </cell>
          <cell r="O355">
            <v>0</v>
          </cell>
        </row>
        <row r="356">
          <cell r="B356">
            <v>0</v>
          </cell>
          <cell r="C356">
            <v>0</v>
          </cell>
          <cell r="D356">
            <v>0</v>
          </cell>
          <cell r="E356">
            <v>0</v>
          </cell>
          <cell r="G356">
            <v>0</v>
          </cell>
          <cell r="H356">
            <v>0</v>
          </cell>
          <cell r="I356">
            <v>0</v>
          </cell>
          <cell r="J356">
            <v>0</v>
          </cell>
          <cell r="K356">
            <v>0</v>
          </cell>
          <cell r="L356">
            <v>0</v>
          </cell>
          <cell r="M356">
            <v>0</v>
          </cell>
          <cell r="N356">
            <v>0</v>
          </cell>
          <cell r="O356">
            <v>0</v>
          </cell>
        </row>
        <row r="357">
          <cell r="B357">
            <v>0</v>
          </cell>
          <cell r="C357">
            <v>0</v>
          </cell>
          <cell r="D357">
            <v>0</v>
          </cell>
          <cell r="E357">
            <v>0</v>
          </cell>
          <cell r="G357">
            <v>0</v>
          </cell>
          <cell r="H357">
            <v>0</v>
          </cell>
          <cell r="I357">
            <v>0</v>
          </cell>
          <cell r="J357">
            <v>0</v>
          </cell>
          <cell r="K357">
            <v>0</v>
          </cell>
          <cell r="L357">
            <v>0</v>
          </cell>
          <cell r="M357">
            <v>0</v>
          </cell>
          <cell r="N357">
            <v>0</v>
          </cell>
          <cell r="O357">
            <v>0</v>
          </cell>
        </row>
        <row r="358">
          <cell r="B358">
            <v>0</v>
          </cell>
          <cell r="C358">
            <v>0</v>
          </cell>
          <cell r="D358">
            <v>0</v>
          </cell>
          <cell r="E358">
            <v>0</v>
          </cell>
          <cell r="G358">
            <v>0</v>
          </cell>
          <cell r="H358">
            <v>0</v>
          </cell>
          <cell r="I358">
            <v>0</v>
          </cell>
          <cell r="J358">
            <v>0</v>
          </cell>
          <cell r="K358">
            <v>0</v>
          </cell>
          <cell r="L358">
            <v>0</v>
          </cell>
          <cell r="M358">
            <v>0</v>
          </cell>
          <cell r="N358">
            <v>0</v>
          </cell>
          <cell r="O358">
            <v>0</v>
          </cell>
        </row>
        <row r="359">
          <cell r="B359">
            <v>0</v>
          </cell>
          <cell r="C359">
            <v>0</v>
          </cell>
          <cell r="D359">
            <v>0</v>
          </cell>
          <cell r="E359">
            <v>0</v>
          </cell>
          <cell r="G359">
            <v>0</v>
          </cell>
          <cell r="H359">
            <v>0</v>
          </cell>
          <cell r="I359">
            <v>0</v>
          </cell>
          <cell r="J359">
            <v>0</v>
          </cell>
          <cell r="K359">
            <v>0</v>
          </cell>
          <cell r="L359">
            <v>0</v>
          </cell>
          <cell r="M359">
            <v>0</v>
          </cell>
          <cell r="N359">
            <v>0</v>
          </cell>
          <cell r="O359">
            <v>0</v>
          </cell>
        </row>
        <row r="360">
          <cell r="B360">
            <v>0</v>
          </cell>
          <cell r="C360">
            <v>0</v>
          </cell>
          <cell r="D360">
            <v>0</v>
          </cell>
          <cell r="E360">
            <v>0</v>
          </cell>
          <cell r="G360">
            <v>0</v>
          </cell>
          <cell r="H360">
            <v>0</v>
          </cell>
          <cell r="I360">
            <v>0</v>
          </cell>
          <cell r="J360">
            <v>0</v>
          </cell>
          <cell r="K360">
            <v>0</v>
          </cell>
          <cell r="L360">
            <v>0</v>
          </cell>
          <cell r="M360">
            <v>0</v>
          </cell>
          <cell r="N360">
            <v>0</v>
          </cell>
          <cell r="O360">
            <v>0</v>
          </cell>
        </row>
        <row r="361">
          <cell r="B361">
            <v>0</v>
          </cell>
          <cell r="C361">
            <v>0</v>
          </cell>
          <cell r="D361">
            <v>0</v>
          </cell>
          <cell r="E361">
            <v>0</v>
          </cell>
          <cell r="G361">
            <v>0</v>
          </cell>
          <cell r="H361">
            <v>0</v>
          </cell>
          <cell r="I361">
            <v>0</v>
          </cell>
          <cell r="J361">
            <v>0</v>
          </cell>
          <cell r="K361">
            <v>0</v>
          </cell>
          <cell r="L361">
            <v>0</v>
          </cell>
          <cell r="M361">
            <v>0</v>
          </cell>
          <cell r="N361">
            <v>0</v>
          </cell>
          <cell r="O361">
            <v>0</v>
          </cell>
        </row>
        <row r="362">
          <cell r="B362">
            <v>0</v>
          </cell>
          <cell r="C362">
            <v>0</v>
          </cell>
          <cell r="D362">
            <v>0</v>
          </cell>
          <cell r="E362">
            <v>0</v>
          </cell>
          <cell r="G362">
            <v>0</v>
          </cell>
          <cell r="H362">
            <v>0</v>
          </cell>
          <cell r="I362">
            <v>0</v>
          </cell>
          <cell r="J362">
            <v>0</v>
          </cell>
          <cell r="K362">
            <v>0</v>
          </cell>
          <cell r="L362">
            <v>0</v>
          </cell>
          <cell r="M362">
            <v>0</v>
          </cell>
          <cell r="N362">
            <v>0</v>
          </cell>
          <cell r="O362">
            <v>0</v>
          </cell>
        </row>
        <row r="363">
          <cell r="B363">
            <v>0</v>
          </cell>
          <cell r="C363">
            <v>0</v>
          </cell>
          <cell r="D363">
            <v>0</v>
          </cell>
          <cell r="E363">
            <v>0</v>
          </cell>
          <cell r="G363">
            <v>0</v>
          </cell>
          <cell r="H363">
            <v>0</v>
          </cell>
          <cell r="I363">
            <v>0</v>
          </cell>
          <cell r="J363">
            <v>0</v>
          </cell>
          <cell r="K363">
            <v>0</v>
          </cell>
          <cell r="L363">
            <v>0</v>
          </cell>
          <cell r="M363">
            <v>0</v>
          </cell>
          <cell r="N363">
            <v>0</v>
          </cell>
          <cell r="O363">
            <v>0</v>
          </cell>
        </row>
        <row r="364">
          <cell r="B364">
            <v>0</v>
          </cell>
          <cell r="C364">
            <v>0</v>
          </cell>
          <cell r="D364">
            <v>0</v>
          </cell>
          <cell r="E364">
            <v>0</v>
          </cell>
          <cell r="G364">
            <v>0</v>
          </cell>
          <cell r="H364">
            <v>0</v>
          </cell>
          <cell r="I364">
            <v>0</v>
          </cell>
          <cell r="J364">
            <v>0</v>
          </cell>
          <cell r="K364">
            <v>0</v>
          </cell>
          <cell r="L364">
            <v>0</v>
          </cell>
          <cell r="M364">
            <v>0</v>
          </cell>
          <cell r="N364">
            <v>0</v>
          </cell>
          <cell r="O364">
            <v>0</v>
          </cell>
        </row>
        <row r="365">
          <cell r="B365">
            <v>0</v>
          </cell>
          <cell r="C365">
            <v>0</v>
          </cell>
          <cell r="D365">
            <v>0</v>
          </cell>
          <cell r="E365">
            <v>0</v>
          </cell>
          <cell r="G365">
            <v>0</v>
          </cell>
          <cell r="H365">
            <v>0</v>
          </cell>
          <cell r="I365">
            <v>0</v>
          </cell>
          <cell r="J365">
            <v>0</v>
          </cell>
          <cell r="K365">
            <v>0</v>
          </cell>
          <cell r="L365">
            <v>0</v>
          </cell>
          <cell r="M365">
            <v>0</v>
          </cell>
          <cell r="N365">
            <v>0</v>
          </cell>
          <cell r="O365">
            <v>0</v>
          </cell>
        </row>
        <row r="366">
          <cell r="B366">
            <v>0</v>
          </cell>
          <cell r="C366">
            <v>0</v>
          </cell>
          <cell r="D366">
            <v>0</v>
          </cell>
          <cell r="E366">
            <v>0</v>
          </cell>
          <cell r="G366">
            <v>0</v>
          </cell>
          <cell r="H366">
            <v>0</v>
          </cell>
          <cell r="I366">
            <v>0</v>
          </cell>
          <cell r="J366">
            <v>0</v>
          </cell>
          <cell r="K366">
            <v>0</v>
          </cell>
          <cell r="L366">
            <v>0</v>
          </cell>
          <cell r="M366">
            <v>0</v>
          </cell>
          <cell r="N366">
            <v>0</v>
          </cell>
          <cell r="O366">
            <v>0</v>
          </cell>
        </row>
        <row r="367">
          <cell r="B367">
            <v>0</v>
          </cell>
          <cell r="C367">
            <v>0</v>
          </cell>
          <cell r="D367">
            <v>0</v>
          </cell>
          <cell r="E367">
            <v>0</v>
          </cell>
          <cell r="G367">
            <v>0</v>
          </cell>
          <cell r="H367">
            <v>0</v>
          </cell>
          <cell r="I367">
            <v>0</v>
          </cell>
          <cell r="J367">
            <v>0</v>
          </cell>
          <cell r="K367">
            <v>0</v>
          </cell>
          <cell r="L367">
            <v>0</v>
          </cell>
          <cell r="M367">
            <v>0</v>
          </cell>
          <cell r="N367">
            <v>0</v>
          </cell>
          <cell r="O367">
            <v>0</v>
          </cell>
        </row>
        <row r="368">
          <cell r="B368">
            <v>0</v>
          </cell>
          <cell r="C368">
            <v>0</v>
          </cell>
          <cell r="D368">
            <v>0</v>
          </cell>
          <cell r="E368">
            <v>0</v>
          </cell>
          <cell r="G368">
            <v>0</v>
          </cell>
          <cell r="H368">
            <v>0</v>
          </cell>
          <cell r="I368">
            <v>0</v>
          </cell>
          <cell r="J368">
            <v>0</v>
          </cell>
          <cell r="K368">
            <v>0</v>
          </cell>
          <cell r="L368">
            <v>0</v>
          </cell>
          <cell r="M368">
            <v>0</v>
          </cell>
          <cell r="N368">
            <v>0</v>
          </cell>
          <cell r="O368">
            <v>0</v>
          </cell>
        </row>
        <row r="369">
          <cell r="B369">
            <v>0</v>
          </cell>
          <cell r="C369">
            <v>0</v>
          </cell>
          <cell r="D369">
            <v>0</v>
          </cell>
          <cell r="E369">
            <v>0</v>
          </cell>
          <cell r="G369">
            <v>0</v>
          </cell>
          <cell r="H369">
            <v>0</v>
          </cell>
          <cell r="I369">
            <v>0</v>
          </cell>
          <cell r="J369">
            <v>0</v>
          </cell>
          <cell r="K369">
            <v>0</v>
          </cell>
          <cell r="L369">
            <v>0</v>
          </cell>
          <cell r="M369">
            <v>0</v>
          </cell>
          <cell r="N369">
            <v>0</v>
          </cell>
          <cell r="O369">
            <v>0</v>
          </cell>
        </row>
        <row r="370">
          <cell r="B370">
            <v>0</v>
          </cell>
          <cell r="C370">
            <v>0</v>
          </cell>
          <cell r="D370">
            <v>0</v>
          </cell>
          <cell r="E370">
            <v>0</v>
          </cell>
          <cell r="G370">
            <v>0</v>
          </cell>
          <cell r="H370">
            <v>0</v>
          </cell>
          <cell r="I370">
            <v>0</v>
          </cell>
          <cell r="J370">
            <v>0</v>
          </cell>
          <cell r="K370">
            <v>0</v>
          </cell>
          <cell r="L370">
            <v>0</v>
          </cell>
          <cell r="M370">
            <v>0</v>
          </cell>
          <cell r="N370">
            <v>0</v>
          </cell>
          <cell r="O370">
            <v>0</v>
          </cell>
        </row>
        <row r="371">
          <cell r="B371">
            <v>0</v>
          </cell>
          <cell r="C371">
            <v>0</v>
          </cell>
          <cell r="D371">
            <v>0</v>
          </cell>
          <cell r="E371">
            <v>0</v>
          </cell>
          <cell r="G371">
            <v>0</v>
          </cell>
          <cell r="H371">
            <v>0</v>
          </cell>
          <cell r="I371">
            <v>0</v>
          </cell>
          <cell r="J371">
            <v>0</v>
          </cell>
          <cell r="K371">
            <v>0</v>
          </cell>
          <cell r="L371">
            <v>0</v>
          </cell>
          <cell r="M371">
            <v>0</v>
          </cell>
          <cell r="N371">
            <v>0</v>
          </cell>
          <cell r="O371">
            <v>0</v>
          </cell>
        </row>
        <row r="372">
          <cell r="B372">
            <v>0</v>
          </cell>
          <cell r="C372">
            <v>0</v>
          </cell>
          <cell r="D372">
            <v>0</v>
          </cell>
          <cell r="E372">
            <v>0</v>
          </cell>
          <cell r="G372">
            <v>0</v>
          </cell>
          <cell r="H372">
            <v>0</v>
          </cell>
          <cell r="I372">
            <v>0</v>
          </cell>
          <cell r="J372">
            <v>0</v>
          </cell>
          <cell r="K372">
            <v>0</v>
          </cell>
          <cell r="L372">
            <v>0</v>
          </cell>
          <cell r="M372">
            <v>0</v>
          </cell>
          <cell r="N372">
            <v>0</v>
          </cell>
          <cell r="O372">
            <v>0</v>
          </cell>
        </row>
        <row r="373">
          <cell r="B373">
            <v>0</v>
          </cell>
          <cell r="C373">
            <v>0</v>
          </cell>
          <cell r="D373">
            <v>0</v>
          </cell>
          <cell r="E373">
            <v>0</v>
          </cell>
          <cell r="G373">
            <v>0</v>
          </cell>
          <cell r="H373">
            <v>0</v>
          </cell>
          <cell r="I373">
            <v>0</v>
          </cell>
          <cell r="J373">
            <v>0</v>
          </cell>
          <cell r="K373">
            <v>0</v>
          </cell>
          <cell r="L373">
            <v>0</v>
          </cell>
          <cell r="M373">
            <v>0</v>
          </cell>
          <cell r="N373">
            <v>0</v>
          </cell>
          <cell r="O373">
            <v>0</v>
          </cell>
        </row>
        <row r="374">
          <cell r="B374">
            <v>0</v>
          </cell>
          <cell r="C374">
            <v>0</v>
          </cell>
          <cell r="D374">
            <v>0</v>
          </cell>
          <cell r="E374">
            <v>0</v>
          </cell>
          <cell r="G374">
            <v>0</v>
          </cell>
          <cell r="H374">
            <v>0</v>
          </cell>
          <cell r="I374">
            <v>0</v>
          </cell>
          <cell r="J374">
            <v>0</v>
          </cell>
          <cell r="K374">
            <v>0</v>
          </cell>
          <cell r="L374">
            <v>0</v>
          </cell>
          <cell r="M374">
            <v>0</v>
          </cell>
          <cell r="N374">
            <v>0</v>
          </cell>
          <cell r="O374">
            <v>0</v>
          </cell>
        </row>
        <row r="375">
          <cell r="B375">
            <v>0</v>
          </cell>
          <cell r="C375">
            <v>0</v>
          </cell>
          <cell r="D375">
            <v>0</v>
          </cell>
          <cell r="E375">
            <v>0</v>
          </cell>
          <cell r="G375">
            <v>0</v>
          </cell>
          <cell r="H375">
            <v>0</v>
          </cell>
          <cell r="I375">
            <v>0</v>
          </cell>
          <cell r="J375">
            <v>0</v>
          </cell>
          <cell r="K375">
            <v>0</v>
          </cell>
          <cell r="L375">
            <v>0</v>
          </cell>
          <cell r="M375">
            <v>0</v>
          </cell>
          <cell r="N375">
            <v>0</v>
          </cell>
          <cell r="O375">
            <v>0</v>
          </cell>
        </row>
        <row r="376">
          <cell r="B376">
            <v>0</v>
          </cell>
          <cell r="C376">
            <v>0</v>
          </cell>
          <cell r="D376">
            <v>0</v>
          </cell>
          <cell r="E376">
            <v>0</v>
          </cell>
          <cell r="G376">
            <v>0</v>
          </cell>
          <cell r="H376">
            <v>0</v>
          </cell>
          <cell r="I376">
            <v>0</v>
          </cell>
          <cell r="J376">
            <v>0</v>
          </cell>
          <cell r="K376">
            <v>0</v>
          </cell>
          <cell r="L376">
            <v>0</v>
          </cell>
          <cell r="M376">
            <v>0</v>
          </cell>
          <cell r="N376">
            <v>0</v>
          </cell>
          <cell r="O376">
            <v>0</v>
          </cell>
        </row>
        <row r="377">
          <cell r="B377">
            <v>0</v>
          </cell>
          <cell r="C377">
            <v>0</v>
          </cell>
          <cell r="D377">
            <v>0</v>
          </cell>
          <cell r="E377">
            <v>0</v>
          </cell>
          <cell r="G377">
            <v>0</v>
          </cell>
          <cell r="H377">
            <v>0</v>
          </cell>
          <cell r="I377">
            <v>0</v>
          </cell>
          <cell r="J377">
            <v>0</v>
          </cell>
          <cell r="K377">
            <v>0</v>
          </cell>
          <cell r="L377">
            <v>0</v>
          </cell>
          <cell r="M377">
            <v>0</v>
          </cell>
          <cell r="N377">
            <v>0</v>
          </cell>
          <cell r="O377">
            <v>0</v>
          </cell>
        </row>
        <row r="378">
          <cell r="B378">
            <v>0</v>
          </cell>
          <cell r="C378">
            <v>0</v>
          </cell>
          <cell r="D378">
            <v>0</v>
          </cell>
          <cell r="E378">
            <v>0</v>
          </cell>
          <cell r="G378">
            <v>0</v>
          </cell>
          <cell r="H378">
            <v>0</v>
          </cell>
          <cell r="I378">
            <v>0</v>
          </cell>
          <cell r="J378">
            <v>0</v>
          </cell>
          <cell r="K378">
            <v>0</v>
          </cell>
          <cell r="L378">
            <v>0</v>
          </cell>
          <cell r="M378">
            <v>0</v>
          </cell>
          <cell r="N378">
            <v>0</v>
          </cell>
          <cell r="O378">
            <v>0</v>
          </cell>
        </row>
        <row r="379">
          <cell r="B379">
            <v>0</v>
          </cell>
          <cell r="C379">
            <v>0</v>
          </cell>
          <cell r="D379">
            <v>0</v>
          </cell>
          <cell r="E379">
            <v>0</v>
          </cell>
          <cell r="G379">
            <v>0</v>
          </cell>
          <cell r="H379">
            <v>0</v>
          </cell>
          <cell r="I379">
            <v>0</v>
          </cell>
          <cell r="J379">
            <v>0</v>
          </cell>
          <cell r="K379">
            <v>0</v>
          </cell>
          <cell r="L379">
            <v>0</v>
          </cell>
          <cell r="M379">
            <v>0</v>
          </cell>
          <cell r="N379">
            <v>0</v>
          </cell>
          <cell r="O379">
            <v>0</v>
          </cell>
        </row>
        <row r="380">
          <cell r="B380">
            <v>0</v>
          </cell>
          <cell r="C380">
            <v>0</v>
          </cell>
          <cell r="D380">
            <v>0</v>
          </cell>
          <cell r="E380">
            <v>0</v>
          </cell>
          <cell r="G380">
            <v>0</v>
          </cell>
          <cell r="H380">
            <v>0</v>
          </cell>
          <cell r="I380">
            <v>0</v>
          </cell>
          <cell r="J380">
            <v>0</v>
          </cell>
          <cell r="K380">
            <v>0</v>
          </cell>
          <cell r="L380">
            <v>0</v>
          </cell>
          <cell r="M380">
            <v>0</v>
          </cell>
          <cell r="N380">
            <v>0</v>
          </cell>
          <cell r="O380">
            <v>0</v>
          </cell>
        </row>
        <row r="381">
          <cell r="B381">
            <v>0</v>
          </cell>
          <cell r="C381">
            <v>0</v>
          </cell>
          <cell r="D381">
            <v>0</v>
          </cell>
          <cell r="E381">
            <v>0</v>
          </cell>
          <cell r="G381">
            <v>0</v>
          </cell>
          <cell r="H381">
            <v>0</v>
          </cell>
          <cell r="I381">
            <v>0</v>
          </cell>
          <cell r="J381">
            <v>0</v>
          </cell>
          <cell r="K381">
            <v>0</v>
          </cell>
          <cell r="L381">
            <v>0</v>
          </cell>
          <cell r="M381">
            <v>0</v>
          </cell>
          <cell r="N381">
            <v>0</v>
          </cell>
          <cell r="O381">
            <v>0</v>
          </cell>
        </row>
        <row r="382">
          <cell r="B382">
            <v>0</v>
          </cell>
          <cell r="C382">
            <v>0</v>
          </cell>
          <cell r="D382">
            <v>0</v>
          </cell>
          <cell r="E382">
            <v>0</v>
          </cell>
          <cell r="G382">
            <v>0</v>
          </cell>
          <cell r="H382">
            <v>0</v>
          </cell>
          <cell r="I382">
            <v>0</v>
          </cell>
          <cell r="J382">
            <v>0</v>
          </cell>
          <cell r="K382">
            <v>0</v>
          </cell>
          <cell r="L382">
            <v>0</v>
          </cell>
          <cell r="M382">
            <v>0</v>
          </cell>
          <cell r="N382">
            <v>0</v>
          </cell>
          <cell r="O382">
            <v>0</v>
          </cell>
        </row>
        <row r="383">
          <cell r="B383">
            <v>0</v>
          </cell>
          <cell r="C383">
            <v>0</v>
          </cell>
          <cell r="D383">
            <v>0</v>
          </cell>
          <cell r="E383">
            <v>0</v>
          </cell>
          <cell r="G383">
            <v>0</v>
          </cell>
          <cell r="H383">
            <v>0</v>
          </cell>
          <cell r="I383">
            <v>0</v>
          </cell>
          <cell r="J383">
            <v>0</v>
          </cell>
          <cell r="K383">
            <v>0</v>
          </cell>
          <cell r="L383">
            <v>0</v>
          </cell>
          <cell r="M383">
            <v>0</v>
          </cell>
          <cell r="N383">
            <v>0</v>
          </cell>
          <cell r="O383">
            <v>0</v>
          </cell>
        </row>
        <row r="384">
          <cell r="B384">
            <v>0</v>
          </cell>
          <cell r="C384">
            <v>0</v>
          </cell>
          <cell r="D384">
            <v>0</v>
          </cell>
          <cell r="E384">
            <v>0</v>
          </cell>
          <cell r="G384">
            <v>0</v>
          </cell>
          <cell r="H384">
            <v>0</v>
          </cell>
          <cell r="I384">
            <v>0</v>
          </cell>
          <cell r="J384">
            <v>0</v>
          </cell>
          <cell r="K384">
            <v>0</v>
          </cell>
          <cell r="L384">
            <v>0</v>
          </cell>
          <cell r="M384">
            <v>0</v>
          </cell>
          <cell r="N384">
            <v>0</v>
          </cell>
          <cell r="O384">
            <v>0</v>
          </cell>
        </row>
        <row r="385">
          <cell r="B385">
            <v>0</v>
          </cell>
          <cell r="C385">
            <v>0</v>
          </cell>
          <cell r="D385">
            <v>0</v>
          </cell>
          <cell r="E385">
            <v>0</v>
          </cell>
          <cell r="G385">
            <v>0</v>
          </cell>
          <cell r="H385">
            <v>0</v>
          </cell>
          <cell r="I385">
            <v>0</v>
          </cell>
          <cell r="J385">
            <v>0</v>
          </cell>
          <cell r="K385">
            <v>0</v>
          </cell>
          <cell r="L385">
            <v>0</v>
          </cell>
          <cell r="M385">
            <v>0</v>
          </cell>
          <cell r="N385">
            <v>0</v>
          </cell>
          <cell r="O385">
            <v>0</v>
          </cell>
        </row>
        <row r="386">
          <cell r="B386">
            <v>0</v>
          </cell>
          <cell r="C386">
            <v>0</v>
          </cell>
          <cell r="D386">
            <v>0</v>
          </cell>
          <cell r="E386">
            <v>0</v>
          </cell>
          <cell r="G386">
            <v>0</v>
          </cell>
          <cell r="H386">
            <v>0</v>
          </cell>
          <cell r="I386">
            <v>0</v>
          </cell>
          <cell r="J386">
            <v>0</v>
          </cell>
          <cell r="K386">
            <v>0</v>
          </cell>
          <cell r="L386">
            <v>0</v>
          </cell>
          <cell r="M386">
            <v>0</v>
          </cell>
          <cell r="N386">
            <v>0</v>
          </cell>
          <cell r="O386">
            <v>0</v>
          </cell>
        </row>
        <row r="387">
          <cell r="B387">
            <v>0</v>
          </cell>
          <cell r="C387">
            <v>0</v>
          </cell>
          <cell r="D387">
            <v>0</v>
          </cell>
          <cell r="E387">
            <v>0</v>
          </cell>
          <cell r="G387">
            <v>0</v>
          </cell>
          <cell r="H387">
            <v>0</v>
          </cell>
          <cell r="I387">
            <v>0</v>
          </cell>
          <cell r="J387">
            <v>0</v>
          </cell>
          <cell r="K387">
            <v>0</v>
          </cell>
          <cell r="L387">
            <v>0</v>
          </cell>
          <cell r="M387">
            <v>0</v>
          </cell>
          <cell r="N387">
            <v>0</v>
          </cell>
          <cell r="O387">
            <v>0</v>
          </cell>
        </row>
        <row r="388">
          <cell r="B388">
            <v>0</v>
          </cell>
          <cell r="C388">
            <v>0</v>
          </cell>
          <cell r="D388">
            <v>0</v>
          </cell>
          <cell r="E388">
            <v>0</v>
          </cell>
          <cell r="G388">
            <v>0</v>
          </cell>
          <cell r="H388">
            <v>0</v>
          </cell>
          <cell r="I388">
            <v>0</v>
          </cell>
          <cell r="J388">
            <v>0</v>
          </cell>
          <cell r="K388">
            <v>0</v>
          </cell>
          <cell r="L388">
            <v>0</v>
          </cell>
          <cell r="M388">
            <v>0</v>
          </cell>
          <cell r="N388">
            <v>0</v>
          </cell>
          <cell r="O388">
            <v>0</v>
          </cell>
        </row>
        <row r="389">
          <cell r="B389">
            <v>0</v>
          </cell>
          <cell r="C389">
            <v>0</v>
          </cell>
          <cell r="D389">
            <v>0</v>
          </cell>
          <cell r="E389">
            <v>0</v>
          </cell>
          <cell r="G389">
            <v>0</v>
          </cell>
          <cell r="H389">
            <v>0</v>
          </cell>
          <cell r="I389">
            <v>0</v>
          </cell>
          <cell r="J389">
            <v>0</v>
          </cell>
          <cell r="K389">
            <v>0</v>
          </cell>
          <cell r="L389">
            <v>0</v>
          </cell>
          <cell r="M389">
            <v>0</v>
          </cell>
          <cell r="N389">
            <v>0</v>
          </cell>
          <cell r="O389">
            <v>0</v>
          </cell>
        </row>
        <row r="390">
          <cell r="B390">
            <v>0</v>
          </cell>
          <cell r="C390">
            <v>0</v>
          </cell>
          <cell r="D390">
            <v>0</v>
          </cell>
          <cell r="E390">
            <v>0</v>
          </cell>
          <cell r="G390">
            <v>0</v>
          </cell>
          <cell r="H390">
            <v>0</v>
          </cell>
          <cell r="I390">
            <v>0</v>
          </cell>
          <cell r="J390">
            <v>0</v>
          </cell>
          <cell r="K390">
            <v>0</v>
          </cell>
          <cell r="L390">
            <v>0</v>
          </cell>
          <cell r="M390">
            <v>0</v>
          </cell>
          <cell r="N390">
            <v>0</v>
          </cell>
          <cell r="O390">
            <v>0</v>
          </cell>
        </row>
        <row r="391">
          <cell r="B391">
            <v>0</v>
          </cell>
          <cell r="C391">
            <v>0</v>
          </cell>
          <cell r="D391">
            <v>0</v>
          </cell>
          <cell r="E391">
            <v>0</v>
          </cell>
          <cell r="G391">
            <v>0</v>
          </cell>
          <cell r="H391">
            <v>0</v>
          </cell>
          <cell r="I391">
            <v>0</v>
          </cell>
          <cell r="J391">
            <v>0</v>
          </cell>
          <cell r="K391">
            <v>0</v>
          </cell>
          <cell r="L391">
            <v>0</v>
          </cell>
          <cell r="M391">
            <v>0</v>
          </cell>
          <cell r="N391">
            <v>0</v>
          </cell>
          <cell r="O391">
            <v>0</v>
          </cell>
        </row>
        <row r="392">
          <cell r="B392">
            <v>0</v>
          </cell>
          <cell r="C392">
            <v>0</v>
          </cell>
          <cell r="D392">
            <v>0</v>
          </cell>
          <cell r="E392">
            <v>0</v>
          </cell>
          <cell r="G392">
            <v>0</v>
          </cell>
          <cell r="H392">
            <v>0</v>
          </cell>
          <cell r="I392">
            <v>0</v>
          </cell>
          <cell r="J392">
            <v>0</v>
          </cell>
          <cell r="K392">
            <v>0</v>
          </cell>
          <cell r="L392">
            <v>0</v>
          </cell>
          <cell r="M392">
            <v>0</v>
          </cell>
          <cell r="N392">
            <v>0</v>
          </cell>
          <cell r="O392">
            <v>0</v>
          </cell>
        </row>
        <row r="393">
          <cell r="B393">
            <v>0</v>
          </cell>
          <cell r="C393">
            <v>0</v>
          </cell>
          <cell r="D393">
            <v>0</v>
          </cell>
          <cell r="E393">
            <v>0</v>
          </cell>
          <cell r="G393">
            <v>0</v>
          </cell>
          <cell r="H393">
            <v>0</v>
          </cell>
          <cell r="I393">
            <v>0</v>
          </cell>
          <cell r="J393">
            <v>0</v>
          </cell>
          <cell r="K393">
            <v>0</v>
          </cell>
          <cell r="L393">
            <v>0</v>
          </cell>
          <cell r="M393">
            <v>0</v>
          </cell>
          <cell r="N393">
            <v>0</v>
          </cell>
          <cell r="O393">
            <v>0</v>
          </cell>
        </row>
        <row r="394">
          <cell r="B394">
            <v>0</v>
          </cell>
          <cell r="C394">
            <v>0</v>
          </cell>
          <cell r="D394">
            <v>0</v>
          </cell>
          <cell r="E394">
            <v>0</v>
          </cell>
          <cell r="G394">
            <v>0</v>
          </cell>
          <cell r="H394">
            <v>0</v>
          </cell>
          <cell r="I394">
            <v>0</v>
          </cell>
          <cell r="J394">
            <v>0</v>
          </cell>
          <cell r="K394">
            <v>0</v>
          </cell>
          <cell r="L394">
            <v>0</v>
          </cell>
          <cell r="M394">
            <v>0</v>
          </cell>
          <cell r="N394">
            <v>0</v>
          </cell>
          <cell r="O394">
            <v>0</v>
          </cell>
        </row>
        <row r="395">
          <cell r="B395">
            <v>0</v>
          </cell>
          <cell r="C395">
            <v>0</v>
          </cell>
          <cell r="D395">
            <v>0</v>
          </cell>
          <cell r="E395">
            <v>0</v>
          </cell>
          <cell r="G395">
            <v>0</v>
          </cell>
          <cell r="H395">
            <v>0</v>
          </cell>
          <cell r="I395">
            <v>0</v>
          </cell>
          <cell r="J395">
            <v>0</v>
          </cell>
          <cell r="K395">
            <v>0</v>
          </cell>
          <cell r="L395">
            <v>0</v>
          </cell>
          <cell r="M395">
            <v>0</v>
          </cell>
          <cell r="N395">
            <v>0</v>
          </cell>
          <cell r="O395">
            <v>0</v>
          </cell>
        </row>
        <row r="396">
          <cell r="B396">
            <v>0</v>
          </cell>
          <cell r="C396">
            <v>0</v>
          </cell>
          <cell r="D396">
            <v>0</v>
          </cell>
          <cell r="E396">
            <v>0</v>
          </cell>
          <cell r="G396">
            <v>0</v>
          </cell>
          <cell r="H396">
            <v>0</v>
          </cell>
          <cell r="I396">
            <v>0</v>
          </cell>
          <cell r="J396">
            <v>0</v>
          </cell>
          <cell r="K396">
            <v>0</v>
          </cell>
          <cell r="L396">
            <v>0</v>
          </cell>
          <cell r="M396">
            <v>0</v>
          </cell>
          <cell r="N396">
            <v>0</v>
          </cell>
          <cell r="O396">
            <v>0</v>
          </cell>
        </row>
        <row r="397">
          <cell r="B397">
            <v>0</v>
          </cell>
          <cell r="C397">
            <v>0</v>
          </cell>
          <cell r="D397">
            <v>0</v>
          </cell>
          <cell r="E397">
            <v>0</v>
          </cell>
          <cell r="G397">
            <v>0</v>
          </cell>
          <cell r="H397">
            <v>0</v>
          </cell>
          <cell r="I397">
            <v>0</v>
          </cell>
          <cell r="J397">
            <v>0</v>
          </cell>
          <cell r="K397">
            <v>0</v>
          </cell>
          <cell r="L397">
            <v>0</v>
          </cell>
          <cell r="M397">
            <v>0</v>
          </cell>
          <cell r="N397">
            <v>0</v>
          </cell>
          <cell r="O397">
            <v>0</v>
          </cell>
        </row>
        <row r="398">
          <cell r="B398">
            <v>0</v>
          </cell>
          <cell r="C398">
            <v>0</v>
          </cell>
          <cell r="D398">
            <v>0</v>
          </cell>
          <cell r="E398">
            <v>0</v>
          </cell>
          <cell r="G398">
            <v>0</v>
          </cell>
          <cell r="H398">
            <v>0</v>
          </cell>
          <cell r="I398">
            <v>0</v>
          </cell>
          <cell r="J398">
            <v>0</v>
          </cell>
          <cell r="K398">
            <v>0</v>
          </cell>
          <cell r="L398">
            <v>0</v>
          </cell>
          <cell r="M398">
            <v>0</v>
          </cell>
          <cell r="N398">
            <v>0</v>
          </cell>
          <cell r="O398">
            <v>0</v>
          </cell>
        </row>
        <row r="399">
          <cell r="B399">
            <v>0</v>
          </cell>
          <cell r="C399">
            <v>0</v>
          </cell>
          <cell r="D399">
            <v>0</v>
          </cell>
          <cell r="E399">
            <v>0</v>
          </cell>
          <cell r="G399">
            <v>0</v>
          </cell>
          <cell r="H399">
            <v>0</v>
          </cell>
          <cell r="I399">
            <v>0</v>
          </cell>
          <cell r="J399">
            <v>0</v>
          </cell>
          <cell r="K399">
            <v>0</v>
          </cell>
          <cell r="L399">
            <v>0</v>
          </cell>
          <cell r="M399">
            <v>0</v>
          </cell>
          <cell r="N399">
            <v>0</v>
          </cell>
          <cell r="O399">
            <v>0</v>
          </cell>
        </row>
        <row r="400">
          <cell r="B400">
            <v>0</v>
          </cell>
          <cell r="C400">
            <v>0</v>
          </cell>
          <cell r="D400">
            <v>0</v>
          </cell>
          <cell r="E400">
            <v>0</v>
          </cell>
          <cell r="G400">
            <v>0</v>
          </cell>
          <cell r="H400">
            <v>0</v>
          </cell>
          <cell r="I400">
            <v>0</v>
          </cell>
          <cell r="J400">
            <v>0</v>
          </cell>
          <cell r="K400">
            <v>0</v>
          </cell>
          <cell r="L400">
            <v>0</v>
          </cell>
          <cell r="M400">
            <v>0</v>
          </cell>
          <cell r="N400">
            <v>0</v>
          </cell>
          <cell r="O400">
            <v>0</v>
          </cell>
        </row>
        <row r="401">
          <cell r="B401">
            <v>0</v>
          </cell>
          <cell r="C401">
            <v>0</v>
          </cell>
          <cell r="D401">
            <v>0</v>
          </cell>
          <cell r="E401">
            <v>0</v>
          </cell>
          <cell r="G401">
            <v>0</v>
          </cell>
          <cell r="H401">
            <v>0</v>
          </cell>
          <cell r="I401">
            <v>0</v>
          </cell>
          <cell r="J401">
            <v>0</v>
          </cell>
          <cell r="K401">
            <v>0</v>
          </cell>
          <cell r="L401">
            <v>0</v>
          </cell>
          <cell r="M401">
            <v>0</v>
          </cell>
          <cell r="N401">
            <v>0</v>
          </cell>
          <cell r="O401">
            <v>0</v>
          </cell>
        </row>
        <row r="402">
          <cell r="B402">
            <v>0</v>
          </cell>
          <cell r="C402">
            <v>0</v>
          </cell>
          <cell r="D402">
            <v>0</v>
          </cell>
          <cell r="E402">
            <v>0</v>
          </cell>
          <cell r="G402">
            <v>0</v>
          </cell>
          <cell r="H402">
            <v>0</v>
          </cell>
          <cell r="I402">
            <v>0</v>
          </cell>
          <cell r="J402">
            <v>0</v>
          </cell>
          <cell r="K402">
            <v>0</v>
          </cell>
          <cell r="L402">
            <v>0</v>
          </cell>
          <cell r="M402">
            <v>0</v>
          </cell>
          <cell r="N402">
            <v>0</v>
          </cell>
          <cell r="O402">
            <v>0</v>
          </cell>
        </row>
        <row r="403">
          <cell r="B403">
            <v>0</v>
          </cell>
          <cell r="C403">
            <v>0</v>
          </cell>
          <cell r="D403">
            <v>0</v>
          </cell>
          <cell r="E403">
            <v>0</v>
          </cell>
          <cell r="G403">
            <v>0</v>
          </cell>
          <cell r="H403">
            <v>0</v>
          </cell>
          <cell r="I403">
            <v>0</v>
          </cell>
          <cell r="J403">
            <v>0</v>
          </cell>
          <cell r="K403">
            <v>0</v>
          </cell>
          <cell r="L403">
            <v>0</v>
          </cell>
          <cell r="M403">
            <v>0</v>
          </cell>
          <cell r="N403">
            <v>0</v>
          </cell>
          <cell r="O403">
            <v>0</v>
          </cell>
        </row>
        <row r="404">
          <cell r="B404">
            <v>0</v>
          </cell>
          <cell r="C404">
            <v>0</v>
          </cell>
          <cell r="D404">
            <v>0</v>
          </cell>
          <cell r="E404">
            <v>0</v>
          </cell>
          <cell r="G404">
            <v>0</v>
          </cell>
          <cell r="H404">
            <v>0</v>
          </cell>
          <cell r="I404">
            <v>0</v>
          </cell>
          <cell r="J404">
            <v>0</v>
          </cell>
          <cell r="K404">
            <v>0</v>
          </cell>
          <cell r="L404">
            <v>0</v>
          </cell>
          <cell r="M404">
            <v>0</v>
          </cell>
          <cell r="N404">
            <v>0</v>
          </cell>
          <cell r="O404">
            <v>0</v>
          </cell>
        </row>
        <row r="405">
          <cell r="B405">
            <v>0</v>
          </cell>
          <cell r="C405">
            <v>0</v>
          </cell>
          <cell r="D405">
            <v>0</v>
          </cell>
          <cell r="E405">
            <v>0</v>
          </cell>
          <cell r="G405">
            <v>0</v>
          </cell>
          <cell r="H405">
            <v>0</v>
          </cell>
          <cell r="I405">
            <v>0</v>
          </cell>
          <cell r="J405">
            <v>0</v>
          </cell>
          <cell r="K405">
            <v>0</v>
          </cell>
          <cell r="L405">
            <v>0</v>
          </cell>
          <cell r="M405">
            <v>0</v>
          </cell>
          <cell r="N405">
            <v>0</v>
          </cell>
          <cell r="O405">
            <v>0</v>
          </cell>
        </row>
        <row r="406">
          <cell r="B406">
            <v>0</v>
          </cell>
          <cell r="C406">
            <v>0</v>
          </cell>
          <cell r="D406">
            <v>0</v>
          </cell>
          <cell r="E406">
            <v>0</v>
          </cell>
          <cell r="G406">
            <v>0</v>
          </cell>
          <cell r="H406">
            <v>0</v>
          </cell>
          <cell r="I406">
            <v>0</v>
          </cell>
          <cell r="J406">
            <v>0</v>
          </cell>
          <cell r="K406">
            <v>0</v>
          </cell>
          <cell r="L406">
            <v>0</v>
          </cell>
          <cell r="M406">
            <v>0</v>
          </cell>
          <cell r="N406">
            <v>0</v>
          </cell>
          <cell r="O406">
            <v>0</v>
          </cell>
        </row>
        <row r="407">
          <cell r="B407">
            <v>0</v>
          </cell>
          <cell r="C407">
            <v>0</v>
          </cell>
          <cell r="D407">
            <v>0</v>
          </cell>
          <cell r="E407">
            <v>0</v>
          </cell>
          <cell r="G407">
            <v>0</v>
          </cell>
          <cell r="H407">
            <v>0</v>
          </cell>
          <cell r="I407">
            <v>0</v>
          </cell>
          <cell r="J407">
            <v>0</v>
          </cell>
          <cell r="K407">
            <v>0</v>
          </cell>
          <cell r="L407">
            <v>0</v>
          </cell>
          <cell r="M407">
            <v>0</v>
          </cell>
          <cell r="N407">
            <v>0</v>
          </cell>
          <cell r="O407">
            <v>0</v>
          </cell>
        </row>
        <row r="408">
          <cell r="B408">
            <v>0</v>
          </cell>
          <cell r="C408">
            <v>0</v>
          </cell>
          <cell r="D408">
            <v>0</v>
          </cell>
          <cell r="E408">
            <v>0</v>
          </cell>
          <cell r="G408">
            <v>0</v>
          </cell>
          <cell r="H408">
            <v>0</v>
          </cell>
          <cell r="I408">
            <v>0</v>
          </cell>
          <cell r="J408">
            <v>0</v>
          </cell>
          <cell r="K408">
            <v>0</v>
          </cell>
          <cell r="L408">
            <v>0</v>
          </cell>
          <cell r="M408">
            <v>0</v>
          </cell>
          <cell r="N408">
            <v>0</v>
          </cell>
          <cell r="O408">
            <v>0</v>
          </cell>
        </row>
        <row r="409">
          <cell r="B409">
            <v>0</v>
          </cell>
          <cell r="C409">
            <v>0</v>
          </cell>
          <cell r="D409">
            <v>0</v>
          </cell>
          <cell r="E409">
            <v>0</v>
          </cell>
          <cell r="G409">
            <v>0</v>
          </cell>
          <cell r="H409">
            <v>0</v>
          </cell>
          <cell r="I409">
            <v>0</v>
          </cell>
          <cell r="J409">
            <v>0</v>
          </cell>
          <cell r="K409">
            <v>0</v>
          </cell>
          <cell r="L409">
            <v>0</v>
          </cell>
          <cell r="M409">
            <v>0</v>
          </cell>
          <cell r="N409">
            <v>0</v>
          </cell>
          <cell r="O409">
            <v>0</v>
          </cell>
        </row>
        <row r="410">
          <cell r="B410">
            <v>0</v>
          </cell>
          <cell r="C410">
            <v>0</v>
          </cell>
          <cell r="D410">
            <v>0</v>
          </cell>
          <cell r="E410">
            <v>0</v>
          </cell>
          <cell r="G410">
            <v>0</v>
          </cell>
          <cell r="H410">
            <v>0</v>
          </cell>
          <cell r="I410">
            <v>0</v>
          </cell>
          <cell r="J410">
            <v>0</v>
          </cell>
          <cell r="K410">
            <v>0</v>
          </cell>
          <cell r="L410">
            <v>0</v>
          </cell>
          <cell r="M410">
            <v>0</v>
          </cell>
          <cell r="N410">
            <v>0</v>
          </cell>
          <cell r="O410">
            <v>0</v>
          </cell>
        </row>
        <row r="411">
          <cell r="B411">
            <v>0</v>
          </cell>
          <cell r="C411">
            <v>0</v>
          </cell>
          <cell r="D411">
            <v>0</v>
          </cell>
          <cell r="E411">
            <v>0</v>
          </cell>
          <cell r="G411">
            <v>0</v>
          </cell>
          <cell r="H411">
            <v>0</v>
          </cell>
          <cell r="I411">
            <v>0</v>
          </cell>
          <cell r="J411">
            <v>0</v>
          </cell>
          <cell r="K411">
            <v>0</v>
          </cell>
          <cell r="L411">
            <v>0</v>
          </cell>
          <cell r="M411">
            <v>0</v>
          </cell>
          <cell r="N411">
            <v>0</v>
          </cell>
          <cell r="O411">
            <v>0</v>
          </cell>
        </row>
        <row r="412">
          <cell r="B412">
            <v>0</v>
          </cell>
          <cell r="C412">
            <v>0</v>
          </cell>
          <cell r="D412">
            <v>0</v>
          </cell>
          <cell r="E412">
            <v>0</v>
          </cell>
          <cell r="G412">
            <v>0</v>
          </cell>
          <cell r="H412">
            <v>0</v>
          </cell>
          <cell r="I412">
            <v>0</v>
          </cell>
          <cell r="J412">
            <v>0</v>
          </cell>
          <cell r="K412">
            <v>0</v>
          </cell>
          <cell r="L412">
            <v>0</v>
          </cell>
          <cell r="M412">
            <v>0</v>
          </cell>
          <cell r="N412">
            <v>0</v>
          </cell>
          <cell r="O412">
            <v>0</v>
          </cell>
        </row>
        <row r="413">
          <cell r="B413">
            <v>0</v>
          </cell>
          <cell r="C413">
            <v>0</v>
          </cell>
          <cell r="D413">
            <v>0</v>
          </cell>
          <cell r="E413">
            <v>0</v>
          </cell>
          <cell r="G413">
            <v>0</v>
          </cell>
          <cell r="H413">
            <v>0</v>
          </cell>
          <cell r="I413">
            <v>0</v>
          </cell>
          <cell r="J413">
            <v>0</v>
          </cell>
          <cell r="K413">
            <v>0</v>
          </cell>
          <cell r="L413">
            <v>0</v>
          </cell>
          <cell r="M413">
            <v>0</v>
          </cell>
          <cell r="N413">
            <v>0</v>
          </cell>
          <cell r="O413">
            <v>0</v>
          </cell>
        </row>
        <row r="414">
          <cell r="B414">
            <v>0</v>
          </cell>
          <cell r="C414">
            <v>0</v>
          </cell>
          <cell r="D414">
            <v>0</v>
          </cell>
          <cell r="E414">
            <v>0</v>
          </cell>
          <cell r="G414">
            <v>0</v>
          </cell>
          <cell r="H414">
            <v>0</v>
          </cell>
          <cell r="I414">
            <v>0</v>
          </cell>
          <cell r="J414">
            <v>0</v>
          </cell>
          <cell r="K414">
            <v>0</v>
          </cell>
          <cell r="L414">
            <v>0</v>
          </cell>
          <cell r="M414">
            <v>0</v>
          </cell>
          <cell r="N414">
            <v>0</v>
          </cell>
          <cell r="O414">
            <v>0</v>
          </cell>
        </row>
        <row r="415">
          <cell r="B415">
            <v>0</v>
          </cell>
          <cell r="C415">
            <v>0</v>
          </cell>
          <cell r="D415">
            <v>0</v>
          </cell>
          <cell r="E415">
            <v>0</v>
          </cell>
          <cell r="G415">
            <v>0</v>
          </cell>
          <cell r="H415">
            <v>0</v>
          </cell>
          <cell r="I415">
            <v>0</v>
          </cell>
          <cell r="J415">
            <v>0</v>
          </cell>
          <cell r="K415">
            <v>0</v>
          </cell>
          <cell r="L415">
            <v>0</v>
          </cell>
          <cell r="M415">
            <v>0</v>
          </cell>
          <cell r="N415">
            <v>0</v>
          </cell>
          <cell r="O415">
            <v>0</v>
          </cell>
        </row>
        <row r="416">
          <cell r="B416">
            <v>0</v>
          </cell>
          <cell r="C416">
            <v>0</v>
          </cell>
          <cell r="D416">
            <v>0</v>
          </cell>
          <cell r="E416">
            <v>0</v>
          </cell>
          <cell r="G416">
            <v>0</v>
          </cell>
          <cell r="H416">
            <v>0</v>
          </cell>
          <cell r="I416">
            <v>0</v>
          </cell>
          <cell r="J416">
            <v>0</v>
          </cell>
          <cell r="K416">
            <v>0</v>
          </cell>
          <cell r="L416">
            <v>0</v>
          </cell>
          <cell r="M416">
            <v>0</v>
          </cell>
          <cell r="N416">
            <v>0</v>
          </cell>
          <cell r="O416">
            <v>0</v>
          </cell>
        </row>
        <row r="417">
          <cell r="B417">
            <v>0</v>
          </cell>
          <cell r="C417">
            <v>0</v>
          </cell>
          <cell r="D417">
            <v>0</v>
          </cell>
          <cell r="E417">
            <v>0</v>
          </cell>
          <cell r="G417">
            <v>0</v>
          </cell>
          <cell r="H417">
            <v>0</v>
          </cell>
          <cell r="I417">
            <v>0</v>
          </cell>
          <cell r="J417">
            <v>0</v>
          </cell>
          <cell r="K417">
            <v>0</v>
          </cell>
          <cell r="L417">
            <v>0</v>
          </cell>
          <cell r="M417">
            <v>0</v>
          </cell>
          <cell r="N417">
            <v>0</v>
          </cell>
          <cell r="O417">
            <v>0</v>
          </cell>
        </row>
        <row r="418">
          <cell r="B418">
            <v>0</v>
          </cell>
          <cell r="C418">
            <v>0</v>
          </cell>
          <cell r="D418">
            <v>0</v>
          </cell>
          <cell r="E418">
            <v>0</v>
          </cell>
          <cell r="G418">
            <v>0</v>
          </cell>
          <cell r="H418">
            <v>0</v>
          </cell>
          <cell r="I418">
            <v>0</v>
          </cell>
          <cell r="J418">
            <v>0</v>
          </cell>
          <cell r="K418">
            <v>0</v>
          </cell>
          <cell r="L418">
            <v>0</v>
          </cell>
          <cell r="M418">
            <v>0</v>
          </cell>
          <cell r="N418">
            <v>0</v>
          </cell>
          <cell r="O418">
            <v>0</v>
          </cell>
        </row>
        <row r="419">
          <cell r="B419">
            <v>0</v>
          </cell>
          <cell r="C419">
            <v>0</v>
          </cell>
          <cell r="D419">
            <v>0</v>
          </cell>
          <cell r="E419">
            <v>0</v>
          </cell>
          <cell r="G419">
            <v>0</v>
          </cell>
          <cell r="H419">
            <v>0</v>
          </cell>
          <cell r="I419">
            <v>0</v>
          </cell>
          <cell r="J419">
            <v>0</v>
          </cell>
          <cell r="K419">
            <v>0</v>
          </cell>
          <cell r="L419">
            <v>0</v>
          </cell>
          <cell r="M419">
            <v>0</v>
          </cell>
          <cell r="N419">
            <v>0</v>
          </cell>
          <cell r="O419">
            <v>0</v>
          </cell>
        </row>
        <row r="420">
          <cell r="B420">
            <v>0</v>
          </cell>
          <cell r="C420">
            <v>0</v>
          </cell>
          <cell r="D420">
            <v>0</v>
          </cell>
          <cell r="E420">
            <v>0</v>
          </cell>
          <cell r="G420">
            <v>0</v>
          </cell>
          <cell r="H420">
            <v>0</v>
          </cell>
          <cell r="I420">
            <v>0</v>
          </cell>
          <cell r="J420">
            <v>0</v>
          </cell>
          <cell r="K420">
            <v>0</v>
          </cell>
          <cell r="L420">
            <v>0</v>
          </cell>
          <cell r="M420">
            <v>0</v>
          </cell>
          <cell r="N420">
            <v>0</v>
          </cell>
          <cell r="O420">
            <v>0</v>
          </cell>
        </row>
        <row r="421">
          <cell r="B421">
            <v>0</v>
          </cell>
          <cell r="C421">
            <v>0</v>
          </cell>
          <cell r="D421">
            <v>0</v>
          </cell>
          <cell r="E421">
            <v>0</v>
          </cell>
          <cell r="G421">
            <v>0</v>
          </cell>
          <cell r="H421">
            <v>0</v>
          </cell>
          <cell r="I421">
            <v>0</v>
          </cell>
          <cell r="J421">
            <v>0</v>
          </cell>
          <cell r="K421">
            <v>0</v>
          </cell>
          <cell r="L421">
            <v>0</v>
          </cell>
          <cell r="M421">
            <v>0</v>
          </cell>
          <cell r="N421">
            <v>0</v>
          </cell>
          <cell r="O421">
            <v>0</v>
          </cell>
        </row>
        <row r="422">
          <cell r="B422">
            <v>0</v>
          </cell>
          <cell r="C422">
            <v>0</v>
          </cell>
          <cell r="D422">
            <v>0</v>
          </cell>
          <cell r="E422">
            <v>0</v>
          </cell>
          <cell r="G422">
            <v>0</v>
          </cell>
          <cell r="H422">
            <v>0</v>
          </cell>
          <cell r="I422">
            <v>0</v>
          </cell>
          <cell r="J422">
            <v>0</v>
          </cell>
          <cell r="K422">
            <v>0</v>
          </cell>
          <cell r="L422">
            <v>0</v>
          </cell>
          <cell r="M422">
            <v>0</v>
          </cell>
          <cell r="N422">
            <v>0</v>
          </cell>
          <cell r="O422">
            <v>0</v>
          </cell>
        </row>
        <row r="423">
          <cell r="B423">
            <v>0</v>
          </cell>
          <cell r="C423">
            <v>0</v>
          </cell>
          <cell r="D423">
            <v>0</v>
          </cell>
          <cell r="E423">
            <v>0</v>
          </cell>
          <cell r="G423">
            <v>0</v>
          </cell>
          <cell r="H423">
            <v>0</v>
          </cell>
          <cell r="I423">
            <v>0</v>
          </cell>
          <cell r="J423">
            <v>0</v>
          </cell>
          <cell r="K423">
            <v>0</v>
          </cell>
          <cell r="L423">
            <v>0</v>
          </cell>
          <cell r="M423">
            <v>0</v>
          </cell>
          <cell r="N423">
            <v>0</v>
          </cell>
          <cell r="O423">
            <v>0</v>
          </cell>
        </row>
        <row r="424">
          <cell r="B424">
            <v>0</v>
          </cell>
          <cell r="C424">
            <v>0</v>
          </cell>
          <cell r="D424">
            <v>0</v>
          </cell>
          <cell r="E424">
            <v>0</v>
          </cell>
          <cell r="G424">
            <v>0</v>
          </cell>
          <cell r="H424">
            <v>0</v>
          </cell>
          <cell r="I424">
            <v>0</v>
          </cell>
          <cell r="J424">
            <v>0</v>
          </cell>
          <cell r="K424">
            <v>0</v>
          </cell>
          <cell r="L424">
            <v>0</v>
          </cell>
          <cell r="M424">
            <v>0</v>
          </cell>
          <cell r="N424">
            <v>0</v>
          </cell>
          <cell r="O424">
            <v>0</v>
          </cell>
        </row>
        <row r="425">
          <cell r="B425">
            <v>0</v>
          </cell>
          <cell r="C425">
            <v>0</v>
          </cell>
          <cell r="D425">
            <v>0</v>
          </cell>
          <cell r="E425">
            <v>0</v>
          </cell>
          <cell r="G425">
            <v>0</v>
          </cell>
          <cell r="H425">
            <v>0</v>
          </cell>
          <cell r="I425">
            <v>0</v>
          </cell>
          <cell r="J425">
            <v>0</v>
          </cell>
          <cell r="K425">
            <v>0</v>
          </cell>
          <cell r="L425">
            <v>0</v>
          </cell>
          <cell r="M425">
            <v>0</v>
          </cell>
          <cell r="N425">
            <v>0</v>
          </cell>
          <cell r="O425">
            <v>0</v>
          </cell>
        </row>
        <row r="426">
          <cell r="B426">
            <v>0</v>
          </cell>
          <cell r="C426">
            <v>0</v>
          </cell>
          <cell r="D426">
            <v>0</v>
          </cell>
          <cell r="E426">
            <v>0</v>
          </cell>
          <cell r="G426">
            <v>0</v>
          </cell>
          <cell r="H426">
            <v>0</v>
          </cell>
          <cell r="I426">
            <v>0</v>
          </cell>
          <cell r="J426">
            <v>0</v>
          </cell>
          <cell r="K426">
            <v>0</v>
          </cell>
          <cell r="L426">
            <v>0</v>
          </cell>
          <cell r="M426">
            <v>0</v>
          </cell>
          <cell r="N426">
            <v>0</v>
          </cell>
          <cell r="O426">
            <v>0</v>
          </cell>
        </row>
        <row r="427">
          <cell r="B427">
            <v>0</v>
          </cell>
          <cell r="C427">
            <v>0</v>
          </cell>
          <cell r="D427">
            <v>0</v>
          </cell>
          <cell r="E427">
            <v>0</v>
          </cell>
          <cell r="G427">
            <v>0</v>
          </cell>
          <cell r="H427">
            <v>0</v>
          </cell>
          <cell r="I427">
            <v>0</v>
          </cell>
          <cell r="J427">
            <v>0</v>
          </cell>
          <cell r="K427">
            <v>0</v>
          </cell>
          <cell r="L427">
            <v>0</v>
          </cell>
          <cell r="M427">
            <v>0</v>
          </cell>
          <cell r="N427">
            <v>0</v>
          </cell>
          <cell r="O427">
            <v>0</v>
          </cell>
        </row>
        <row r="428">
          <cell r="B428">
            <v>0</v>
          </cell>
          <cell r="C428">
            <v>0</v>
          </cell>
          <cell r="D428">
            <v>0</v>
          </cell>
          <cell r="E428">
            <v>0</v>
          </cell>
          <cell r="G428">
            <v>0</v>
          </cell>
          <cell r="H428">
            <v>0</v>
          </cell>
          <cell r="I428">
            <v>0</v>
          </cell>
          <cell r="J428">
            <v>0</v>
          </cell>
          <cell r="K428">
            <v>0</v>
          </cell>
          <cell r="L428">
            <v>0</v>
          </cell>
          <cell r="M428">
            <v>0</v>
          </cell>
          <cell r="N428">
            <v>0</v>
          </cell>
          <cell r="O428">
            <v>0</v>
          </cell>
        </row>
        <row r="429">
          <cell r="B429">
            <v>0</v>
          </cell>
          <cell r="C429">
            <v>0</v>
          </cell>
          <cell r="D429">
            <v>0</v>
          </cell>
          <cell r="E429">
            <v>0</v>
          </cell>
          <cell r="G429">
            <v>0</v>
          </cell>
          <cell r="H429">
            <v>0</v>
          </cell>
          <cell r="I429">
            <v>0</v>
          </cell>
          <cell r="J429">
            <v>0</v>
          </cell>
          <cell r="K429">
            <v>0</v>
          </cell>
          <cell r="L429">
            <v>0</v>
          </cell>
          <cell r="M429">
            <v>0</v>
          </cell>
          <cell r="N429">
            <v>0</v>
          </cell>
          <cell r="O429">
            <v>0</v>
          </cell>
        </row>
        <row r="430">
          <cell r="B430">
            <v>0</v>
          </cell>
          <cell r="C430">
            <v>0</v>
          </cell>
          <cell r="D430">
            <v>0</v>
          </cell>
          <cell r="E430">
            <v>0</v>
          </cell>
          <cell r="G430">
            <v>0</v>
          </cell>
          <cell r="H430">
            <v>0</v>
          </cell>
          <cell r="I430">
            <v>0</v>
          </cell>
          <cell r="J430">
            <v>0</v>
          </cell>
          <cell r="K430">
            <v>0</v>
          </cell>
          <cell r="L430">
            <v>0</v>
          </cell>
          <cell r="M430">
            <v>0</v>
          </cell>
          <cell r="N430">
            <v>0</v>
          </cell>
          <cell r="O430">
            <v>0</v>
          </cell>
        </row>
        <row r="431">
          <cell r="B431">
            <v>0</v>
          </cell>
          <cell r="C431">
            <v>0</v>
          </cell>
          <cell r="D431">
            <v>0</v>
          </cell>
          <cell r="E431">
            <v>0</v>
          </cell>
          <cell r="G431">
            <v>0</v>
          </cell>
          <cell r="H431">
            <v>0</v>
          </cell>
          <cell r="I431">
            <v>0</v>
          </cell>
          <cell r="J431">
            <v>0</v>
          </cell>
          <cell r="K431">
            <v>0</v>
          </cell>
          <cell r="L431">
            <v>0</v>
          </cell>
          <cell r="M431">
            <v>0</v>
          </cell>
          <cell r="N431">
            <v>0</v>
          </cell>
          <cell r="O431">
            <v>0</v>
          </cell>
        </row>
        <row r="432">
          <cell r="B432">
            <v>0</v>
          </cell>
          <cell r="C432">
            <v>0</v>
          </cell>
          <cell r="D432">
            <v>0</v>
          </cell>
          <cell r="E432">
            <v>0</v>
          </cell>
          <cell r="G432">
            <v>0</v>
          </cell>
          <cell r="H432">
            <v>0</v>
          </cell>
          <cell r="I432">
            <v>0</v>
          </cell>
          <cell r="J432">
            <v>0</v>
          </cell>
          <cell r="K432">
            <v>0</v>
          </cell>
          <cell r="L432">
            <v>0</v>
          </cell>
          <cell r="M432">
            <v>0</v>
          </cell>
          <cell r="N432">
            <v>0</v>
          </cell>
          <cell r="O432">
            <v>0</v>
          </cell>
        </row>
        <row r="433">
          <cell r="B433">
            <v>0</v>
          </cell>
          <cell r="C433">
            <v>0</v>
          </cell>
          <cell r="D433">
            <v>0</v>
          </cell>
          <cell r="E433">
            <v>0</v>
          </cell>
          <cell r="G433">
            <v>0</v>
          </cell>
          <cell r="H433">
            <v>0</v>
          </cell>
          <cell r="I433">
            <v>0</v>
          </cell>
          <cell r="J433">
            <v>0</v>
          </cell>
          <cell r="K433">
            <v>0</v>
          </cell>
          <cell r="L433">
            <v>0</v>
          </cell>
          <cell r="M433">
            <v>0</v>
          </cell>
          <cell r="N433">
            <v>0</v>
          </cell>
          <cell r="O433">
            <v>0</v>
          </cell>
        </row>
        <row r="434">
          <cell r="B434">
            <v>0</v>
          </cell>
          <cell r="C434">
            <v>0</v>
          </cell>
          <cell r="D434">
            <v>0</v>
          </cell>
          <cell r="E434">
            <v>0</v>
          </cell>
          <cell r="G434">
            <v>0</v>
          </cell>
          <cell r="H434">
            <v>0</v>
          </cell>
          <cell r="I434">
            <v>0</v>
          </cell>
          <cell r="J434">
            <v>0</v>
          </cell>
          <cell r="K434">
            <v>0</v>
          </cell>
          <cell r="L434">
            <v>0</v>
          </cell>
          <cell r="M434">
            <v>0</v>
          </cell>
          <cell r="N434">
            <v>0</v>
          </cell>
          <cell r="O434">
            <v>0</v>
          </cell>
        </row>
        <row r="435">
          <cell r="B435">
            <v>0</v>
          </cell>
          <cell r="C435">
            <v>0</v>
          </cell>
          <cell r="D435">
            <v>0</v>
          </cell>
          <cell r="E435">
            <v>0</v>
          </cell>
          <cell r="G435">
            <v>0</v>
          </cell>
          <cell r="H435">
            <v>0</v>
          </cell>
          <cell r="I435">
            <v>0</v>
          </cell>
          <cell r="J435">
            <v>0</v>
          </cell>
          <cell r="K435">
            <v>0</v>
          </cell>
          <cell r="L435">
            <v>0</v>
          </cell>
          <cell r="M435">
            <v>0</v>
          </cell>
          <cell r="N435">
            <v>0</v>
          </cell>
          <cell r="O435">
            <v>0</v>
          </cell>
        </row>
        <row r="436">
          <cell r="B436">
            <v>0</v>
          </cell>
          <cell r="C436">
            <v>0</v>
          </cell>
          <cell r="D436">
            <v>0</v>
          </cell>
          <cell r="E436">
            <v>0</v>
          </cell>
          <cell r="G436">
            <v>0</v>
          </cell>
          <cell r="H436">
            <v>0</v>
          </cell>
          <cell r="I436">
            <v>0</v>
          </cell>
          <cell r="J436">
            <v>0</v>
          </cell>
          <cell r="K436">
            <v>0</v>
          </cell>
          <cell r="L436">
            <v>0</v>
          </cell>
          <cell r="M436">
            <v>0</v>
          </cell>
          <cell r="N436">
            <v>0</v>
          </cell>
          <cell r="O436">
            <v>0</v>
          </cell>
        </row>
        <row r="437">
          <cell r="B437">
            <v>0</v>
          </cell>
          <cell r="C437">
            <v>0</v>
          </cell>
          <cell r="D437">
            <v>0</v>
          </cell>
          <cell r="E437">
            <v>0</v>
          </cell>
          <cell r="G437">
            <v>0</v>
          </cell>
          <cell r="H437">
            <v>0</v>
          </cell>
          <cell r="I437">
            <v>0</v>
          </cell>
          <cell r="J437">
            <v>0</v>
          </cell>
          <cell r="K437">
            <v>0</v>
          </cell>
          <cell r="L437">
            <v>0</v>
          </cell>
          <cell r="M437">
            <v>0</v>
          </cell>
          <cell r="N437">
            <v>0</v>
          </cell>
          <cell r="O437">
            <v>0</v>
          </cell>
        </row>
        <row r="438">
          <cell r="B438">
            <v>0</v>
          </cell>
          <cell r="C438">
            <v>0</v>
          </cell>
          <cell r="D438">
            <v>0</v>
          </cell>
          <cell r="E438">
            <v>0</v>
          </cell>
          <cell r="G438">
            <v>0</v>
          </cell>
          <cell r="H438">
            <v>0</v>
          </cell>
          <cell r="I438">
            <v>0</v>
          </cell>
          <cell r="J438">
            <v>0</v>
          </cell>
          <cell r="K438">
            <v>0</v>
          </cell>
          <cell r="L438">
            <v>0</v>
          </cell>
          <cell r="M438">
            <v>0</v>
          </cell>
          <cell r="N438">
            <v>0</v>
          </cell>
          <cell r="O438">
            <v>0</v>
          </cell>
        </row>
        <row r="439">
          <cell r="B439">
            <v>0</v>
          </cell>
          <cell r="C439">
            <v>0</v>
          </cell>
          <cell r="D439">
            <v>0</v>
          </cell>
          <cell r="E439">
            <v>0</v>
          </cell>
          <cell r="G439">
            <v>0</v>
          </cell>
          <cell r="H439">
            <v>0</v>
          </cell>
          <cell r="I439">
            <v>0</v>
          </cell>
          <cell r="J439">
            <v>0</v>
          </cell>
          <cell r="K439">
            <v>0</v>
          </cell>
          <cell r="L439">
            <v>0</v>
          </cell>
          <cell r="M439">
            <v>0</v>
          </cell>
          <cell r="N439">
            <v>0</v>
          </cell>
          <cell r="O439">
            <v>0</v>
          </cell>
        </row>
        <row r="440">
          <cell r="B440">
            <v>0</v>
          </cell>
          <cell r="C440">
            <v>0</v>
          </cell>
          <cell r="D440">
            <v>0</v>
          </cell>
          <cell r="E440">
            <v>0</v>
          </cell>
          <cell r="G440">
            <v>0</v>
          </cell>
          <cell r="H440">
            <v>0</v>
          </cell>
          <cell r="I440">
            <v>0</v>
          </cell>
          <cell r="J440">
            <v>0</v>
          </cell>
          <cell r="K440">
            <v>0</v>
          </cell>
          <cell r="L440">
            <v>0</v>
          </cell>
          <cell r="M440">
            <v>0</v>
          </cell>
          <cell r="N440">
            <v>0</v>
          </cell>
          <cell r="O440">
            <v>0</v>
          </cell>
        </row>
        <row r="441">
          <cell r="B441">
            <v>0</v>
          </cell>
          <cell r="C441">
            <v>0</v>
          </cell>
          <cell r="D441">
            <v>0</v>
          </cell>
          <cell r="E441">
            <v>0</v>
          </cell>
          <cell r="G441">
            <v>0</v>
          </cell>
          <cell r="H441">
            <v>0</v>
          </cell>
          <cell r="I441">
            <v>0</v>
          </cell>
          <cell r="J441">
            <v>0</v>
          </cell>
          <cell r="K441">
            <v>0</v>
          </cell>
          <cell r="L441">
            <v>0</v>
          </cell>
          <cell r="M441">
            <v>0</v>
          </cell>
          <cell r="N441">
            <v>0</v>
          </cell>
          <cell r="O441">
            <v>0</v>
          </cell>
        </row>
        <row r="442">
          <cell r="B442">
            <v>0</v>
          </cell>
          <cell r="C442">
            <v>0</v>
          </cell>
          <cell r="D442">
            <v>0</v>
          </cell>
          <cell r="E442">
            <v>0</v>
          </cell>
          <cell r="G442">
            <v>0</v>
          </cell>
          <cell r="H442">
            <v>0</v>
          </cell>
          <cell r="I442">
            <v>0</v>
          </cell>
          <cell r="J442">
            <v>0</v>
          </cell>
          <cell r="K442">
            <v>0</v>
          </cell>
          <cell r="L442">
            <v>0</v>
          </cell>
          <cell r="M442">
            <v>0</v>
          </cell>
          <cell r="N442">
            <v>0</v>
          </cell>
          <cell r="O442">
            <v>0</v>
          </cell>
        </row>
        <row r="443">
          <cell r="B443">
            <v>0</v>
          </cell>
          <cell r="C443">
            <v>0</v>
          </cell>
          <cell r="D443">
            <v>0</v>
          </cell>
          <cell r="E443">
            <v>0</v>
          </cell>
          <cell r="G443">
            <v>0</v>
          </cell>
          <cell r="H443">
            <v>0</v>
          </cell>
          <cell r="I443">
            <v>0</v>
          </cell>
          <cell r="J443">
            <v>0</v>
          </cell>
          <cell r="K443">
            <v>0</v>
          </cell>
          <cell r="L443">
            <v>0</v>
          </cell>
          <cell r="M443">
            <v>0</v>
          </cell>
          <cell r="N443">
            <v>0</v>
          </cell>
          <cell r="O443">
            <v>0</v>
          </cell>
        </row>
        <row r="444">
          <cell r="B444">
            <v>0</v>
          </cell>
          <cell r="C444">
            <v>0</v>
          </cell>
          <cell r="D444">
            <v>0</v>
          </cell>
          <cell r="E444">
            <v>0</v>
          </cell>
          <cell r="G444">
            <v>0</v>
          </cell>
          <cell r="H444">
            <v>0</v>
          </cell>
          <cell r="I444">
            <v>0</v>
          </cell>
          <cell r="J444">
            <v>0</v>
          </cell>
          <cell r="K444">
            <v>0</v>
          </cell>
          <cell r="L444">
            <v>0</v>
          </cell>
          <cell r="M444">
            <v>0</v>
          </cell>
          <cell r="N444">
            <v>0</v>
          </cell>
          <cell r="O444">
            <v>0</v>
          </cell>
        </row>
        <row r="445">
          <cell r="B445">
            <v>0</v>
          </cell>
          <cell r="C445">
            <v>0</v>
          </cell>
          <cell r="D445">
            <v>0</v>
          </cell>
          <cell r="E445">
            <v>0</v>
          </cell>
          <cell r="G445">
            <v>0</v>
          </cell>
          <cell r="H445">
            <v>0</v>
          </cell>
          <cell r="I445">
            <v>0</v>
          </cell>
          <cell r="J445">
            <v>0</v>
          </cell>
          <cell r="K445">
            <v>0</v>
          </cell>
          <cell r="L445">
            <v>0</v>
          </cell>
          <cell r="M445">
            <v>0</v>
          </cell>
          <cell r="N445">
            <v>0</v>
          </cell>
          <cell r="O445">
            <v>0</v>
          </cell>
        </row>
        <row r="446">
          <cell r="B446">
            <v>0</v>
          </cell>
          <cell r="C446">
            <v>0</v>
          </cell>
          <cell r="D446">
            <v>0</v>
          </cell>
          <cell r="E446">
            <v>0</v>
          </cell>
          <cell r="G446">
            <v>0</v>
          </cell>
          <cell r="H446">
            <v>0</v>
          </cell>
          <cell r="I446">
            <v>0</v>
          </cell>
          <cell r="J446">
            <v>0</v>
          </cell>
          <cell r="K446">
            <v>0</v>
          </cell>
          <cell r="L446">
            <v>0</v>
          </cell>
          <cell r="M446">
            <v>0</v>
          </cell>
          <cell r="N446">
            <v>0</v>
          </cell>
          <cell r="O446">
            <v>0</v>
          </cell>
        </row>
        <row r="447">
          <cell r="B447">
            <v>0</v>
          </cell>
          <cell r="C447">
            <v>0</v>
          </cell>
          <cell r="D447">
            <v>0</v>
          </cell>
          <cell r="E447">
            <v>0</v>
          </cell>
          <cell r="G447">
            <v>0</v>
          </cell>
          <cell r="H447">
            <v>0</v>
          </cell>
          <cell r="I447">
            <v>0</v>
          </cell>
          <cell r="J447">
            <v>0</v>
          </cell>
          <cell r="K447">
            <v>0</v>
          </cell>
          <cell r="L447">
            <v>0</v>
          </cell>
          <cell r="M447">
            <v>0</v>
          </cell>
          <cell r="N447">
            <v>0</v>
          </cell>
          <cell r="O447">
            <v>0</v>
          </cell>
        </row>
        <row r="448">
          <cell r="B448">
            <v>0</v>
          </cell>
          <cell r="C448">
            <v>0</v>
          </cell>
          <cell r="D448">
            <v>0</v>
          </cell>
          <cell r="E448">
            <v>0</v>
          </cell>
          <cell r="G448">
            <v>0</v>
          </cell>
          <cell r="H448">
            <v>0</v>
          </cell>
          <cell r="I448">
            <v>0</v>
          </cell>
          <cell r="J448">
            <v>0</v>
          </cell>
          <cell r="K448">
            <v>0</v>
          </cell>
          <cell r="L448">
            <v>0</v>
          </cell>
          <cell r="M448">
            <v>0</v>
          </cell>
          <cell r="N448">
            <v>0</v>
          </cell>
          <cell r="O448">
            <v>0</v>
          </cell>
        </row>
        <row r="449">
          <cell r="B449">
            <v>0</v>
          </cell>
          <cell r="C449">
            <v>0</v>
          </cell>
          <cell r="D449">
            <v>0</v>
          </cell>
          <cell r="E449">
            <v>0</v>
          </cell>
          <cell r="G449">
            <v>0</v>
          </cell>
          <cell r="H449">
            <v>0</v>
          </cell>
          <cell r="I449">
            <v>0</v>
          </cell>
          <cell r="J449">
            <v>0</v>
          </cell>
          <cell r="K449">
            <v>0</v>
          </cell>
          <cell r="L449">
            <v>0</v>
          </cell>
          <cell r="M449">
            <v>0</v>
          </cell>
          <cell r="N449">
            <v>0</v>
          </cell>
          <cell r="O449">
            <v>0</v>
          </cell>
        </row>
        <row r="450">
          <cell r="B450">
            <v>0</v>
          </cell>
          <cell r="C450">
            <v>0</v>
          </cell>
          <cell r="D450">
            <v>0</v>
          </cell>
          <cell r="E450">
            <v>0</v>
          </cell>
          <cell r="G450">
            <v>0</v>
          </cell>
          <cell r="H450">
            <v>0</v>
          </cell>
          <cell r="I450">
            <v>0</v>
          </cell>
          <cell r="J450">
            <v>0</v>
          </cell>
          <cell r="K450">
            <v>0</v>
          </cell>
          <cell r="L450">
            <v>0</v>
          </cell>
          <cell r="M450">
            <v>0</v>
          </cell>
          <cell r="N450">
            <v>0</v>
          </cell>
          <cell r="O450">
            <v>0</v>
          </cell>
        </row>
        <row r="451">
          <cell r="B451">
            <v>0</v>
          </cell>
          <cell r="C451">
            <v>0</v>
          </cell>
          <cell r="D451">
            <v>0</v>
          </cell>
          <cell r="E451">
            <v>0</v>
          </cell>
          <cell r="G451">
            <v>0</v>
          </cell>
          <cell r="H451">
            <v>0</v>
          </cell>
          <cell r="I451">
            <v>0</v>
          </cell>
          <cell r="J451">
            <v>0</v>
          </cell>
          <cell r="K451">
            <v>0</v>
          </cell>
          <cell r="L451">
            <v>0</v>
          </cell>
          <cell r="M451">
            <v>0</v>
          </cell>
          <cell r="N451">
            <v>0</v>
          </cell>
          <cell r="O451">
            <v>0</v>
          </cell>
        </row>
        <row r="452">
          <cell r="B452">
            <v>0</v>
          </cell>
          <cell r="C452">
            <v>0</v>
          </cell>
          <cell r="D452">
            <v>0</v>
          </cell>
          <cell r="E452">
            <v>0</v>
          </cell>
          <cell r="G452">
            <v>0</v>
          </cell>
          <cell r="H452">
            <v>0</v>
          </cell>
          <cell r="I452">
            <v>0</v>
          </cell>
          <cell r="J452">
            <v>0</v>
          </cell>
          <cell r="K452">
            <v>0</v>
          </cell>
          <cell r="L452">
            <v>0</v>
          </cell>
          <cell r="M452">
            <v>0</v>
          </cell>
          <cell r="N452">
            <v>0</v>
          </cell>
          <cell r="O452">
            <v>0</v>
          </cell>
        </row>
        <row r="453">
          <cell r="B453">
            <v>0</v>
          </cell>
          <cell r="C453">
            <v>0</v>
          </cell>
          <cell r="D453">
            <v>0</v>
          </cell>
          <cell r="E453">
            <v>0</v>
          </cell>
          <cell r="G453">
            <v>0</v>
          </cell>
          <cell r="H453">
            <v>0</v>
          </cell>
          <cell r="I453">
            <v>0</v>
          </cell>
          <cell r="J453">
            <v>0</v>
          </cell>
          <cell r="K453">
            <v>0</v>
          </cell>
          <cell r="L453">
            <v>0</v>
          </cell>
          <cell r="M453">
            <v>0</v>
          </cell>
          <cell r="N453">
            <v>0</v>
          </cell>
          <cell r="O453">
            <v>0</v>
          </cell>
        </row>
        <row r="454">
          <cell r="B454">
            <v>0</v>
          </cell>
          <cell r="C454">
            <v>0</v>
          </cell>
          <cell r="D454">
            <v>0</v>
          </cell>
          <cell r="E454">
            <v>0</v>
          </cell>
          <cell r="G454">
            <v>0</v>
          </cell>
          <cell r="H454">
            <v>0</v>
          </cell>
          <cell r="I454">
            <v>0</v>
          </cell>
          <cell r="J454">
            <v>0</v>
          </cell>
          <cell r="K454">
            <v>0</v>
          </cell>
          <cell r="L454">
            <v>0</v>
          </cell>
          <cell r="M454">
            <v>0</v>
          </cell>
          <cell r="N454">
            <v>0</v>
          </cell>
          <cell r="O454">
            <v>0</v>
          </cell>
        </row>
        <row r="455">
          <cell r="B455">
            <v>0</v>
          </cell>
          <cell r="C455">
            <v>0</v>
          </cell>
          <cell r="D455">
            <v>0</v>
          </cell>
          <cell r="E455">
            <v>0</v>
          </cell>
          <cell r="G455">
            <v>0</v>
          </cell>
          <cell r="H455">
            <v>0</v>
          </cell>
          <cell r="I455">
            <v>0</v>
          </cell>
          <cell r="J455">
            <v>0</v>
          </cell>
          <cell r="K455">
            <v>0</v>
          </cell>
          <cell r="L455">
            <v>0</v>
          </cell>
          <cell r="M455">
            <v>0</v>
          </cell>
          <cell r="N455">
            <v>0</v>
          </cell>
          <cell r="O455">
            <v>0</v>
          </cell>
        </row>
        <row r="456">
          <cell r="B456">
            <v>0</v>
          </cell>
          <cell r="C456">
            <v>0</v>
          </cell>
          <cell r="D456">
            <v>0</v>
          </cell>
          <cell r="E456">
            <v>0</v>
          </cell>
          <cell r="G456">
            <v>0</v>
          </cell>
          <cell r="H456">
            <v>0</v>
          </cell>
          <cell r="I456">
            <v>0</v>
          </cell>
          <cell r="J456">
            <v>0</v>
          </cell>
          <cell r="K456">
            <v>0</v>
          </cell>
          <cell r="L456">
            <v>0</v>
          </cell>
          <cell r="M456">
            <v>0</v>
          </cell>
          <cell r="N456">
            <v>0</v>
          </cell>
          <cell r="O456">
            <v>0</v>
          </cell>
        </row>
        <row r="457">
          <cell r="B457">
            <v>0</v>
          </cell>
          <cell r="C457">
            <v>0</v>
          </cell>
          <cell r="D457">
            <v>0</v>
          </cell>
          <cell r="E457">
            <v>0</v>
          </cell>
          <cell r="G457">
            <v>0</v>
          </cell>
          <cell r="H457">
            <v>0</v>
          </cell>
          <cell r="I457">
            <v>0</v>
          </cell>
          <cell r="J457">
            <v>0</v>
          </cell>
          <cell r="K457">
            <v>0</v>
          </cell>
          <cell r="L457">
            <v>0</v>
          </cell>
          <cell r="M457">
            <v>0</v>
          </cell>
          <cell r="N457">
            <v>0</v>
          </cell>
          <cell r="O457">
            <v>0</v>
          </cell>
        </row>
        <row r="458">
          <cell r="B458">
            <v>0</v>
          </cell>
          <cell r="C458">
            <v>0</v>
          </cell>
          <cell r="D458">
            <v>0</v>
          </cell>
          <cell r="E458">
            <v>0</v>
          </cell>
          <cell r="G458">
            <v>0</v>
          </cell>
          <cell r="H458">
            <v>0</v>
          </cell>
          <cell r="I458">
            <v>0</v>
          </cell>
          <cell r="J458">
            <v>0</v>
          </cell>
          <cell r="K458">
            <v>0</v>
          </cell>
          <cell r="L458">
            <v>0</v>
          </cell>
          <cell r="M458">
            <v>0</v>
          </cell>
          <cell r="N458">
            <v>0</v>
          </cell>
          <cell r="O458">
            <v>0</v>
          </cell>
        </row>
        <row r="459">
          <cell r="B459">
            <v>0</v>
          </cell>
          <cell r="C459">
            <v>0</v>
          </cell>
          <cell r="D459">
            <v>0</v>
          </cell>
          <cell r="E459">
            <v>0</v>
          </cell>
          <cell r="G459">
            <v>0</v>
          </cell>
          <cell r="H459">
            <v>0</v>
          </cell>
          <cell r="I459">
            <v>0</v>
          </cell>
          <cell r="J459">
            <v>0</v>
          </cell>
          <cell r="K459">
            <v>0</v>
          </cell>
          <cell r="L459">
            <v>0</v>
          </cell>
          <cell r="M459">
            <v>0</v>
          </cell>
          <cell r="N459">
            <v>0</v>
          </cell>
          <cell r="O459">
            <v>0</v>
          </cell>
        </row>
        <row r="460">
          <cell r="B460">
            <v>0</v>
          </cell>
          <cell r="C460">
            <v>0</v>
          </cell>
          <cell r="D460">
            <v>0</v>
          </cell>
          <cell r="E460">
            <v>0</v>
          </cell>
          <cell r="G460">
            <v>0</v>
          </cell>
          <cell r="H460">
            <v>0</v>
          </cell>
          <cell r="I460">
            <v>0</v>
          </cell>
          <cell r="J460">
            <v>0</v>
          </cell>
          <cell r="K460">
            <v>0</v>
          </cell>
          <cell r="L460">
            <v>0</v>
          </cell>
          <cell r="M460">
            <v>0</v>
          </cell>
          <cell r="N460">
            <v>0</v>
          </cell>
          <cell r="O460">
            <v>0</v>
          </cell>
        </row>
        <row r="461">
          <cell r="B461">
            <v>0</v>
          </cell>
          <cell r="C461">
            <v>0</v>
          </cell>
          <cell r="D461">
            <v>0</v>
          </cell>
          <cell r="E461">
            <v>0</v>
          </cell>
          <cell r="G461">
            <v>0</v>
          </cell>
          <cell r="H461">
            <v>0</v>
          </cell>
          <cell r="I461">
            <v>0</v>
          </cell>
          <cell r="J461">
            <v>0</v>
          </cell>
          <cell r="K461">
            <v>0</v>
          </cell>
          <cell r="L461">
            <v>0</v>
          </cell>
          <cell r="M461">
            <v>0</v>
          </cell>
          <cell r="N461">
            <v>0</v>
          </cell>
          <cell r="O461">
            <v>0</v>
          </cell>
        </row>
        <row r="462">
          <cell r="B462">
            <v>0</v>
          </cell>
          <cell r="C462">
            <v>0</v>
          </cell>
          <cell r="D462">
            <v>0</v>
          </cell>
          <cell r="E462">
            <v>0</v>
          </cell>
          <cell r="G462">
            <v>0</v>
          </cell>
          <cell r="H462">
            <v>0</v>
          </cell>
          <cell r="I462">
            <v>0</v>
          </cell>
          <cell r="J462">
            <v>0</v>
          </cell>
          <cell r="K462">
            <v>0</v>
          </cell>
          <cell r="L462">
            <v>0</v>
          </cell>
          <cell r="M462">
            <v>0</v>
          </cell>
          <cell r="N462">
            <v>0</v>
          </cell>
          <cell r="O462">
            <v>0</v>
          </cell>
        </row>
        <row r="463">
          <cell r="B463">
            <v>0</v>
          </cell>
          <cell r="C463">
            <v>0</v>
          </cell>
          <cell r="D463">
            <v>0</v>
          </cell>
          <cell r="E463">
            <v>0</v>
          </cell>
          <cell r="G463">
            <v>0</v>
          </cell>
          <cell r="H463">
            <v>0</v>
          </cell>
          <cell r="I463">
            <v>0</v>
          </cell>
          <cell r="J463">
            <v>0</v>
          </cell>
          <cell r="K463">
            <v>0</v>
          </cell>
          <cell r="L463">
            <v>0</v>
          </cell>
          <cell r="M463">
            <v>0</v>
          </cell>
          <cell r="N463">
            <v>0</v>
          </cell>
          <cell r="O463">
            <v>0</v>
          </cell>
        </row>
        <row r="464">
          <cell r="B464">
            <v>0</v>
          </cell>
          <cell r="C464">
            <v>0</v>
          </cell>
          <cell r="D464">
            <v>0</v>
          </cell>
          <cell r="E464">
            <v>0</v>
          </cell>
          <cell r="G464">
            <v>0</v>
          </cell>
          <cell r="H464">
            <v>0</v>
          </cell>
          <cell r="I464">
            <v>0</v>
          </cell>
          <cell r="J464">
            <v>0</v>
          </cell>
          <cell r="K464">
            <v>0</v>
          </cell>
          <cell r="L464">
            <v>0</v>
          </cell>
          <cell r="M464">
            <v>0</v>
          </cell>
          <cell r="N464">
            <v>0</v>
          </cell>
          <cell r="O464">
            <v>0</v>
          </cell>
        </row>
        <row r="465">
          <cell r="B465">
            <v>0</v>
          </cell>
          <cell r="C465">
            <v>0</v>
          </cell>
          <cell r="D465">
            <v>0</v>
          </cell>
          <cell r="E465">
            <v>0</v>
          </cell>
          <cell r="G465">
            <v>0</v>
          </cell>
          <cell r="H465">
            <v>0</v>
          </cell>
          <cell r="I465">
            <v>0</v>
          </cell>
          <cell r="J465">
            <v>0</v>
          </cell>
          <cell r="K465">
            <v>0</v>
          </cell>
          <cell r="L465">
            <v>0</v>
          </cell>
          <cell r="M465">
            <v>0</v>
          </cell>
          <cell r="N465">
            <v>0</v>
          </cell>
          <cell r="O465">
            <v>0</v>
          </cell>
        </row>
        <row r="466">
          <cell r="B466">
            <v>0</v>
          </cell>
          <cell r="C466">
            <v>0</v>
          </cell>
          <cell r="D466">
            <v>0</v>
          </cell>
          <cell r="E466">
            <v>0</v>
          </cell>
          <cell r="G466">
            <v>0</v>
          </cell>
          <cell r="H466">
            <v>0</v>
          </cell>
          <cell r="I466">
            <v>0</v>
          </cell>
          <cell r="J466">
            <v>0</v>
          </cell>
          <cell r="K466">
            <v>0</v>
          </cell>
          <cell r="L466">
            <v>0</v>
          </cell>
          <cell r="M466">
            <v>0</v>
          </cell>
          <cell r="N466">
            <v>0</v>
          </cell>
          <cell r="O466">
            <v>0</v>
          </cell>
        </row>
        <row r="467">
          <cell r="B467">
            <v>0</v>
          </cell>
          <cell r="C467">
            <v>0</v>
          </cell>
          <cell r="D467">
            <v>0</v>
          </cell>
          <cell r="E467">
            <v>0</v>
          </cell>
          <cell r="G467">
            <v>0</v>
          </cell>
          <cell r="H467">
            <v>0</v>
          </cell>
          <cell r="I467">
            <v>0</v>
          </cell>
          <cell r="J467">
            <v>0</v>
          </cell>
          <cell r="K467">
            <v>0</v>
          </cell>
          <cell r="L467">
            <v>0</v>
          </cell>
          <cell r="M467">
            <v>0</v>
          </cell>
          <cell r="N467">
            <v>0</v>
          </cell>
          <cell r="O467">
            <v>0</v>
          </cell>
        </row>
        <row r="468">
          <cell r="B468">
            <v>0</v>
          </cell>
          <cell r="C468">
            <v>0</v>
          </cell>
          <cell r="D468">
            <v>0</v>
          </cell>
          <cell r="E468">
            <v>0</v>
          </cell>
          <cell r="G468">
            <v>0</v>
          </cell>
          <cell r="H468">
            <v>0</v>
          </cell>
          <cell r="I468">
            <v>0</v>
          </cell>
          <cell r="J468">
            <v>0</v>
          </cell>
          <cell r="K468">
            <v>0</v>
          </cell>
          <cell r="L468">
            <v>0</v>
          </cell>
          <cell r="M468">
            <v>0</v>
          </cell>
          <cell r="N468">
            <v>0</v>
          </cell>
          <cell r="O468">
            <v>0</v>
          </cell>
        </row>
        <row r="469">
          <cell r="B469">
            <v>0</v>
          </cell>
          <cell r="C469">
            <v>0</v>
          </cell>
          <cell r="D469">
            <v>0</v>
          </cell>
          <cell r="E469">
            <v>0</v>
          </cell>
          <cell r="G469">
            <v>0</v>
          </cell>
          <cell r="H469">
            <v>0</v>
          </cell>
          <cell r="I469">
            <v>0</v>
          </cell>
          <cell r="J469">
            <v>0</v>
          </cell>
          <cell r="K469">
            <v>0</v>
          </cell>
          <cell r="L469">
            <v>0</v>
          </cell>
          <cell r="M469">
            <v>0</v>
          </cell>
          <cell r="N469">
            <v>0</v>
          </cell>
          <cell r="O469">
            <v>0</v>
          </cell>
        </row>
        <row r="470">
          <cell r="B470">
            <v>0</v>
          </cell>
          <cell r="C470">
            <v>0</v>
          </cell>
          <cell r="D470">
            <v>0</v>
          </cell>
          <cell r="E470">
            <v>0</v>
          </cell>
          <cell r="G470">
            <v>0</v>
          </cell>
          <cell r="H470">
            <v>0</v>
          </cell>
          <cell r="I470">
            <v>0</v>
          </cell>
          <cell r="J470">
            <v>0</v>
          </cell>
          <cell r="K470">
            <v>0</v>
          </cell>
          <cell r="L470">
            <v>0</v>
          </cell>
          <cell r="M470">
            <v>0</v>
          </cell>
          <cell r="N470">
            <v>0</v>
          </cell>
          <cell r="O470">
            <v>0</v>
          </cell>
        </row>
        <row r="471">
          <cell r="B471">
            <v>0</v>
          </cell>
          <cell r="C471">
            <v>0</v>
          </cell>
          <cell r="D471">
            <v>0</v>
          </cell>
          <cell r="E471">
            <v>0</v>
          </cell>
          <cell r="G471">
            <v>0</v>
          </cell>
          <cell r="H471">
            <v>0</v>
          </cell>
          <cell r="I471">
            <v>0</v>
          </cell>
          <cell r="J471">
            <v>0</v>
          </cell>
          <cell r="K471">
            <v>0</v>
          </cell>
          <cell r="L471">
            <v>0</v>
          </cell>
          <cell r="M471">
            <v>0</v>
          </cell>
          <cell r="N471">
            <v>0</v>
          </cell>
          <cell r="O471">
            <v>0</v>
          </cell>
        </row>
        <row r="472">
          <cell r="B472">
            <v>0</v>
          </cell>
          <cell r="C472">
            <v>0</v>
          </cell>
          <cell r="D472">
            <v>0</v>
          </cell>
          <cell r="E472">
            <v>0</v>
          </cell>
          <cell r="G472">
            <v>0</v>
          </cell>
          <cell r="H472">
            <v>0</v>
          </cell>
          <cell r="I472">
            <v>0</v>
          </cell>
          <cell r="J472">
            <v>0</v>
          </cell>
          <cell r="K472">
            <v>0</v>
          </cell>
          <cell r="L472">
            <v>0</v>
          </cell>
          <cell r="M472">
            <v>0</v>
          </cell>
          <cell r="N472">
            <v>0</v>
          </cell>
          <cell r="O472">
            <v>0</v>
          </cell>
        </row>
        <row r="473">
          <cell r="B473">
            <v>0</v>
          </cell>
          <cell r="C473">
            <v>0</v>
          </cell>
          <cell r="D473">
            <v>0</v>
          </cell>
          <cell r="E473">
            <v>0</v>
          </cell>
          <cell r="G473">
            <v>0</v>
          </cell>
          <cell r="H473">
            <v>0</v>
          </cell>
          <cell r="I473">
            <v>0</v>
          </cell>
          <cell r="J473">
            <v>0</v>
          </cell>
          <cell r="K473">
            <v>0</v>
          </cell>
          <cell r="L473">
            <v>0</v>
          </cell>
          <cell r="M473">
            <v>0</v>
          </cell>
          <cell r="N473">
            <v>0</v>
          </cell>
          <cell r="O473">
            <v>0</v>
          </cell>
        </row>
        <row r="474">
          <cell r="B474">
            <v>0</v>
          </cell>
          <cell r="C474">
            <v>0</v>
          </cell>
          <cell r="D474">
            <v>0</v>
          </cell>
          <cell r="E474">
            <v>0</v>
          </cell>
          <cell r="G474">
            <v>0</v>
          </cell>
          <cell r="H474">
            <v>0</v>
          </cell>
          <cell r="I474">
            <v>0</v>
          </cell>
          <cell r="J474">
            <v>0</v>
          </cell>
          <cell r="K474">
            <v>0</v>
          </cell>
          <cell r="L474">
            <v>0</v>
          </cell>
          <cell r="M474">
            <v>0</v>
          </cell>
          <cell r="N474">
            <v>0</v>
          </cell>
          <cell r="O474">
            <v>0</v>
          </cell>
        </row>
        <row r="475">
          <cell r="B475">
            <v>0</v>
          </cell>
          <cell r="C475">
            <v>0</v>
          </cell>
          <cell r="D475">
            <v>0</v>
          </cell>
          <cell r="E475">
            <v>0</v>
          </cell>
          <cell r="G475">
            <v>0</v>
          </cell>
          <cell r="H475">
            <v>0</v>
          </cell>
          <cell r="I475">
            <v>0</v>
          </cell>
          <cell r="J475">
            <v>0</v>
          </cell>
          <cell r="K475">
            <v>0</v>
          </cell>
          <cell r="L475">
            <v>0</v>
          </cell>
          <cell r="M475">
            <v>0</v>
          </cell>
          <cell r="N475">
            <v>0</v>
          </cell>
          <cell r="O475">
            <v>0</v>
          </cell>
        </row>
        <row r="476">
          <cell r="B476">
            <v>0</v>
          </cell>
          <cell r="C476">
            <v>0</v>
          </cell>
          <cell r="D476">
            <v>0</v>
          </cell>
          <cell r="E476">
            <v>0</v>
          </cell>
          <cell r="G476">
            <v>0</v>
          </cell>
          <cell r="H476">
            <v>0</v>
          </cell>
          <cell r="I476">
            <v>0</v>
          </cell>
          <cell r="J476">
            <v>0</v>
          </cell>
          <cell r="K476">
            <v>0</v>
          </cell>
          <cell r="L476">
            <v>0</v>
          </cell>
          <cell r="M476">
            <v>0</v>
          </cell>
          <cell r="N476">
            <v>0</v>
          </cell>
          <cell r="O476">
            <v>0</v>
          </cell>
        </row>
        <row r="477">
          <cell r="B477">
            <v>0</v>
          </cell>
          <cell r="C477">
            <v>0</v>
          </cell>
          <cell r="D477">
            <v>0</v>
          </cell>
          <cell r="E477">
            <v>0</v>
          </cell>
          <cell r="G477">
            <v>0</v>
          </cell>
          <cell r="H477">
            <v>0</v>
          </cell>
          <cell r="I477">
            <v>0</v>
          </cell>
          <cell r="J477">
            <v>0</v>
          </cell>
          <cell r="K477">
            <v>0</v>
          </cell>
          <cell r="L477">
            <v>0</v>
          </cell>
          <cell r="M477">
            <v>0</v>
          </cell>
          <cell r="N477">
            <v>0</v>
          </cell>
          <cell r="O477">
            <v>0</v>
          </cell>
        </row>
        <row r="478">
          <cell r="B478">
            <v>0</v>
          </cell>
          <cell r="C478">
            <v>0</v>
          </cell>
          <cell r="D478">
            <v>0</v>
          </cell>
          <cell r="E478">
            <v>0</v>
          </cell>
          <cell r="G478">
            <v>0</v>
          </cell>
          <cell r="H478">
            <v>0</v>
          </cell>
          <cell r="I478">
            <v>0</v>
          </cell>
          <cell r="J478">
            <v>0</v>
          </cell>
          <cell r="K478">
            <v>0</v>
          </cell>
          <cell r="L478">
            <v>0</v>
          </cell>
          <cell r="M478">
            <v>0</v>
          </cell>
          <cell r="N478">
            <v>0</v>
          </cell>
          <cell r="O478">
            <v>0</v>
          </cell>
        </row>
        <row r="479">
          <cell r="B479">
            <v>0</v>
          </cell>
          <cell r="C479">
            <v>0</v>
          </cell>
          <cell r="D479">
            <v>0</v>
          </cell>
          <cell r="E479">
            <v>0</v>
          </cell>
          <cell r="G479">
            <v>0</v>
          </cell>
          <cell r="H479">
            <v>0</v>
          </cell>
          <cell r="I479">
            <v>0</v>
          </cell>
          <cell r="J479">
            <v>0</v>
          </cell>
          <cell r="K479">
            <v>0</v>
          </cell>
          <cell r="L479">
            <v>0</v>
          </cell>
          <cell r="M479">
            <v>0</v>
          </cell>
          <cell r="N479">
            <v>0</v>
          </cell>
          <cell r="O479">
            <v>0</v>
          </cell>
        </row>
        <row r="480">
          <cell r="B480">
            <v>0</v>
          </cell>
          <cell r="C480">
            <v>0</v>
          </cell>
          <cell r="D480">
            <v>0</v>
          </cell>
          <cell r="E480">
            <v>0</v>
          </cell>
          <cell r="G480">
            <v>0</v>
          </cell>
          <cell r="H480">
            <v>0</v>
          </cell>
          <cell r="I480">
            <v>0</v>
          </cell>
          <cell r="J480">
            <v>0</v>
          </cell>
          <cell r="K480">
            <v>0</v>
          </cell>
          <cell r="L480">
            <v>0</v>
          </cell>
          <cell r="M480">
            <v>0</v>
          </cell>
          <cell r="N480">
            <v>0</v>
          </cell>
          <cell r="O480">
            <v>0</v>
          </cell>
        </row>
        <row r="481">
          <cell r="B481">
            <v>0</v>
          </cell>
          <cell r="C481">
            <v>0</v>
          </cell>
          <cell r="D481">
            <v>0</v>
          </cell>
          <cell r="E481">
            <v>0</v>
          </cell>
          <cell r="G481">
            <v>0</v>
          </cell>
          <cell r="H481">
            <v>0</v>
          </cell>
          <cell r="I481">
            <v>0</v>
          </cell>
          <cell r="J481">
            <v>0</v>
          </cell>
          <cell r="K481">
            <v>0</v>
          </cell>
          <cell r="L481">
            <v>0</v>
          </cell>
          <cell r="M481">
            <v>0</v>
          </cell>
          <cell r="N481">
            <v>0</v>
          </cell>
          <cell r="O481">
            <v>0</v>
          </cell>
        </row>
        <row r="482">
          <cell r="B482">
            <v>0</v>
          </cell>
          <cell r="C482">
            <v>0</v>
          </cell>
          <cell r="D482">
            <v>0</v>
          </cell>
          <cell r="E482">
            <v>0</v>
          </cell>
          <cell r="G482">
            <v>0</v>
          </cell>
          <cell r="H482">
            <v>0</v>
          </cell>
          <cell r="I482">
            <v>0</v>
          </cell>
          <cell r="J482">
            <v>0</v>
          </cell>
          <cell r="K482">
            <v>0</v>
          </cell>
          <cell r="L482">
            <v>0</v>
          </cell>
          <cell r="M482">
            <v>0</v>
          </cell>
          <cell r="N482">
            <v>0</v>
          </cell>
          <cell r="O482">
            <v>0</v>
          </cell>
        </row>
        <row r="483">
          <cell r="B483">
            <v>0</v>
          </cell>
          <cell r="C483">
            <v>0</v>
          </cell>
          <cell r="D483">
            <v>0</v>
          </cell>
          <cell r="E483">
            <v>0</v>
          </cell>
          <cell r="G483">
            <v>0</v>
          </cell>
          <cell r="H483">
            <v>0</v>
          </cell>
          <cell r="I483">
            <v>0</v>
          </cell>
          <cell r="J483">
            <v>0</v>
          </cell>
          <cell r="K483">
            <v>0</v>
          </cell>
          <cell r="L483">
            <v>0</v>
          </cell>
          <cell r="M483">
            <v>0</v>
          </cell>
          <cell r="N483">
            <v>0</v>
          </cell>
          <cell r="O483">
            <v>0</v>
          </cell>
        </row>
        <row r="484">
          <cell r="B484">
            <v>0</v>
          </cell>
          <cell r="C484">
            <v>0</v>
          </cell>
          <cell r="D484">
            <v>0</v>
          </cell>
          <cell r="E484">
            <v>0</v>
          </cell>
          <cell r="G484">
            <v>0</v>
          </cell>
          <cell r="H484">
            <v>0</v>
          </cell>
          <cell r="I484">
            <v>0</v>
          </cell>
          <cell r="J484">
            <v>0</v>
          </cell>
          <cell r="K484">
            <v>0</v>
          </cell>
          <cell r="L484">
            <v>0</v>
          </cell>
          <cell r="M484">
            <v>0</v>
          </cell>
          <cell r="N484">
            <v>0</v>
          </cell>
          <cell r="O484">
            <v>0</v>
          </cell>
        </row>
        <row r="485">
          <cell r="B485">
            <v>0</v>
          </cell>
          <cell r="C485">
            <v>0</v>
          </cell>
          <cell r="D485">
            <v>0</v>
          </cell>
          <cell r="E485">
            <v>0</v>
          </cell>
          <cell r="G485">
            <v>0</v>
          </cell>
          <cell r="H485">
            <v>0</v>
          </cell>
          <cell r="I485">
            <v>0</v>
          </cell>
          <cell r="J485">
            <v>0</v>
          </cell>
          <cell r="K485">
            <v>0</v>
          </cell>
          <cell r="L485">
            <v>0</v>
          </cell>
          <cell r="M485">
            <v>0</v>
          </cell>
          <cell r="N485">
            <v>0</v>
          </cell>
          <cell r="O485">
            <v>0</v>
          </cell>
        </row>
        <row r="486">
          <cell r="B486">
            <v>0</v>
          </cell>
          <cell r="C486">
            <v>0</v>
          </cell>
          <cell r="D486">
            <v>0</v>
          </cell>
          <cell r="E486">
            <v>0</v>
          </cell>
          <cell r="G486">
            <v>0</v>
          </cell>
          <cell r="H486">
            <v>0</v>
          </cell>
          <cell r="I486">
            <v>0</v>
          </cell>
          <cell r="J486">
            <v>0</v>
          </cell>
          <cell r="K486">
            <v>0</v>
          </cell>
          <cell r="L486">
            <v>0</v>
          </cell>
          <cell r="M486">
            <v>0</v>
          </cell>
          <cell r="N486">
            <v>0</v>
          </cell>
          <cell r="O486">
            <v>0</v>
          </cell>
        </row>
        <row r="487">
          <cell r="B487">
            <v>0</v>
          </cell>
          <cell r="C487">
            <v>0</v>
          </cell>
          <cell r="D487">
            <v>0</v>
          </cell>
          <cell r="E487">
            <v>0</v>
          </cell>
          <cell r="G487">
            <v>0</v>
          </cell>
          <cell r="H487">
            <v>0</v>
          </cell>
          <cell r="I487">
            <v>0</v>
          </cell>
          <cell r="J487">
            <v>0</v>
          </cell>
          <cell r="K487">
            <v>0</v>
          </cell>
          <cell r="L487">
            <v>0</v>
          </cell>
          <cell r="M487">
            <v>0</v>
          </cell>
          <cell r="N487">
            <v>0</v>
          </cell>
          <cell r="O487">
            <v>0</v>
          </cell>
        </row>
        <row r="488">
          <cell r="B488">
            <v>0</v>
          </cell>
          <cell r="C488">
            <v>0</v>
          </cell>
          <cell r="D488">
            <v>0</v>
          </cell>
          <cell r="E488">
            <v>0</v>
          </cell>
          <cell r="G488">
            <v>0</v>
          </cell>
          <cell r="H488">
            <v>0</v>
          </cell>
          <cell r="I488">
            <v>0</v>
          </cell>
          <cell r="J488">
            <v>0</v>
          </cell>
          <cell r="K488">
            <v>0</v>
          </cell>
          <cell r="L488">
            <v>0</v>
          </cell>
          <cell r="M488">
            <v>0</v>
          </cell>
          <cell r="N488">
            <v>0</v>
          </cell>
          <cell r="O488">
            <v>0</v>
          </cell>
        </row>
        <row r="489">
          <cell r="B489">
            <v>0</v>
          </cell>
          <cell r="C489">
            <v>0</v>
          </cell>
          <cell r="D489">
            <v>0</v>
          </cell>
          <cell r="E489">
            <v>0</v>
          </cell>
          <cell r="G489">
            <v>0</v>
          </cell>
          <cell r="H489">
            <v>0</v>
          </cell>
          <cell r="I489">
            <v>0</v>
          </cell>
          <cell r="J489">
            <v>0</v>
          </cell>
          <cell r="K489">
            <v>0</v>
          </cell>
          <cell r="L489">
            <v>0</v>
          </cell>
          <cell r="M489">
            <v>0</v>
          </cell>
          <cell r="N489">
            <v>0</v>
          </cell>
          <cell r="O489">
            <v>0</v>
          </cell>
        </row>
        <row r="490">
          <cell r="B490">
            <v>0</v>
          </cell>
          <cell r="C490">
            <v>0</v>
          </cell>
          <cell r="D490">
            <v>0</v>
          </cell>
          <cell r="E490">
            <v>0</v>
          </cell>
          <cell r="G490">
            <v>0</v>
          </cell>
          <cell r="H490">
            <v>0</v>
          </cell>
          <cell r="I490">
            <v>0</v>
          </cell>
          <cell r="J490">
            <v>0</v>
          </cell>
          <cell r="K490">
            <v>0</v>
          </cell>
          <cell r="L490">
            <v>0</v>
          </cell>
          <cell r="M490">
            <v>0</v>
          </cell>
          <cell r="N490">
            <v>0</v>
          </cell>
          <cell r="O490">
            <v>0</v>
          </cell>
        </row>
        <row r="491">
          <cell r="B491">
            <v>0</v>
          </cell>
          <cell r="C491">
            <v>0</v>
          </cell>
          <cell r="D491">
            <v>0</v>
          </cell>
          <cell r="E491">
            <v>0</v>
          </cell>
          <cell r="G491">
            <v>0</v>
          </cell>
          <cell r="H491">
            <v>0</v>
          </cell>
          <cell r="I491">
            <v>0</v>
          </cell>
          <cell r="J491">
            <v>0</v>
          </cell>
          <cell r="K491">
            <v>0</v>
          </cell>
          <cell r="L491">
            <v>0</v>
          </cell>
          <cell r="M491">
            <v>0</v>
          </cell>
          <cell r="N491">
            <v>0</v>
          </cell>
          <cell r="O491">
            <v>0</v>
          </cell>
        </row>
        <row r="492">
          <cell r="B492">
            <v>0</v>
          </cell>
          <cell r="C492">
            <v>0</v>
          </cell>
          <cell r="D492">
            <v>0</v>
          </cell>
          <cell r="E492">
            <v>0</v>
          </cell>
          <cell r="G492">
            <v>0</v>
          </cell>
          <cell r="H492">
            <v>0</v>
          </cell>
          <cell r="I492">
            <v>0</v>
          </cell>
          <cell r="J492">
            <v>0</v>
          </cell>
          <cell r="K492">
            <v>0</v>
          </cell>
          <cell r="L492">
            <v>0</v>
          </cell>
          <cell r="M492">
            <v>0</v>
          </cell>
          <cell r="N492">
            <v>0</v>
          </cell>
          <cell r="O492">
            <v>0</v>
          </cell>
        </row>
        <row r="493">
          <cell r="B493">
            <v>0</v>
          </cell>
          <cell r="C493">
            <v>0</v>
          </cell>
          <cell r="D493">
            <v>0</v>
          </cell>
          <cell r="E493">
            <v>0</v>
          </cell>
          <cell r="G493">
            <v>0</v>
          </cell>
          <cell r="H493">
            <v>0</v>
          </cell>
          <cell r="I493">
            <v>0</v>
          </cell>
          <cell r="J493">
            <v>0</v>
          </cell>
          <cell r="K493">
            <v>0</v>
          </cell>
          <cell r="L493">
            <v>0</v>
          </cell>
          <cell r="M493">
            <v>0</v>
          </cell>
          <cell r="N493">
            <v>0</v>
          </cell>
          <cell r="O493">
            <v>0</v>
          </cell>
        </row>
        <row r="494">
          <cell r="B494">
            <v>0</v>
          </cell>
          <cell r="C494">
            <v>0</v>
          </cell>
          <cell r="D494">
            <v>0</v>
          </cell>
          <cell r="E494">
            <v>0</v>
          </cell>
          <cell r="G494">
            <v>0</v>
          </cell>
          <cell r="H494">
            <v>0</v>
          </cell>
          <cell r="I494">
            <v>0</v>
          </cell>
          <cell r="J494">
            <v>0</v>
          </cell>
          <cell r="K494">
            <v>0</v>
          </cell>
          <cell r="L494">
            <v>0</v>
          </cell>
          <cell r="M494">
            <v>0</v>
          </cell>
          <cell r="N494">
            <v>0</v>
          </cell>
          <cell r="O494">
            <v>0</v>
          </cell>
        </row>
        <row r="495">
          <cell r="B495">
            <v>0</v>
          </cell>
          <cell r="C495">
            <v>0</v>
          </cell>
          <cell r="D495">
            <v>0</v>
          </cell>
          <cell r="E495">
            <v>0</v>
          </cell>
          <cell r="G495">
            <v>0</v>
          </cell>
          <cell r="H495">
            <v>0</v>
          </cell>
          <cell r="I495">
            <v>0</v>
          </cell>
          <cell r="J495">
            <v>0</v>
          </cell>
          <cell r="K495">
            <v>0</v>
          </cell>
          <cell r="L495">
            <v>0</v>
          </cell>
          <cell r="M495">
            <v>0</v>
          </cell>
          <cell r="N495">
            <v>0</v>
          </cell>
          <cell r="O495">
            <v>0</v>
          </cell>
        </row>
        <row r="496">
          <cell r="B496">
            <v>0</v>
          </cell>
          <cell r="C496">
            <v>0</v>
          </cell>
          <cell r="D496">
            <v>0</v>
          </cell>
          <cell r="E496">
            <v>0</v>
          </cell>
          <cell r="G496">
            <v>0</v>
          </cell>
          <cell r="H496">
            <v>0</v>
          </cell>
          <cell r="I496">
            <v>0</v>
          </cell>
          <cell r="J496">
            <v>0</v>
          </cell>
          <cell r="K496">
            <v>0</v>
          </cell>
          <cell r="L496">
            <v>0</v>
          </cell>
          <cell r="M496">
            <v>0</v>
          </cell>
          <cell r="N496">
            <v>0</v>
          </cell>
          <cell r="O496">
            <v>0</v>
          </cell>
        </row>
        <row r="497">
          <cell r="B497">
            <v>0</v>
          </cell>
          <cell r="C497">
            <v>0</v>
          </cell>
          <cell r="D497">
            <v>0</v>
          </cell>
          <cell r="E497">
            <v>0</v>
          </cell>
          <cell r="G497">
            <v>0</v>
          </cell>
          <cell r="H497">
            <v>0</v>
          </cell>
          <cell r="I497">
            <v>0</v>
          </cell>
          <cell r="J497">
            <v>0</v>
          </cell>
          <cell r="K497">
            <v>0</v>
          </cell>
          <cell r="L497">
            <v>0</v>
          </cell>
          <cell r="M497">
            <v>0</v>
          </cell>
          <cell r="N497">
            <v>0</v>
          </cell>
          <cell r="O497">
            <v>0</v>
          </cell>
        </row>
        <row r="498">
          <cell r="B498">
            <v>0</v>
          </cell>
          <cell r="C498">
            <v>0</v>
          </cell>
          <cell r="D498">
            <v>0</v>
          </cell>
          <cell r="E498">
            <v>0</v>
          </cell>
          <cell r="G498">
            <v>0</v>
          </cell>
          <cell r="H498">
            <v>0</v>
          </cell>
          <cell r="I498">
            <v>0</v>
          </cell>
          <cell r="J498">
            <v>0</v>
          </cell>
          <cell r="K498">
            <v>0</v>
          </cell>
          <cell r="L498">
            <v>0</v>
          </cell>
          <cell r="M498">
            <v>0</v>
          </cell>
          <cell r="N498">
            <v>0</v>
          </cell>
          <cell r="O498">
            <v>0</v>
          </cell>
        </row>
        <row r="499">
          <cell r="B499">
            <v>0</v>
          </cell>
          <cell r="C499">
            <v>0</v>
          </cell>
          <cell r="D499">
            <v>0</v>
          </cell>
          <cell r="E499">
            <v>0</v>
          </cell>
          <cell r="G499">
            <v>0</v>
          </cell>
          <cell r="H499">
            <v>0</v>
          </cell>
          <cell r="I499">
            <v>0</v>
          </cell>
          <cell r="J499">
            <v>0</v>
          </cell>
          <cell r="K499">
            <v>0</v>
          </cell>
          <cell r="L499">
            <v>0</v>
          </cell>
          <cell r="M499">
            <v>0</v>
          </cell>
          <cell r="N499">
            <v>0</v>
          </cell>
          <cell r="O499">
            <v>0</v>
          </cell>
        </row>
        <row r="500">
          <cell r="B500">
            <v>0</v>
          </cell>
          <cell r="C500">
            <v>0</v>
          </cell>
          <cell r="D500">
            <v>0</v>
          </cell>
          <cell r="E500">
            <v>0</v>
          </cell>
          <cell r="G500">
            <v>0</v>
          </cell>
          <cell r="H500">
            <v>0</v>
          </cell>
          <cell r="I500">
            <v>0</v>
          </cell>
          <cell r="J500">
            <v>0</v>
          </cell>
          <cell r="K500">
            <v>0</v>
          </cell>
          <cell r="L500">
            <v>0</v>
          </cell>
          <cell r="M500">
            <v>0</v>
          </cell>
          <cell r="N500">
            <v>0</v>
          </cell>
          <cell r="O500">
            <v>0</v>
          </cell>
        </row>
        <row r="501">
          <cell r="B501">
            <v>0</v>
          </cell>
          <cell r="C501">
            <v>0</v>
          </cell>
          <cell r="D501">
            <v>0</v>
          </cell>
          <cell r="E501">
            <v>0</v>
          </cell>
          <cell r="G501">
            <v>0</v>
          </cell>
          <cell r="H501">
            <v>0</v>
          </cell>
          <cell r="I501">
            <v>0</v>
          </cell>
          <cell r="J501">
            <v>0</v>
          </cell>
          <cell r="K501">
            <v>0</v>
          </cell>
          <cell r="L501">
            <v>0</v>
          </cell>
          <cell r="M501">
            <v>0</v>
          </cell>
          <cell r="N501">
            <v>0</v>
          </cell>
          <cell r="O501">
            <v>0</v>
          </cell>
        </row>
        <row r="502">
          <cell r="B502">
            <v>0</v>
          </cell>
          <cell r="C502">
            <v>0</v>
          </cell>
          <cell r="D502">
            <v>0</v>
          </cell>
          <cell r="E502">
            <v>0</v>
          </cell>
          <cell r="G502">
            <v>0</v>
          </cell>
          <cell r="H502">
            <v>0</v>
          </cell>
          <cell r="I502">
            <v>0</v>
          </cell>
          <cell r="J502">
            <v>0</v>
          </cell>
          <cell r="K502">
            <v>0</v>
          </cell>
          <cell r="L502">
            <v>0</v>
          </cell>
          <cell r="M502">
            <v>0</v>
          </cell>
          <cell r="N502">
            <v>0</v>
          </cell>
          <cell r="O502">
            <v>0</v>
          </cell>
        </row>
        <row r="503">
          <cell r="B503">
            <v>0</v>
          </cell>
          <cell r="C503">
            <v>0</v>
          </cell>
          <cell r="D503">
            <v>0</v>
          </cell>
          <cell r="E503">
            <v>0</v>
          </cell>
          <cell r="G503">
            <v>0</v>
          </cell>
          <cell r="H503">
            <v>0</v>
          </cell>
          <cell r="I503">
            <v>0</v>
          </cell>
          <cell r="J503">
            <v>0</v>
          </cell>
          <cell r="K503">
            <v>0</v>
          </cell>
          <cell r="L503">
            <v>0</v>
          </cell>
          <cell r="M503">
            <v>0</v>
          </cell>
          <cell r="N503">
            <v>0</v>
          </cell>
          <cell r="O503">
            <v>0</v>
          </cell>
        </row>
        <row r="504">
          <cell r="B504">
            <v>0</v>
          </cell>
          <cell r="C504">
            <v>0</v>
          </cell>
          <cell r="D504">
            <v>0</v>
          </cell>
          <cell r="E504">
            <v>0</v>
          </cell>
          <cell r="G504">
            <v>0</v>
          </cell>
          <cell r="H504">
            <v>0</v>
          </cell>
          <cell r="I504">
            <v>0</v>
          </cell>
          <cell r="J504">
            <v>0</v>
          </cell>
          <cell r="K504">
            <v>0</v>
          </cell>
          <cell r="L504">
            <v>0</v>
          </cell>
          <cell r="M504">
            <v>0</v>
          </cell>
          <cell r="N504">
            <v>0</v>
          </cell>
          <cell r="O504">
            <v>0</v>
          </cell>
        </row>
        <row r="505">
          <cell r="B505">
            <v>0</v>
          </cell>
          <cell r="C505">
            <v>0</v>
          </cell>
          <cell r="D505">
            <v>0</v>
          </cell>
          <cell r="E505">
            <v>0</v>
          </cell>
          <cell r="G505">
            <v>0</v>
          </cell>
          <cell r="H505">
            <v>0</v>
          </cell>
          <cell r="I505">
            <v>0</v>
          </cell>
          <cell r="J505">
            <v>0</v>
          </cell>
          <cell r="K505">
            <v>0</v>
          </cell>
          <cell r="L505">
            <v>0</v>
          </cell>
          <cell r="M505">
            <v>0</v>
          </cell>
          <cell r="N505">
            <v>0</v>
          </cell>
          <cell r="O505">
            <v>0</v>
          </cell>
        </row>
        <row r="506">
          <cell r="B506">
            <v>0</v>
          </cell>
          <cell r="C506">
            <v>0</v>
          </cell>
          <cell r="D506">
            <v>0</v>
          </cell>
          <cell r="E506">
            <v>0</v>
          </cell>
          <cell r="G506">
            <v>0</v>
          </cell>
          <cell r="H506">
            <v>0</v>
          </cell>
          <cell r="I506">
            <v>0</v>
          </cell>
          <cell r="J506">
            <v>0</v>
          </cell>
          <cell r="K506">
            <v>0</v>
          </cell>
          <cell r="L506">
            <v>0</v>
          </cell>
          <cell r="M506">
            <v>0</v>
          </cell>
          <cell r="N506">
            <v>0</v>
          </cell>
          <cell r="O506">
            <v>0</v>
          </cell>
        </row>
        <row r="507">
          <cell r="B507">
            <v>0</v>
          </cell>
          <cell r="C507">
            <v>0</v>
          </cell>
          <cell r="D507">
            <v>0</v>
          </cell>
          <cell r="E507">
            <v>0</v>
          </cell>
          <cell r="G507">
            <v>0</v>
          </cell>
          <cell r="H507">
            <v>0</v>
          </cell>
          <cell r="I507">
            <v>0</v>
          </cell>
          <cell r="J507">
            <v>0</v>
          </cell>
          <cell r="K507">
            <v>0</v>
          </cell>
          <cell r="L507">
            <v>0</v>
          </cell>
          <cell r="M507">
            <v>0</v>
          </cell>
          <cell r="N507">
            <v>0</v>
          </cell>
          <cell r="O507">
            <v>0</v>
          </cell>
        </row>
        <row r="508">
          <cell r="B508">
            <v>0</v>
          </cell>
          <cell r="C508">
            <v>0</v>
          </cell>
          <cell r="D508">
            <v>0</v>
          </cell>
          <cell r="E508">
            <v>0</v>
          </cell>
          <cell r="G508">
            <v>0</v>
          </cell>
          <cell r="H508">
            <v>0</v>
          </cell>
          <cell r="I508">
            <v>0</v>
          </cell>
          <cell r="J508">
            <v>0</v>
          </cell>
          <cell r="K508">
            <v>0</v>
          </cell>
          <cell r="L508">
            <v>0</v>
          </cell>
          <cell r="M508">
            <v>0</v>
          </cell>
          <cell r="N508">
            <v>0</v>
          </cell>
          <cell r="O508">
            <v>0</v>
          </cell>
        </row>
        <row r="509">
          <cell r="B509">
            <v>0</v>
          </cell>
          <cell r="C509">
            <v>0</v>
          </cell>
          <cell r="D509">
            <v>0</v>
          </cell>
          <cell r="E509">
            <v>0</v>
          </cell>
          <cell r="G509">
            <v>0</v>
          </cell>
          <cell r="H509">
            <v>0</v>
          </cell>
          <cell r="I509">
            <v>0</v>
          </cell>
          <cell r="J509">
            <v>0</v>
          </cell>
          <cell r="K509">
            <v>0</v>
          </cell>
          <cell r="L509">
            <v>0</v>
          </cell>
          <cell r="M509">
            <v>0</v>
          </cell>
          <cell r="N509">
            <v>0</v>
          </cell>
          <cell r="O509">
            <v>0</v>
          </cell>
        </row>
        <row r="510">
          <cell r="B510">
            <v>0</v>
          </cell>
          <cell r="C510">
            <v>0</v>
          </cell>
          <cell r="D510">
            <v>0</v>
          </cell>
          <cell r="E510">
            <v>0</v>
          </cell>
          <cell r="G510">
            <v>0</v>
          </cell>
          <cell r="H510">
            <v>0</v>
          </cell>
          <cell r="I510">
            <v>0</v>
          </cell>
          <cell r="J510">
            <v>0</v>
          </cell>
          <cell r="K510">
            <v>0</v>
          </cell>
          <cell r="L510">
            <v>0</v>
          </cell>
          <cell r="M510">
            <v>0</v>
          </cell>
          <cell r="N510">
            <v>0</v>
          </cell>
          <cell r="O510">
            <v>0</v>
          </cell>
        </row>
        <row r="511">
          <cell r="B511">
            <v>0</v>
          </cell>
          <cell r="C511">
            <v>0</v>
          </cell>
          <cell r="D511">
            <v>0</v>
          </cell>
          <cell r="E511">
            <v>0</v>
          </cell>
          <cell r="G511">
            <v>0</v>
          </cell>
          <cell r="H511">
            <v>0</v>
          </cell>
          <cell r="I511">
            <v>0</v>
          </cell>
          <cell r="J511">
            <v>0</v>
          </cell>
          <cell r="K511">
            <v>0</v>
          </cell>
          <cell r="L511">
            <v>0</v>
          </cell>
          <cell r="M511">
            <v>0</v>
          </cell>
          <cell r="N511">
            <v>0</v>
          </cell>
          <cell r="O511">
            <v>0</v>
          </cell>
        </row>
        <row r="512">
          <cell r="B512">
            <v>0</v>
          </cell>
          <cell r="C512">
            <v>0</v>
          </cell>
          <cell r="D512">
            <v>0</v>
          </cell>
          <cell r="E512">
            <v>0</v>
          </cell>
          <cell r="G512">
            <v>0</v>
          </cell>
          <cell r="H512">
            <v>0</v>
          </cell>
          <cell r="I512">
            <v>0</v>
          </cell>
          <cell r="J512">
            <v>0</v>
          </cell>
          <cell r="K512">
            <v>0</v>
          </cell>
          <cell r="L512">
            <v>0</v>
          </cell>
          <cell r="M512">
            <v>0</v>
          </cell>
          <cell r="N512">
            <v>0</v>
          </cell>
          <cell r="O512">
            <v>0</v>
          </cell>
        </row>
        <row r="513">
          <cell r="B513">
            <v>0</v>
          </cell>
          <cell r="C513">
            <v>0</v>
          </cell>
          <cell r="D513">
            <v>0</v>
          </cell>
          <cell r="E513">
            <v>0</v>
          </cell>
          <cell r="G513">
            <v>0</v>
          </cell>
          <cell r="H513">
            <v>0</v>
          </cell>
          <cell r="I513">
            <v>0</v>
          </cell>
          <cell r="J513">
            <v>0</v>
          </cell>
          <cell r="K513">
            <v>0</v>
          </cell>
          <cell r="L513">
            <v>0</v>
          </cell>
          <cell r="M513">
            <v>0</v>
          </cell>
          <cell r="N513">
            <v>0</v>
          </cell>
          <cell r="O513">
            <v>0</v>
          </cell>
        </row>
        <row r="514">
          <cell r="B514">
            <v>0</v>
          </cell>
          <cell r="C514">
            <v>0</v>
          </cell>
          <cell r="D514">
            <v>0</v>
          </cell>
          <cell r="E514">
            <v>0</v>
          </cell>
          <cell r="G514">
            <v>0</v>
          </cell>
          <cell r="H514">
            <v>0</v>
          </cell>
          <cell r="I514">
            <v>0</v>
          </cell>
          <cell r="J514">
            <v>0</v>
          </cell>
          <cell r="K514">
            <v>0</v>
          </cell>
          <cell r="L514">
            <v>0</v>
          </cell>
          <cell r="M514">
            <v>0</v>
          </cell>
          <cell r="N514">
            <v>0</v>
          </cell>
          <cell r="O514">
            <v>0</v>
          </cell>
        </row>
        <row r="515">
          <cell r="B515">
            <v>0</v>
          </cell>
          <cell r="C515">
            <v>0</v>
          </cell>
          <cell r="D515">
            <v>0</v>
          </cell>
          <cell r="E515">
            <v>0</v>
          </cell>
          <cell r="G515">
            <v>0</v>
          </cell>
          <cell r="H515">
            <v>0</v>
          </cell>
          <cell r="I515">
            <v>0</v>
          </cell>
          <cell r="J515">
            <v>0</v>
          </cell>
          <cell r="K515">
            <v>0</v>
          </cell>
          <cell r="L515">
            <v>0</v>
          </cell>
          <cell r="M515">
            <v>0</v>
          </cell>
          <cell r="N515">
            <v>0</v>
          </cell>
          <cell r="O515">
            <v>0</v>
          </cell>
        </row>
        <row r="516">
          <cell r="B516">
            <v>0</v>
          </cell>
          <cell r="C516">
            <v>0</v>
          </cell>
          <cell r="D516">
            <v>0</v>
          </cell>
          <cell r="E516">
            <v>0</v>
          </cell>
          <cell r="G516">
            <v>0</v>
          </cell>
          <cell r="H516">
            <v>0</v>
          </cell>
          <cell r="I516">
            <v>0</v>
          </cell>
          <cell r="J516">
            <v>0</v>
          </cell>
          <cell r="K516">
            <v>0</v>
          </cell>
          <cell r="L516">
            <v>0</v>
          </cell>
          <cell r="M516">
            <v>0</v>
          </cell>
          <cell r="N516">
            <v>0</v>
          </cell>
          <cell r="O516">
            <v>0</v>
          </cell>
        </row>
        <row r="517">
          <cell r="B517">
            <v>0</v>
          </cell>
          <cell r="C517">
            <v>0</v>
          </cell>
          <cell r="D517">
            <v>0</v>
          </cell>
          <cell r="E517">
            <v>0</v>
          </cell>
          <cell r="G517">
            <v>0</v>
          </cell>
          <cell r="H517">
            <v>0</v>
          </cell>
          <cell r="I517">
            <v>0</v>
          </cell>
          <cell r="J517">
            <v>0</v>
          </cell>
          <cell r="K517">
            <v>0</v>
          </cell>
          <cell r="L517">
            <v>0</v>
          </cell>
          <cell r="M517">
            <v>0</v>
          </cell>
          <cell r="N517">
            <v>0</v>
          </cell>
          <cell r="O517">
            <v>0</v>
          </cell>
        </row>
        <row r="518">
          <cell r="B518">
            <v>0</v>
          </cell>
          <cell r="C518">
            <v>0</v>
          </cell>
          <cell r="D518">
            <v>0</v>
          </cell>
          <cell r="E518">
            <v>0</v>
          </cell>
          <cell r="G518">
            <v>0</v>
          </cell>
          <cell r="H518">
            <v>0</v>
          </cell>
          <cell r="I518">
            <v>0</v>
          </cell>
          <cell r="J518">
            <v>0</v>
          </cell>
          <cell r="K518">
            <v>0</v>
          </cell>
          <cell r="L518">
            <v>0</v>
          </cell>
          <cell r="M518">
            <v>0</v>
          </cell>
          <cell r="N518">
            <v>0</v>
          </cell>
          <cell r="O518">
            <v>0</v>
          </cell>
        </row>
        <row r="519">
          <cell r="B519">
            <v>0</v>
          </cell>
          <cell r="C519">
            <v>0</v>
          </cell>
          <cell r="D519">
            <v>0</v>
          </cell>
          <cell r="E519">
            <v>0</v>
          </cell>
          <cell r="G519">
            <v>0</v>
          </cell>
          <cell r="H519">
            <v>0</v>
          </cell>
          <cell r="I519">
            <v>0</v>
          </cell>
          <cell r="J519">
            <v>0</v>
          </cell>
          <cell r="K519">
            <v>0</v>
          </cell>
          <cell r="L519">
            <v>0</v>
          </cell>
          <cell r="M519">
            <v>0</v>
          </cell>
          <cell r="N519">
            <v>0</v>
          </cell>
          <cell r="O519">
            <v>0</v>
          </cell>
        </row>
        <row r="520">
          <cell r="B520">
            <v>0</v>
          </cell>
          <cell r="C520">
            <v>0</v>
          </cell>
          <cell r="D520">
            <v>0</v>
          </cell>
          <cell r="E520">
            <v>0</v>
          </cell>
          <cell r="G520">
            <v>0</v>
          </cell>
          <cell r="H520">
            <v>0</v>
          </cell>
          <cell r="I520">
            <v>0</v>
          </cell>
          <cell r="J520">
            <v>0</v>
          </cell>
          <cell r="K520">
            <v>0</v>
          </cell>
          <cell r="L520">
            <v>0</v>
          </cell>
          <cell r="M520">
            <v>0</v>
          </cell>
          <cell r="N520">
            <v>0</v>
          </cell>
          <cell r="O520">
            <v>0</v>
          </cell>
        </row>
        <row r="521">
          <cell r="B521">
            <v>0</v>
          </cell>
          <cell r="C521">
            <v>0</v>
          </cell>
          <cell r="D521">
            <v>0</v>
          </cell>
          <cell r="E521">
            <v>0</v>
          </cell>
          <cell r="G521">
            <v>0</v>
          </cell>
          <cell r="H521">
            <v>0</v>
          </cell>
          <cell r="I521">
            <v>0</v>
          </cell>
          <cell r="J521">
            <v>0</v>
          </cell>
          <cell r="K521">
            <v>0</v>
          </cell>
          <cell r="L521">
            <v>0</v>
          </cell>
          <cell r="M521">
            <v>0</v>
          </cell>
          <cell r="N521">
            <v>0</v>
          </cell>
          <cell r="O521">
            <v>0</v>
          </cell>
        </row>
        <row r="522">
          <cell r="B522">
            <v>0</v>
          </cell>
          <cell r="C522">
            <v>0</v>
          </cell>
          <cell r="D522">
            <v>0</v>
          </cell>
          <cell r="E522">
            <v>0</v>
          </cell>
          <cell r="G522">
            <v>0</v>
          </cell>
          <cell r="H522">
            <v>0</v>
          </cell>
          <cell r="I522">
            <v>0</v>
          </cell>
          <cell r="J522">
            <v>0</v>
          </cell>
          <cell r="K522">
            <v>0</v>
          </cell>
          <cell r="L522">
            <v>0</v>
          </cell>
          <cell r="M522">
            <v>0</v>
          </cell>
          <cell r="N522">
            <v>0</v>
          </cell>
          <cell r="O522">
            <v>0</v>
          </cell>
        </row>
        <row r="523">
          <cell r="B523">
            <v>0</v>
          </cell>
          <cell r="C523">
            <v>0</v>
          </cell>
          <cell r="D523">
            <v>0</v>
          </cell>
          <cell r="E523">
            <v>0</v>
          </cell>
          <cell r="G523">
            <v>0</v>
          </cell>
          <cell r="H523">
            <v>0</v>
          </cell>
          <cell r="I523">
            <v>0</v>
          </cell>
          <cell r="J523">
            <v>0</v>
          </cell>
          <cell r="K523">
            <v>0</v>
          </cell>
          <cell r="L523">
            <v>0</v>
          </cell>
          <cell r="M523">
            <v>0</v>
          </cell>
          <cell r="N523">
            <v>0</v>
          </cell>
          <cell r="O523">
            <v>0</v>
          </cell>
        </row>
        <row r="524">
          <cell r="B524">
            <v>0</v>
          </cell>
          <cell r="C524">
            <v>0</v>
          </cell>
          <cell r="D524">
            <v>0</v>
          </cell>
          <cell r="E524">
            <v>0</v>
          </cell>
          <cell r="G524">
            <v>0</v>
          </cell>
          <cell r="H524">
            <v>0</v>
          </cell>
          <cell r="I524">
            <v>0</v>
          </cell>
          <cell r="J524">
            <v>0</v>
          </cell>
          <cell r="K524">
            <v>0</v>
          </cell>
          <cell r="L524">
            <v>0</v>
          </cell>
          <cell r="M524">
            <v>0</v>
          </cell>
          <cell r="N524">
            <v>0</v>
          </cell>
          <cell r="O524">
            <v>0</v>
          </cell>
        </row>
        <row r="525">
          <cell r="B525">
            <v>0</v>
          </cell>
          <cell r="C525">
            <v>0</v>
          </cell>
          <cell r="D525">
            <v>0</v>
          </cell>
          <cell r="E525">
            <v>0</v>
          </cell>
          <cell r="G525">
            <v>0</v>
          </cell>
          <cell r="H525">
            <v>0</v>
          </cell>
          <cell r="I525">
            <v>0</v>
          </cell>
          <cell r="J525">
            <v>0</v>
          </cell>
          <cell r="K525">
            <v>0</v>
          </cell>
          <cell r="L525">
            <v>0</v>
          </cell>
          <cell r="M525">
            <v>0</v>
          </cell>
          <cell r="N525">
            <v>0</v>
          </cell>
          <cell r="O525">
            <v>0</v>
          </cell>
        </row>
        <row r="526">
          <cell r="B526">
            <v>0</v>
          </cell>
          <cell r="C526">
            <v>0</v>
          </cell>
          <cell r="D526">
            <v>0</v>
          </cell>
          <cell r="E526">
            <v>0</v>
          </cell>
          <cell r="G526">
            <v>0</v>
          </cell>
          <cell r="H526">
            <v>0</v>
          </cell>
          <cell r="I526">
            <v>0</v>
          </cell>
          <cell r="J526">
            <v>0</v>
          </cell>
          <cell r="K526">
            <v>0</v>
          </cell>
          <cell r="L526">
            <v>0</v>
          </cell>
          <cell r="M526">
            <v>0</v>
          </cell>
          <cell r="N526">
            <v>0</v>
          </cell>
          <cell r="O526">
            <v>0</v>
          </cell>
        </row>
        <row r="527">
          <cell r="B527">
            <v>0</v>
          </cell>
          <cell r="C527">
            <v>0</v>
          </cell>
          <cell r="D527">
            <v>0</v>
          </cell>
          <cell r="E527">
            <v>0</v>
          </cell>
          <cell r="G527">
            <v>0</v>
          </cell>
          <cell r="H527">
            <v>0</v>
          </cell>
          <cell r="I527">
            <v>0</v>
          </cell>
          <cell r="J527">
            <v>0</v>
          </cell>
          <cell r="K527">
            <v>0</v>
          </cell>
          <cell r="L527">
            <v>0</v>
          </cell>
          <cell r="M527">
            <v>0</v>
          </cell>
          <cell r="N527">
            <v>0</v>
          </cell>
          <cell r="O527">
            <v>0</v>
          </cell>
        </row>
        <row r="528">
          <cell r="B528">
            <v>0</v>
          </cell>
          <cell r="C528">
            <v>0</v>
          </cell>
          <cell r="D528">
            <v>0</v>
          </cell>
          <cell r="E528">
            <v>0</v>
          </cell>
          <cell r="G528">
            <v>0</v>
          </cell>
          <cell r="H528">
            <v>0</v>
          </cell>
          <cell r="I528">
            <v>0</v>
          </cell>
          <cell r="J528">
            <v>0</v>
          </cell>
          <cell r="K528">
            <v>0</v>
          </cell>
          <cell r="L528">
            <v>0</v>
          </cell>
          <cell r="M528">
            <v>0</v>
          </cell>
          <cell r="N528">
            <v>0</v>
          </cell>
          <cell r="O528">
            <v>0</v>
          </cell>
        </row>
        <row r="529">
          <cell r="B529">
            <v>0</v>
          </cell>
          <cell r="C529">
            <v>0</v>
          </cell>
          <cell r="D529">
            <v>0</v>
          </cell>
          <cell r="E529">
            <v>0</v>
          </cell>
          <cell r="G529">
            <v>0</v>
          </cell>
          <cell r="H529">
            <v>0</v>
          </cell>
          <cell r="I529">
            <v>0</v>
          </cell>
          <cell r="J529">
            <v>0</v>
          </cell>
          <cell r="K529">
            <v>0</v>
          </cell>
          <cell r="L529">
            <v>0</v>
          </cell>
          <cell r="M529">
            <v>0</v>
          </cell>
          <cell r="N529">
            <v>0</v>
          </cell>
          <cell r="O529">
            <v>0</v>
          </cell>
        </row>
        <row r="530">
          <cell r="B530">
            <v>0</v>
          </cell>
          <cell r="C530">
            <v>0</v>
          </cell>
          <cell r="D530">
            <v>0</v>
          </cell>
          <cell r="E530">
            <v>0</v>
          </cell>
          <cell r="G530">
            <v>0</v>
          </cell>
          <cell r="H530">
            <v>0</v>
          </cell>
          <cell r="I530">
            <v>0</v>
          </cell>
          <cell r="J530">
            <v>0</v>
          </cell>
          <cell r="K530">
            <v>0</v>
          </cell>
          <cell r="L530">
            <v>0</v>
          </cell>
          <cell r="M530">
            <v>0</v>
          </cell>
          <cell r="N530">
            <v>0</v>
          </cell>
          <cell r="O530">
            <v>0</v>
          </cell>
        </row>
        <row r="531">
          <cell r="B531">
            <v>0</v>
          </cell>
          <cell r="C531">
            <v>0</v>
          </cell>
          <cell r="D531">
            <v>0</v>
          </cell>
          <cell r="E531">
            <v>0</v>
          </cell>
          <cell r="G531">
            <v>0</v>
          </cell>
          <cell r="H531">
            <v>0</v>
          </cell>
          <cell r="I531">
            <v>0</v>
          </cell>
          <cell r="J531">
            <v>0</v>
          </cell>
          <cell r="K531">
            <v>0</v>
          </cell>
          <cell r="L531">
            <v>0</v>
          </cell>
          <cell r="M531">
            <v>0</v>
          </cell>
          <cell r="N531">
            <v>0</v>
          </cell>
          <cell r="O531">
            <v>0</v>
          </cell>
        </row>
        <row r="532">
          <cell r="B532">
            <v>0</v>
          </cell>
          <cell r="C532">
            <v>0</v>
          </cell>
          <cell r="D532">
            <v>0</v>
          </cell>
          <cell r="E532">
            <v>0</v>
          </cell>
          <cell r="G532">
            <v>0</v>
          </cell>
          <cell r="H532">
            <v>0</v>
          </cell>
          <cell r="I532">
            <v>0</v>
          </cell>
          <cell r="J532">
            <v>0</v>
          </cell>
          <cell r="K532">
            <v>0</v>
          </cell>
          <cell r="L532">
            <v>0</v>
          </cell>
          <cell r="M532">
            <v>0</v>
          </cell>
          <cell r="N532">
            <v>0</v>
          </cell>
          <cell r="O532">
            <v>0</v>
          </cell>
        </row>
        <row r="533">
          <cell r="B533">
            <v>0</v>
          </cell>
          <cell r="C533">
            <v>0</v>
          </cell>
          <cell r="D533">
            <v>0</v>
          </cell>
          <cell r="E533">
            <v>0</v>
          </cell>
          <cell r="G533">
            <v>0</v>
          </cell>
          <cell r="H533">
            <v>0</v>
          </cell>
          <cell r="I533">
            <v>0</v>
          </cell>
          <cell r="J533">
            <v>0</v>
          </cell>
          <cell r="K533">
            <v>0</v>
          </cell>
          <cell r="L533">
            <v>0</v>
          </cell>
          <cell r="M533">
            <v>0</v>
          </cell>
          <cell r="N533">
            <v>0</v>
          </cell>
          <cell r="O533">
            <v>0</v>
          </cell>
        </row>
        <row r="534">
          <cell r="B534">
            <v>0</v>
          </cell>
          <cell r="C534">
            <v>0</v>
          </cell>
          <cell r="D534">
            <v>0</v>
          </cell>
          <cell r="E534">
            <v>0</v>
          </cell>
          <cell r="G534">
            <v>0</v>
          </cell>
          <cell r="H534">
            <v>0</v>
          </cell>
          <cell r="I534">
            <v>0</v>
          </cell>
          <cell r="J534">
            <v>0</v>
          </cell>
          <cell r="K534">
            <v>0</v>
          </cell>
          <cell r="L534">
            <v>0</v>
          </cell>
          <cell r="M534">
            <v>0</v>
          </cell>
          <cell r="N534">
            <v>0</v>
          </cell>
          <cell r="O534">
            <v>0</v>
          </cell>
        </row>
        <row r="535">
          <cell r="B535">
            <v>0</v>
          </cell>
          <cell r="C535">
            <v>0</v>
          </cell>
          <cell r="D535">
            <v>0</v>
          </cell>
          <cell r="E535">
            <v>0</v>
          </cell>
          <cell r="G535">
            <v>0</v>
          </cell>
          <cell r="H535">
            <v>0</v>
          </cell>
          <cell r="I535">
            <v>0</v>
          </cell>
          <cell r="J535">
            <v>0</v>
          </cell>
          <cell r="K535">
            <v>0</v>
          </cell>
          <cell r="L535">
            <v>0</v>
          </cell>
          <cell r="M535">
            <v>0</v>
          </cell>
          <cell r="N535">
            <v>0</v>
          </cell>
          <cell r="O535">
            <v>0</v>
          </cell>
        </row>
        <row r="536">
          <cell r="B536">
            <v>0</v>
          </cell>
          <cell r="C536">
            <v>0</v>
          </cell>
          <cell r="D536">
            <v>0</v>
          </cell>
          <cell r="E536">
            <v>0</v>
          </cell>
          <cell r="G536">
            <v>0</v>
          </cell>
          <cell r="H536">
            <v>0</v>
          </cell>
          <cell r="I536">
            <v>0</v>
          </cell>
          <cell r="J536">
            <v>0</v>
          </cell>
          <cell r="K536">
            <v>0</v>
          </cell>
          <cell r="L536">
            <v>0</v>
          </cell>
          <cell r="M536">
            <v>0</v>
          </cell>
          <cell r="N536">
            <v>0</v>
          </cell>
          <cell r="O536">
            <v>0</v>
          </cell>
        </row>
        <row r="537">
          <cell r="B537">
            <v>0</v>
          </cell>
          <cell r="C537">
            <v>0</v>
          </cell>
          <cell r="D537">
            <v>0</v>
          </cell>
          <cell r="E537">
            <v>0</v>
          </cell>
          <cell r="G537">
            <v>0</v>
          </cell>
          <cell r="H537">
            <v>0</v>
          </cell>
          <cell r="I537">
            <v>0</v>
          </cell>
          <cell r="J537">
            <v>0</v>
          </cell>
          <cell r="K537">
            <v>0</v>
          </cell>
          <cell r="L537">
            <v>0</v>
          </cell>
          <cell r="M537">
            <v>0</v>
          </cell>
          <cell r="N537">
            <v>0</v>
          </cell>
          <cell r="O537">
            <v>0</v>
          </cell>
        </row>
        <row r="538">
          <cell r="B538">
            <v>0</v>
          </cell>
          <cell r="C538">
            <v>0</v>
          </cell>
          <cell r="D538">
            <v>0</v>
          </cell>
          <cell r="E538">
            <v>0</v>
          </cell>
          <cell r="G538">
            <v>0</v>
          </cell>
          <cell r="H538">
            <v>0</v>
          </cell>
          <cell r="I538">
            <v>0</v>
          </cell>
          <cell r="J538">
            <v>0</v>
          </cell>
          <cell r="K538">
            <v>0</v>
          </cell>
          <cell r="L538">
            <v>0</v>
          </cell>
          <cell r="M538">
            <v>0</v>
          </cell>
          <cell r="N538">
            <v>0</v>
          </cell>
          <cell r="O538">
            <v>0</v>
          </cell>
        </row>
        <row r="539">
          <cell r="B539">
            <v>0</v>
          </cell>
          <cell r="C539">
            <v>0</v>
          </cell>
          <cell r="D539">
            <v>0</v>
          </cell>
          <cell r="E539">
            <v>0</v>
          </cell>
          <cell r="G539">
            <v>0</v>
          </cell>
          <cell r="H539">
            <v>0</v>
          </cell>
          <cell r="I539">
            <v>0</v>
          </cell>
          <cell r="J539">
            <v>0</v>
          </cell>
          <cell r="K539">
            <v>0</v>
          </cell>
          <cell r="L539">
            <v>0</v>
          </cell>
          <cell r="M539">
            <v>0</v>
          </cell>
          <cell r="N539">
            <v>0</v>
          </cell>
          <cell r="O539">
            <v>0</v>
          </cell>
        </row>
        <row r="540">
          <cell r="B540">
            <v>0</v>
          </cell>
          <cell r="C540">
            <v>0</v>
          </cell>
          <cell r="D540">
            <v>0</v>
          </cell>
          <cell r="E540">
            <v>0</v>
          </cell>
          <cell r="G540">
            <v>0</v>
          </cell>
          <cell r="H540">
            <v>0</v>
          </cell>
          <cell r="I540">
            <v>0</v>
          </cell>
          <cell r="J540">
            <v>0</v>
          </cell>
          <cell r="K540">
            <v>0</v>
          </cell>
          <cell r="L540">
            <v>0</v>
          </cell>
          <cell r="M540">
            <v>0</v>
          </cell>
          <cell r="N540">
            <v>0</v>
          </cell>
          <cell r="O540">
            <v>0</v>
          </cell>
        </row>
        <row r="541">
          <cell r="B541">
            <v>0</v>
          </cell>
          <cell r="C541">
            <v>0</v>
          </cell>
          <cell r="D541">
            <v>0</v>
          </cell>
          <cell r="E541">
            <v>0</v>
          </cell>
          <cell r="G541">
            <v>0</v>
          </cell>
          <cell r="H541">
            <v>0</v>
          </cell>
          <cell r="I541">
            <v>0</v>
          </cell>
          <cell r="J541">
            <v>0</v>
          </cell>
          <cell r="K541">
            <v>0</v>
          </cell>
          <cell r="L541">
            <v>0</v>
          </cell>
          <cell r="M541">
            <v>0</v>
          </cell>
          <cell r="N541">
            <v>0</v>
          </cell>
          <cell r="O541">
            <v>0</v>
          </cell>
        </row>
        <row r="542">
          <cell r="B542">
            <v>0</v>
          </cell>
          <cell r="C542">
            <v>0</v>
          </cell>
          <cell r="D542">
            <v>0</v>
          </cell>
          <cell r="E542">
            <v>0</v>
          </cell>
          <cell r="G542">
            <v>0</v>
          </cell>
          <cell r="H542">
            <v>0</v>
          </cell>
          <cell r="I542">
            <v>0</v>
          </cell>
          <cell r="J542">
            <v>0</v>
          </cell>
          <cell r="K542">
            <v>0</v>
          </cell>
          <cell r="L542">
            <v>0</v>
          </cell>
          <cell r="M542">
            <v>0</v>
          </cell>
          <cell r="N542">
            <v>0</v>
          </cell>
          <cell r="O542">
            <v>0</v>
          </cell>
        </row>
        <row r="543">
          <cell r="B543">
            <v>0</v>
          </cell>
          <cell r="C543">
            <v>0</v>
          </cell>
          <cell r="D543">
            <v>0</v>
          </cell>
          <cell r="E543">
            <v>0</v>
          </cell>
          <cell r="G543">
            <v>0</v>
          </cell>
          <cell r="H543">
            <v>0</v>
          </cell>
          <cell r="I543">
            <v>0</v>
          </cell>
          <cell r="J543">
            <v>0</v>
          </cell>
          <cell r="K543">
            <v>0</v>
          </cell>
          <cell r="L543">
            <v>0</v>
          </cell>
          <cell r="M543">
            <v>0</v>
          </cell>
          <cell r="N543">
            <v>0</v>
          </cell>
          <cell r="O543">
            <v>0</v>
          </cell>
        </row>
        <row r="544">
          <cell r="B544">
            <v>0</v>
          </cell>
          <cell r="C544">
            <v>0</v>
          </cell>
          <cell r="D544">
            <v>0</v>
          </cell>
          <cell r="E544">
            <v>0</v>
          </cell>
          <cell r="G544">
            <v>0</v>
          </cell>
          <cell r="H544">
            <v>0</v>
          </cell>
          <cell r="I544">
            <v>0</v>
          </cell>
          <cell r="J544">
            <v>0</v>
          </cell>
          <cell r="K544">
            <v>0</v>
          </cell>
          <cell r="L544">
            <v>0</v>
          </cell>
          <cell r="M544">
            <v>0</v>
          </cell>
          <cell r="N544">
            <v>0</v>
          </cell>
          <cell r="O544">
            <v>0</v>
          </cell>
        </row>
        <row r="545">
          <cell r="B545">
            <v>0</v>
          </cell>
          <cell r="C545">
            <v>0</v>
          </cell>
          <cell r="D545">
            <v>0</v>
          </cell>
          <cell r="E545">
            <v>0</v>
          </cell>
          <cell r="G545">
            <v>0</v>
          </cell>
          <cell r="H545">
            <v>0</v>
          </cell>
          <cell r="I545">
            <v>0</v>
          </cell>
          <cell r="J545">
            <v>0</v>
          </cell>
          <cell r="K545">
            <v>0</v>
          </cell>
          <cell r="L545">
            <v>0</v>
          </cell>
          <cell r="M545">
            <v>0</v>
          </cell>
          <cell r="N545">
            <v>0</v>
          </cell>
          <cell r="O545">
            <v>0</v>
          </cell>
        </row>
        <row r="546">
          <cell r="B546">
            <v>0</v>
          </cell>
          <cell r="C546">
            <v>0</v>
          </cell>
          <cell r="D546">
            <v>0</v>
          </cell>
          <cell r="E546">
            <v>0</v>
          </cell>
          <cell r="G546">
            <v>0</v>
          </cell>
          <cell r="H546">
            <v>0</v>
          </cell>
          <cell r="I546">
            <v>0</v>
          </cell>
          <cell r="J546">
            <v>0</v>
          </cell>
          <cell r="K546">
            <v>0</v>
          </cell>
          <cell r="L546">
            <v>0</v>
          </cell>
          <cell r="M546">
            <v>0</v>
          </cell>
          <cell r="N546">
            <v>0</v>
          </cell>
          <cell r="O546">
            <v>0</v>
          </cell>
        </row>
        <row r="547">
          <cell r="B547">
            <v>0</v>
          </cell>
          <cell r="C547">
            <v>0</v>
          </cell>
          <cell r="D547">
            <v>0</v>
          </cell>
          <cell r="E547">
            <v>0</v>
          </cell>
          <cell r="G547">
            <v>0</v>
          </cell>
          <cell r="H547">
            <v>0</v>
          </cell>
          <cell r="I547">
            <v>0</v>
          </cell>
          <cell r="J547">
            <v>0</v>
          </cell>
          <cell r="K547">
            <v>0</v>
          </cell>
          <cell r="L547">
            <v>0</v>
          </cell>
          <cell r="M547">
            <v>0</v>
          </cell>
          <cell r="N547">
            <v>0</v>
          </cell>
          <cell r="O547">
            <v>0</v>
          </cell>
        </row>
        <row r="548">
          <cell r="B548">
            <v>0</v>
          </cell>
          <cell r="C548">
            <v>0</v>
          </cell>
          <cell r="D548">
            <v>0</v>
          </cell>
          <cell r="E548">
            <v>0</v>
          </cell>
          <cell r="G548">
            <v>0</v>
          </cell>
          <cell r="H548">
            <v>0</v>
          </cell>
          <cell r="I548">
            <v>0</v>
          </cell>
          <cell r="J548">
            <v>0</v>
          </cell>
          <cell r="K548">
            <v>0</v>
          </cell>
          <cell r="L548">
            <v>0</v>
          </cell>
          <cell r="M548">
            <v>0</v>
          </cell>
          <cell r="N548">
            <v>0</v>
          </cell>
          <cell r="O548">
            <v>0</v>
          </cell>
        </row>
        <row r="549">
          <cell r="B549">
            <v>0</v>
          </cell>
          <cell r="C549">
            <v>0</v>
          </cell>
          <cell r="D549">
            <v>0</v>
          </cell>
          <cell r="E549">
            <v>0</v>
          </cell>
          <cell r="G549">
            <v>0</v>
          </cell>
          <cell r="H549">
            <v>0</v>
          </cell>
          <cell r="I549">
            <v>0</v>
          </cell>
          <cell r="J549">
            <v>0</v>
          </cell>
          <cell r="K549">
            <v>0</v>
          </cell>
          <cell r="L549">
            <v>0</v>
          </cell>
          <cell r="M549">
            <v>0</v>
          </cell>
          <cell r="N549">
            <v>0</v>
          </cell>
          <cell r="O549">
            <v>0</v>
          </cell>
        </row>
        <row r="550">
          <cell r="B550">
            <v>0</v>
          </cell>
          <cell r="C550">
            <v>0</v>
          </cell>
          <cell r="D550">
            <v>0</v>
          </cell>
          <cell r="E550">
            <v>0</v>
          </cell>
          <cell r="G550">
            <v>0</v>
          </cell>
          <cell r="H550">
            <v>0</v>
          </cell>
          <cell r="I550">
            <v>0</v>
          </cell>
          <cell r="J550">
            <v>0</v>
          </cell>
          <cell r="K550">
            <v>0</v>
          </cell>
          <cell r="L550">
            <v>0</v>
          </cell>
          <cell r="M550">
            <v>0</v>
          </cell>
          <cell r="N550">
            <v>0</v>
          </cell>
          <cell r="O550">
            <v>0</v>
          </cell>
        </row>
        <row r="551">
          <cell r="B551">
            <v>0</v>
          </cell>
          <cell r="C551">
            <v>0</v>
          </cell>
          <cell r="D551">
            <v>0</v>
          </cell>
          <cell r="E551">
            <v>0</v>
          </cell>
          <cell r="G551">
            <v>0</v>
          </cell>
          <cell r="H551">
            <v>0</v>
          </cell>
          <cell r="I551">
            <v>0</v>
          </cell>
          <cell r="J551">
            <v>0</v>
          </cell>
          <cell r="K551">
            <v>0</v>
          </cell>
          <cell r="L551">
            <v>0</v>
          </cell>
          <cell r="M551">
            <v>0</v>
          </cell>
          <cell r="N551">
            <v>0</v>
          </cell>
          <cell r="O551">
            <v>0</v>
          </cell>
        </row>
        <row r="552">
          <cell r="B552">
            <v>0</v>
          </cell>
          <cell r="C552">
            <v>0</v>
          </cell>
          <cell r="D552">
            <v>0</v>
          </cell>
          <cell r="E552">
            <v>0</v>
          </cell>
          <cell r="G552">
            <v>0</v>
          </cell>
          <cell r="H552">
            <v>0</v>
          </cell>
          <cell r="I552">
            <v>0</v>
          </cell>
          <cell r="J552">
            <v>0</v>
          </cell>
          <cell r="K552">
            <v>0</v>
          </cell>
          <cell r="L552">
            <v>0</v>
          </cell>
          <cell r="M552">
            <v>0</v>
          </cell>
          <cell r="N552">
            <v>0</v>
          </cell>
          <cell r="O552">
            <v>0</v>
          </cell>
        </row>
        <row r="553">
          <cell r="B553">
            <v>0</v>
          </cell>
          <cell r="C553">
            <v>0</v>
          </cell>
          <cell r="D553">
            <v>0</v>
          </cell>
          <cell r="E553">
            <v>0</v>
          </cell>
          <cell r="G553">
            <v>0</v>
          </cell>
          <cell r="H553">
            <v>0</v>
          </cell>
          <cell r="I553">
            <v>0</v>
          </cell>
          <cell r="J553">
            <v>0</v>
          </cell>
          <cell r="K553">
            <v>0</v>
          </cell>
          <cell r="L553">
            <v>0</v>
          </cell>
          <cell r="M553">
            <v>0</v>
          </cell>
          <cell r="N553">
            <v>0</v>
          </cell>
          <cell r="O553">
            <v>0</v>
          </cell>
        </row>
        <row r="554">
          <cell r="B554">
            <v>0</v>
          </cell>
          <cell r="C554">
            <v>0</v>
          </cell>
          <cell r="D554">
            <v>0</v>
          </cell>
          <cell r="E554">
            <v>0</v>
          </cell>
          <cell r="G554">
            <v>0</v>
          </cell>
          <cell r="H554">
            <v>0</v>
          </cell>
          <cell r="I554">
            <v>0</v>
          </cell>
          <cell r="J554">
            <v>0</v>
          </cell>
          <cell r="K554">
            <v>0</v>
          </cell>
          <cell r="L554">
            <v>0</v>
          </cell>
          <cell r="M554">
            <v>0</v>
          </cell>
          <cell r="N554">
            <v>0</v>
          </cell>
          <cell r="O554">
            <v>0</v>
          </cell>
        </row>
        <row r="555">
          <cell r="B555">
            <v>0</v>
          </cell>
          <cell r="C555">
            <v>0</v>
          </cell>
          <cell r="D555">
            <v>0</v>
          </cell>
          <cell r="E555">
            <v>0</v>
          </cell>
          <cell r="G555">
            <v>0</v>
          </cell>
          <cell r="H555">
            <v>0</v>
          </cell>
          <cell r="I555">
            <v>0</v>
          </cell>
          <cell r="J555">
            <v>0</v>
          </cell>
          <cell r="K555">
            <v>0</v>
          </cell>
          <cell r="L555">
            <v>0</v>
          </cell>
          <cell r="M555">
            <v>0</v>
          </cell>
          <cell r="N555">
            <v>0</v>
          </cell>
          <cell r="O555">
            <v>0</v>
          </cell>
        </row>
        <row r="556">
          <cell r="B556">
            <v>0</v>
          </cell>
          <cell r="C556">
            <v>0</v>
          </cell>
          <cell r="D556">
            <v>0</v>
          </cell>
          <cell r="E556">
            <v>0</v>
          </cell>
          <cell r="G556">
            <v>0</v>
          </cell>
          <cell r="H556">
            <v>0</v>
          </cell>
          <cell r="I556">
            <v>0</v>
          </cell>
          <cell r="J556">
            <v>0</v>
          </cell>
          <cell r="K556">
            <v>0</v>
          </cell>
          <cell r="L556">
            <v>0</v>
          </cell>
          <cell r="M556">
            <v>0</v>
          </cell>
          <cell r="N556">
            <v>0</v>
          </cell>
          <cell r="O556">
            <v>0</v>
          </cell>
        </row>
        <row r="557">
          <cell r="B557">
            <v>0</v>
          </cell>
          <cell r="C557">
            <v>0</v>
          </cell>
          <cell r="D557">
            <v>0</v>
          </cell>
          <cell r="E557">
            <v>0</v>
          </cell>
          <cell r="G557">
            <v>0</v>
          </cell>
          <cell r="H557">
            <v>0</v>
          </cell>
          <cell r="I557">
            <v>0</v>
          </cell>
          <cell r="J557">
            <v>0</v>
          </cell>
          <cell r="K557">
            <v>0</v>
          </cell>
          <cell r="L557">
            <v>0</v>
          </cell>
          <cell r="M557">
            <v>0</v>
          </cell>
          <cell r="N557">
            <v>0</v>
          </cell>
          <cell r="O557">
            <v>0</v>
          </cell>
        </row>
        <row r="558">
          <cell r="B558">
            <v>0</v>
          </cell>
          <cell r="C558">
            <v>0</v>
          </cell>
          <cell r="D558">
            <v>0</v>
          </cell>
          <cell r="E558">
            <v>0</v>
          </cell>
          <cell r="G558">
            <v>0</v>
          </cell>
          <cell r="H558">
            <v>0</v>
          </cell>
          <cell r="I558">
            <v>0</v>
          </cell>
          <cell r="J558">
            <v>0</v>
          </cell>
          <cell r="K558">
            <v>0</v>
          </cell>
          <cell r="L558">
            <v>0</v>
          </cell>
          <cell r="M558">
            <v>0</v>
          </cell>
          <cell r="N558">
            <v>0</v>
          </cell>
          <cell r="O558">
            <v>0</v>
          </cell>
        </row>
        <row r="559">
          <cell r="B559">
            <v>0</v>
          </cell>
          <cell r="C559">
            <v>0</v>
          </cell>
          <cell r="D559">
            <v>0</v>
          </cell>
          <cell r="E559">
            <v>0</v>
          </cell>
          <cell r="G559">
            <v>0</v>
          </cell>
          <cell r="H559">
            <v>0</v>
          </cell>
          <cell r="I559">
            <v>0</v>
          </cell>
          <cell r="J559">
            <v>0</v>
          </cell>
          <cell r="K559">
            <v>0</v>
          </cell>
          <cell r="L559">
            <v>0</v>
          </cell>
          <cell r="M559">
            <v>0</v>
          </cell>
          <cell r="N559">
            <v>0</v>
          </cell>
          <cell r="O559">
            <v>0</v>
          </cell>
        </row>
        <row r="560">
          <cell r="B560">
            <v>0</v>
          </cell>
          <cell r="C560">
            <v>0</v>
          </cell>
          <cell r="D560">
            <v>0</v>
          </cell>
          <cell r="E560">
            <v>0</v>
          </cell>
          <cell r="G560">
            <v>0</v>
          </cell>
          <cell r="H560">
            <v>0</v>
          </cell>
          <cell r="I560">
            <v>0</v>
          </cell>
          <cell r="J560">
            <v>0</v>
          </cell>
          <cell r="K560">
            <v>0</v>
          </cell>
          <cell r="L560">
            <v>0</v>
          </cell>
          <cell r="M560">
            <v>0</v>
          </cell>
          <cell r="N560">
            <v>0</v>
          </cell>
          <cell r="O560">
            <v>0</v>
          </cell>
        </row>
        <row r="561">
          <cell r="B561">
            <v>0</v>
          </cell>
          <cell r="C561">
            <v>0</v>
          </cell>
          <cell r="D561">
            <v>0</v>
          </cell>
          <cell r="E561">
            <v>0</v>
          </cell>
          <cell r="G561">
            <v>0</v>
          </cell>
          <cell r="H561">
            <v>0</v>
          </cell>
          <cell r="I561">
            <v>0</v>
          </cell>
          <cell r="J561">
            <v>0</v>
          </cell>
          <cell r="K561">
            <v>0</v>
          </cell>
          <cell r="L561">
            <v>0</v>
          </cell>
          <cell r="M561">
            <v>0</v>
          </cell>
          <cell r="N561">
            <v>0</v>
          </cell>
          <cell r="O561">
            <v>0</v>
          </cell>
        </row>
        <row r="562">
          <cell r="B562">
            <v>0</v>
          </cell>
          <cell r="C562">
            <v>0</v>
          </cell>
          <cell r="D562">
            <v>0</v>
          </cell>
          <cell r="E562">
            <v>0</v>
          </cell>
          <cell r="G562">
            <v>0</v>
          </cell>
          <cell r="H562">
            <v>0</v>
          </cell>
          <cell r="I562">
            <v>0</v>
          </cell>
          <cell r="J562">
            <v>0</v>
          </cell>
          <cell r="K562">
            <v>0</v>
          </cell>
          <cell r="L562">
            <v>0</v>
          </cell>
          <cell r="M562">
            <v>0</v>
          </cell>
          <cell r="N562">
            <v>0</v>
          </cell>
          <cell r="O562">
            <v>0</v>
          </cell>
        </row>
        <row r="563">
          <cell r="B563">
            <v>0</v>
          </cell>
          <cell r="C563">
            <v>0</v>
          </cell>
          <cell r="D563">
            <v>0</v>
          </cell>
          <cell r="E563">
            <v>0</v>
          </cell>
          <cell r="G563">
            <v>0</v>
          </cell>
          <cell r="H563">
            <v>0</v>
          </cell>
          <cell r="I563">
            <v>0</v>
          </cell>
          <cell r="J563">
            <v>0</v>
          </cell>
          <cell r="K563">
            <v>0</v>
          </cell>
          <cell r="L563">
            <v>0</v>
          </cell>
          <cell r="M563">
            <v>0</v>
          </cell>
          <cell r="N563">
            <v>0</v>
          </cell>
          <cell r="O563">
            <v>0</v>
          </cell>
        </row>
        <row r="564">
          <cell r="B564">
            <v>0</v>
          </cell>
          <cell r="C564">
            <v>0</v>
          </cell>
          <cell r="D564">
            <v>0</v>
          </cell>
          <cell r="E564">
            <v>0</v>
          </cell>
          <cell r="G564">
            <v>0</v>
          </cell>
          <cell r="H564">
            <v>0</v>
          </cell>
          <cell r="I564">
            <v>0</v>
          </cell>
          <cell r="J564">
            <v>0</v>
          </cell>
          <cell r="K564">
            <v>0</v>
          </cell>
          <cell r="L564">
            <v>0</v>
          </cell>
          <cell r="M564">
            <v>0</v>
          </cell>
          <cell r="N564">
            <v>0</v>
          </cell>
          <cell r="O564">
            <v>0</v>
          </cell>
        </row>
        <row r="565">
          <cell r="B565">
            <v>0</v>
          </cell>
          <cell r="C565">
            <v>0</v>
          </cell>
          <cell r="D565">
            <v>0</v>
          </cell>
          <cell r="E565">
            <v>0</v>
          </cell>
          <cell r="G565">
            <v>0</v>
          </cell>
          <cell r="H565">
            <v>0</v>
          </cell>
          <cell r="I565">
            <v>0</v>
          </cell>
          <cell r="J565">
            <v>0</v>
          </cell>
          <cell r="K565">
            <v>0</v>
          </cell>
          <cell r="L565">
            <v>0</v>
          </cell>
          <cell r="M565">
            <v>0</v>
          </cell>
          <cell r="N565">
            <v>0</v>
          </cell>
          <cell r="O565">
            <v>0</v>
          </cell>
        </row>
        <row r="566">
          <cell r="B566">
            <v>0</v>
          </cell>
          <cell r="C566">
            <v>0</v>
          </cell>
          <cell r="D566">
            <v>0</v>
          </cell>
          <cell r="E566">
            <v>0</v>
          </cell>
          <cell r="G566">
            <v>0</v>
          </cell>
          <cell r="H566">
            <v>0</v>
          </cell>
          <cell r="I566">
            <v>0</v>
          </cell>
          <cell r="J566">
            <v>0</v>
          </cell>
          <cell r="K566">
            <v>0</v>
          </cell>
          <cell r="L566">
            <v>0</v>
          </cell>
          <cell r="M566">
            <v>0</v>
          </cell>
          <cell r="N566">
            <v>0</v>
          </cell>
          <cell r="O566">
            <v>0</v>
          </cell>
        </row>
        <row r="567">
          <cell r="B567">
            <v>0</v>
          </cell>
          <cell r="C567">
            <v>0</v>
          </cell>
          <cell r="D567">
            <v>0</v>
          </cell>
          <cell r="E567">
            <v>0</v>
          </cell>
          <cell r="G567">
            <v>0</v>
          </cell>
          <cell r="H567">
            <v>0</v>
          </cell>
          <cell r="I567">
            <v>0</v>
          </cell>
          <cell r="J567">
            <v>0</v>
          </cell>
          <cell r="K567">
            <v>0</v>
          </cell>
          <cell r="L567">
            <v>0</v>
          </cell>
          <cell r="M567">
            <v>0</v>
          </cell>
          <cell r="N567">
            <v>0</v>
          </cell>
          <cell r="O567">
            <v>0</v>
          </cell>
        </row>
        <row r="568">
          <cell r="B568">
            <v>0</v>
          </cell>
          <cell r="C568">
            <v>0</v>
          </cell>
          <cell r="D568">
            <v>0</v>
          </cell>
          <cell r="E568">
            <v>0</v>
          </cell>
          <cell r="G568">
            <v>0</v>
          </cell>
          <cell r="H568">
            <v>0</v>
          </cell>
          <cell r="I568">
            <v>0</v>
          </cell>
          <cell r="J568">
            <v>0</v>
          </cell>
          <cell r="K568">
            <v>0</v>
          </cell>
          <cell r="L568">
            <v>0</v>
          </cell>
          <cell r="M568">
            <v>0</v>
          </cell>
          <cell r="N568">
            <v>0</v>
          </cell>
          <cell r="O568">
            <v>0</v>
          </cell>
        </row>
        <row r="569">
          <cell r="B569">
            <v>0</v>
          </cell>
          <cell r="C569">
            <v>0</v>
          </cell>
          <cell r="D569">
            <v>0</v>
          </cell>
          <cell r="E569">
            <v>0</v>
          </cell>
          <cell r="G569">
            <v>0</v>
          </cell>
          <cell r="H569">
            <v>0</v>
          </cell>
          <cell r="I569">
            <v>0</v>
          </cell>
          <cell r="J569">
            <v>0</v>
          </cell>
          <cell r="K569">
            <v>0</v>
          </cell>
          <cell r="L569">
            <v>0</v>
          </cell>
          <cell r="M569">
            <v>0</v>
          </cell>
          <cell r="N569">
            <v>0</v>
          </cell>
          <cell r="O569">
            <v>0</v>
          </cell>
        </row>
        <row r="570">
          <cell r="B570">
            <v>0</v>
          </cell>
          <cell r="C570">
            <v>0</v>
          </cell>
          <cell r="D570">
            <v>0</v>
          </cell>
          <cell r="E570">
            <v>0</v>
          </cell>
          <cell r="G570">
            <v>0</v>
          </cell>
          <cell r="H570">
            <v>0</v>
          </cell>
          <cell r="I570">
            <v>0</v>
          </cell>
          <cell r="J570">
            <v>0</v>
          </cell>
          <cell r="K570">
            <v>0</v>
          </cell>
          <cell r="L570">
            <v>0</v>
          </cell>
          <cell r="M570">
            <v>0</v>
          </cell>
          <cell r="N570">
            <v>0</v>
          </cell>
          <cell r="O570">
            <v>0</v>
          </cell>
        </row>
        <row r="571">
          <cell r="B571">
            <v>0</v>
          </cell>
          <cell r="C571">
            <v>0</v>
          </cell>
          <cell r="D571">
            <v>0</v>
          </cell>
          <cell r="E571">
            <v>0</v>
          </cell>
          <cell r="G571">
            <v>0</v>
          </cell>
          <cell r="H571">
            <v>0</v>
          </cell>
          <cell r="I571">
            <v>0</v>
          </cell>
          <cell r="J571">
            <v>0</v>
          </cell>
          <cell r="K571">
            <v>0</v>
          </cell>
          <cell r="L571">
            <v>0</v>
          </cell>
          <cell r="M571">
            <v>0</v>
          </cell>
          <cell r="N571">
            <v>0</v>
          </cell>
          <cell r="O571">
            <v>0</v>
          </cell>
        </row>
        <row r="572">
          <cell r="B572">
            <v>0</v>
          </cell>
          <cell r="C572">
            <v>0</v>
          </cell>
          <cell r="D572">
            <v>0</v>
          </cell>
          <cell r="E572">
            <v>0</v>
          </cell>
          <cell r="G572">
            <v>0</v>
          </cell>
          <cell r="H572">
            <v>0</v>
          </cell>
          <cell r="I572">
            <v>0</v>
          </cell>
          <cell r="J572">
            <v>0</v>
          </cell>
          <cell r="K572">
            <v>0</v>
          </cell>
          <cell r="L572">
            <v>0</v>
          </cell>
          <cell r="M572">
            <v>0</v>
          </cell>
          <cell r="N572">
            <v>0</v>
          </cell>
          <cell r="O572">
            <v>0</v>
          </cell>
        </row>
        <row r="573">
          <cell r="B573">
            <v>0</v>
          </cell>
          <cell r="C573">
            <v>0</v>
          </cell>
          <cell r="D573">
            <v>0</v>
          </cell>
          <cell r="E573">
            <v>0</v>
          </cell>
          <cell r="G573">
            <v>0</v>
          </cell>
          <cell r="H573">
            <v>0</v>
          </cell>
          <cell r="I573">
            <v>0</v>
          </cell>
          <cell r="J573">
            <v>0</v>
          </cell>
          <cell r="K573">
            <v>0</v>
          </cell>
          <cell r="L573">
            <v>0</v>
          </cell>
          <cell r="M573">
            <v>0</v>
          </cell>
          <cell r="N573">
            <v>0</v>
          </cell>
          <cell r="O573">
            <v>0</v>
          </cell>
        </row>
        <row r="574">
          <cell r="B574">
            <v>0</v>
          </cell>
          <cell r="C574">
            <v>0</v>
          </cell>
          <cell r="D574">
            <v>0</v>
          </cell>
          <cell r="E574">
            <v>0</v>
          </cell>
          <cell r="G574">
            <v>0</v>
          </cell>
          <cell r="H574">
            <v>0</v>
          </cell>
          <cell r="I574">
            <v>0</v>
          </cell>
          <cell r="J574">
            <v>0</v>
          </cell>
          <cell r="K574">
            <v>0</v>
          </cell>
          <cell r="L574">
            <v>0</v>
          </cell>
          <cell r="M574">
            <v>0</v>
          </cell>
          <cell r="N574">
            <v>0</v>
          </cell>
          <cell r="O574">
            <v>0</v>
          </cell>
        </row>
        <row r="575">
          <cell r="B575">
            <v>0</v>
          </cell>
          <cell r="C575">
            <v>0</v>
          </cell>
          <cell r="D575">
            <v>0</v>
          </cell>
          <cell r="E575">
            <v>0</v>
          </cell>
          <cell r="G575">
            <v>0</v>
          </cell>
          <cell r="H575">
            <v>0</v>
          </cell>
          <cell r="I575">
            <v>0</v>
          </cell>
          <cell r="J575">
            <v>0</v>
          </cell>
          <cell r="K575">
            <v>0</v>
          </cell>
          <cell r="L575">
            <v>0</v>
          </cell>
          <cell r="M575">
            <v>0</v>
          </cell>
          <cell r="N575">
            <v>0</v>
          </cell>
          <cell r="O575">
            <v>0</v>
          </cell>
        </row>
        <row r="576">
          <cell r="B576">
            <v>0</v>
          </cell>
          <cell r="C576">
            <v>0</v>
          </cell>
          <cell r="D576">
            <v>0</v>
          </cell>
          <cell r="E576">
            <v>0</v>
          </cell>
          <cell r="G576">
            <v>0</v>
          </cell>
          <cell r="H576">
            <v>0</v>
          </cell>
          <cell r="I576">
            <v>0</v>
          </cell>
          <cell r="J576">
            <v>0</v>
          </cell>
          <cell r="K576">
            <v>0</v>
          </cell>
          <cell r="L576">
            <v>0</v>
          </cell>
          <cell r="M576">
            <v>0</v>
          </cell>
          <cell r="N576">
            <v>0</v>
          </cell>
          <cell r="O576">
            <v>0</v>
          </cell>
        </row>
        <row r="577">
          <cell r="B577">
            <v>0</v>
          </cell>
          <cell r="C577">
            <v>0</v>
          </cell>
          <cell r="D577">
            <v>0</v>
          </cell>
          <cell r="E577">
            <v>0</v>
          </cell>
          <cell r="G577">
            <v>0</v>
          </cell>
          <cell r="H577">
            <v>0</v>
          </cell>
          <cell r="I577">
            <v>0</v>
          </cell>
          <cell r="J577">
            <v>0</v>
          </cell>
          <cell r="K577">
            <v>0</v>
          </cell>
          <cell r="L577">
            <v>0</v>
          </cell>
          <cell r="M577">
            <v>0</v>
          </cell>
          <cell r="N577">
            <v>0</v>
          </cell>
          <cell r="O577">
            <v>0</v>
          </cell>
        </row>
        <row r="578">
          <cell r="B578">
            <v>0</v>
          </cell>
          <cell r="C578">
            <v>0</v>
          </cell>
          <cell r="D578">
            <v>0</v>
          </cell>
          <cell r="E578">
            <v>0</v>
          </cell>
          <cell r="G578">
            <v>0</v>
          </cell>
          <cell r="H578">
            <v>0</v>
          </cell>
          <cell r="I578">
            <v>0</v>
          </cell>
          <cell r="J578">
            <v>0</v>
          </cell>
          <cell r="K578">
            <v>0</v>
          </cell>
          <cell r="L578">
            <v>0</v>
          </cell>
          <cell r="M578">
            <v>0</v>
          </cell>
          <cell r="N578">
            <v>0</v>
          </cell>
          <cell r="O578">
            <v>0</v>
          </cell>
        </row>
        <row r="579">
          <cell r="B579">
            <v>0</v>
          </cell>
          <cell r="C579">
            <v>0</v>
          </cell>
          <cell r="D579">
            <v>0</v>
          </cell>
          <cell r="E579">
            <v>0</v>
          </cell>
          <cell r="G579">
            <v>0</v>
          </cell>
          <cell r="H579">
            <v>0</v>
          </cell>
          <cell r="I579">
            <v>0</v>
          </cell>
          <cell r="J579">
            <v>0</v>
          </cell>
          <cell r="K579">
            <v>0</v>
          </cell>
          <cell r="L579">
            <v>0</v>
          </cell>
          <cell r="M579">
            <v>0</v>
          </cell>
          <cell r="N579">
            <v>0</v>
          </cell>
          <cell r="O579">
            <v>0</v>
          </cell>
        </row>
        <row r="580">
          <cell r="B580">
            <v>0</v>
          </cell>
          <cell r="C580">
            <v>0</v>
          </cell>
          <cell r="D580">
            <v>0</v>
          </cell>
          <cell r="E580">
            <v>0</v>
          </cell>
          <cell r="G580">
            <v>0</v>
          </cell>
          <cell r="H580">
            <v>0</v>
          </cell>
          <cell r="I580">
            <v>0</v>
          </cell>
          <cell r="J580">
            <v>0</v>
          </cell>
          <cell r="K580">
            <v>0</v>
          </cell>
          <cell r="L580">
            <v>0</v>
          </cell>
          <cell r="M580">
            <v>0</v>
          </cell>
          <cell r="N580">
            <v>0</v>
          </cell>
          <cell r="O580">
            <v>0</v>
          </cell>
        </row>
        <row r="581">
          <cell r="B581">
            <v>0</v>
          </cell>
          <cell r="C581">
            <v>0</v>
          </cell>
          <cell r="D581">
            <v>0</v>
          </cell>
          <cell r="E581">
            <v>0</v>
          </cell>
          <cell r="G581">
            <v>0</v>
          </cell>
          <cell r="H581">
            <v>0</v>
          </cell>
          <cell r="I581">
            <v>0</v>
          </cell>
          <cell r="J581">
            <v>0</v>
          </cell>
          <cell r="K581">
            <v>0</v>
          </cell>
          <cell r="L581">
            <v>0</v>
          </cell>
          <cell r="M581">
            <v>0</v>
          </cell>
          <cell r="N581">
            <v>0</v>
          </cell>
          <cell r="O581">
            <v>0</v>
          </cell>
        </row>
        <row r="582">
          <cell r="B582">
            <v>0</v>
          </cell>
          <cell r="C582">
            <v>0</v>
          </cell>
          <cell r="D582">
            <v>0</v>
          </cell>
          <cell r="E582">
            <v>0</v>
          </cell>
          <cell r="G582">
            <v>0</v>
          </cell>
          <cell r="H582">
            <v>0</v>
          </cell>
          <cell r="I582">
            <v>0</v>
          </cell>
          <cell r="J582">
            <v>0</v>
          </cell>
          <cell r="K582">
            <v>0</v>
          </cell>
          <cell r="L582">
            <v>0</v>
          </cell>
          <cell r="M582">
            <v>0</v>
          </cell>
          <cell r="N582">
            <v>0</v>
          </cell>
          <cell r="O582">
            <v>0</v>
          </cell>
        </row>
        <row r="583">
          <cell r="B583">
            <v>0</v>
          </cell>
          <cell r="C583">
            <v>0</v>
          </cell>
          <cell r="D583">
            <v>0</v>
          </cell>
          <cell r="E583">
            <v>0</v>
          </cell>
          <cell r="G583">
            <v>0</v>
          </cell>
          <cell r="H583">
            <v>0</v>
          </cell>
          <cell r="I583">
            <v>0</v>
          </cell>
          <cell r="J583">
            <v>0</v>
          </cell>
          <cell r="K583">
            <v>0</v>
          </cell>
          <cell r="L583">
            <v>0</v>
          </cell>
          <cell r="M583">
            <v>0</v>
          </cell>
          <cell r="N583">
            <v>0</v>
          </cell>
          <cell r="O583">
            <v>0</v>
          </cell>
        </row>
        <row r="584">
          <cell r="B584">
            <v>0</v>
          </cell>
          <cell r="C584">
            <v>0</v>
          </cell>
          <cell r="D584">
            <v>0</v>
          </cell>
          <cell r="E584">
            <v>0</v>
          </cell>
          <cell r="G584">
            <v>0</v>
          </cell>
          <cell r="H584">
            <v>0</v>
          </cell>
          <cell r="I584">
            <v>0</v>
          </cell>
          <cell r="J584">
            <v>0</v>
          </cell>
          <cell r="K584">
            <v>0</v>
          </cell>
          <cell r="L584">
            <v>0</v>
          </cell>
          <cell r="M584">
            <v>0</v>
          </cell>
          <cell r="N584">
            <v>0</v>
          </cell>
          <cell r="O584">
            <v>0</v>
          </cell>
        </row>
        <row r="585">
          <cell r="B585">
            <v>0</v>
          </cell>
          <cell r="C585">
            <v>0</v>
          </cell>
          <cell r="D585">
            <v>0</v>
          </cell>
          <cell r="E585">
            <v>0</v>
          </cell>
          <cell r="G585">
            <v>0</v>
          </cell>
          <cell r="H585">
            <v>0</v>
          </cell>
          <cell r="I585">
            <v>0</v>
          </cell>
          <cell r="J585">
            <v>0</v>
          </cell>
          <cell r="K585">
            <v>0</v>
          </cell>
          <cell r="L585">
            <v>0</v>
          </cell>
          <cell r="M585">
            <v>0</v>
          </cell>
          <cell r="N585">
            <v>0</v>
          </cell>
          <cell r="O585">
            <v>0</v>
          </cell>
        </row>
        <row r="586">
          <cell r="B586">
            <v>0</v>
          </cell>
          <cell r="C586">
            <v>0</v>
          </cell>
          <cell r="D586">
            <v>0</v>
          </cell>
          <cell r="E586">
            <v>0</v>
          </cell>
          <cell r="G586">
            <v>0</v>
          </cell>
          <cell r="H586">
            <v>0</v>
          </cell>
          <cell r="I586">
            <v>0</v>
          </cell>
          <cell r="J586">
            <v>0</v>
          </cell>
          <cell r="K586">
            <v>0</v>
          </cell>
          <cell r="L586">
            <v>0</v>
          </cell>
          <cell r="M586">
            <v>0</v>
          </cell>
          <cell r="N586">
            <v>0</v>
          </cell>
          <cell r="O586">
            <v>0</v>
          </cell>
        </row>
        <row r="587">
          <cell r="B587">
            <v>0</v>
          </cell>
          <cell r="C587">
            <v>0</v>
          </cell>
          <cell r="D587">
            <v>0</v>
          </cell>
          <cell r="E587">
            <v>0</v>
          </cell>
          <cell r="G587">
            <v>0</v>
          </cell>
          <cell r="H587">
            <v>0</v>
          </cell>
          <cell r="I587">
            <v>0</v>
          </cell>
          <cell r="J587">
            <v>0</v>
          </cell>
          <cell r="K587">
            <v>0</v>
          </cell>
          <cell r="L587">
            <v>0</v>
          </cell>
          <cell r="M587">
            <v>0</v>
          </cell>
          <cell r="N587">
            <v>0</v>
          </cell>
          <cell r="O587">
            <v>0</v>
          </cell>
        </row>
        <row r="588">
          <cell r="B588">
            <v>0</v>
          </cell>
          <cell r="C588">
            <v>0</v>
          </cell>
          <cell r="D588">
            <v>0</v>
          </cell>
          <cell r="E588">
            <v>0</v>
          </cell>
          <cell r="G588">
            <v>0</v>
          </cell>
          <cell r="H588">
            <v>0</v>
          </cell>
          <cell r="I588">
            <v>0</v>
          </cell>
          <cell r="J588">
            <v>0</v>
          </cell>
          <cell r="K588">
            <v>0</v>
          </cell>
          <cell r="L588">
            <v>0</v>
          </cell>
          <cell r="M588">
            <v>0</v>
          </cell>
          <cell r="N588">
            <v>0</v>
          </cell>
          <cell r="O588">
            <v>0</v>
          </cell>
        </row>
        <row r="589">
          <cell r="B589">
            <v>0</v>
          </cell>
          <cell r="C589">
            <v>0</v>
          </cell>
          <cell r="D589">
            <v>0</v>
          </cell>
          <cell r="E589">
            <v>0</v>
          </cell>
          <cell r="G589">
            <v>0</v>
          </cell>
          <cell r="H589">
            <v>0</v>
          </cell>
          <cell r="I589">
            <v>0</v>
          </cell>
          <cell r="J589">
            <v>0</v>
          </cell>
          <cell r="K589">
            <v>0</v>
          </cell>
          <cell r="L589">
            <v>0</v>
          </cell>
          <cell r="M589">
            <v>0</v>
          </cell>
          <cell r="N589">
            <v>0</v>
          </cell>
          <cell r="O589">
            <v>0</v>
          </cell>
        </row>
        <row r="590">
          <cell r="B590">
            <v>0</v>
          </cell>
          <cell r="C590">
            <v>0</v>
          </cell>
          <cell r="D590">
            <v>0</v>
          </cell>
          <cell r="E590">
            <v>0</v>
          </cell>
          <cell r="G590">
            <v>0</v>
          </cell>
          <cell r="H590">
            <v>0</v>
          </cell>
          <cell r="I590">
            <v>0</v>
          </cell>
          <cell r="J590">
            <v>0</v>
          </cell>
          <cell r="K590">
            <v>0</v>
          </cell>
          <cell r="L590">
            <v>0</v>
          </cell>
          <cell r="M590">
            <v>0</v>
          </cell>
          <cell r="N590">
            <v>0</v>
          </cell>
          <cell r="O590">
            <v>0</v>
          </cell>
        </row>
        <row r="591">
          <cell r="B591">
            <v>0</v>
          </cell>
          <cell r="C591">
            <v>0</v>
          </cell>
          <cell r="D591">
            <v>0</v>
          </cell>
          <cell r="E591">
            <v>0</v>
          </cell>
          <cell r="G591">
            <v>0</v>
          </cell>
          <cell r="H591">
            <v>0</v>
          </cell>
          <cell r="I591">
            <v>0</v>
          </cell>
          <cell r="J591">
            <v>0</v>
          </cell>
          <cell r="K591">
            <v>0</v>
          </cell>
          <cell r="L591">
            <v>0</v>
          </cell>
          <cell r="M591">
            <v>0</v>
          </cell>
          <cell r="N591">
            <v>0</v>
          </cell>
          <cell r="O591">
            <v>0</v>
          </cell>
        </row>
        <row r="592">
          <cell r="B592">
            <v>0</v>
          </cell>
          <cell r="C592">
            <v>0</v>
          </cell>
          <cell r="D592">
            <v>0</v>
          </cell>
          <cell r="E592">
            <v>0</v>
          </cell>
          <cell r="G592">
            <v>0</v>
          </cell>
          <cell r="H592">
            <v>0</v>
          </cell>
          <cell r="I592">
            <v>0</v>
          </cell>
          <cell r="J592">
            <v>0</v>
          </cell>
          <cell r="K592">
            <v>0</v>
          </cell>
          <cell r="L592">
            <v>0</v>
          </cell>
          <cell r="M592">
            <v>0</v>
          </cell>
          <cell r="N592">
            <v>0</v>
          </cell>
          <cell r="O592">
            <v>0</v>
          </cell>
        </row>
        <row r="593">
          <cell r="B593">
            <v>0</v>
          </cell>
          <cell r="C593">
            <v>0</v>
          </cell>
          <cell r="D593">
            <v>0</v>
          </cell>
          <cell r="E593">
            <v>0</v>
          </cell>
          <cell r="G593">
            <v>0</v>
          </cell>
          <cell r="H593">
            <v>0</v>
          </cell>
          <cell r="I593">
            <v>0</v>
          </cell>
          <cell r="J593">
            <v>0</v>
          </cell>
          <cell r="K593">
            <v>0</v>
          </cell>
          <cell r="L593">
            <v>0</v>
          </cell>
          <cell r="M593">
            <v>0</v>
          </cell>
          <cell r="N593">
            <v>0</v>
          </cell>
          <cell r="O593">
            <v>0</v>
          </cell>
        </row>
        <row r="594">
          <cell r="B594">
            <v>0</v>
          </cell>
          <cell r="C594">
            <v>0</v>
          </cell>
          <cell r="D594">
            <v>0</v>
          </cell>
          <cell r="E594">
            <v>0</v>
          </cell>
          <cell r="G594">
            <v>0</v>
          </cell>
          <cell r="H594">
            <v>0</v>
          </cell>
          <cell r="I594">
            <v>0</v>
          </cell>
          <cell r="J594">
            <v>0</v>
          </cell>
          <cell r="K594">
            <v>0</v>
          </cell>
          <cell r="L594">
            <v>0</v>
          </cell>
          <cell r="M594">
            <v>0</v>
          </cell>
          <cell r="N594">
            <v>0</v>
          </cell>
          <cell r="O594">
            <v>0</v>
          </cell>
        </row>
        <row r="595">
          <cell r="B595">
            <v>0</v>
          </cell>
          <cell r="C595">
            <v>0</v>
          </cell>
          <cell r="D595">
            <v>0</v>
          </cell>
          <cell r="E595">
            <v>0</v>
          </cell>
          <cell r="G595">
            <v>0</v>
          </cell>
          <cell r="H595">
            <v>0</v>
          </cell>
          <cell r="I595">
            <v>0</v>
          </cell>
          <cell r="J595">
            <v>0</v>
          </cell>
          <cell r="K595">
            <v>0</v>
          </cell>
          <cell r="L595">
            <v>0</v>
          </cell>
          <cell r="M595">
            <v>0</v>
          </cell>
          <cell r="N595">
            <v>0</v>
          </cell>
          <cell r="O595">
            <v>0</v>
          </cell>
        </row>
        <row r="596">
          <cell r="B596">
            <v>0</v>
          </cell>
          <cell r="C596">
            <v>0</v>
          </cell>
          <cell r="D596">
            <v>0</v>
          </cell>
          <cell r="E596">
            <v>0</v>
          </cell>
          <cell r="G596">
            <v>0</v>
          </cell>
          <cell r="H596">
            <v>0</v>
          </cell>
          <cell r="I596">
            <v>0</v>
          </cell>
          <cell r="J596">
            <v>0</v>
          </cell>
          <cell r="K596">
            <v>0</v>
          </cell>
          <cell r="L596">
            <v>0</v>
          </cell>
          <cell r="M596">
            <v>0</v>
          </cell>
          <cell r="N596">
            <v>0</v>
          </cell>
          <cell r="O596">
            <v>0</v>
          </cell>
        </row>
        <row r="597">
          <cell r="B597">
            <v>0</v>
          </cell>
          <cell r="C597">
            <v>0</v>
          </cell>
          <cell r="D597">
            <v>0</v>
          </cell>
          <cell r="E597">
            <v>0</v>
          </cell>
          <cell r="G597">
            <v>0</v>
          </cell>
          <cell r="H597">
            <v>0</v>
          </cell>
          <cell r="I597">
            <v>0</v>
          </cell>
          <cell r="J597">
            <v>0</v>
          </cell>
          <cell r="K597">
            <v>0</v>
          </cell>
          <cell r="L597">
            <v>0</v>
          </cell>
          <cell r="M597">
            <v>0</v>
          </cell>
          <cell r="N597">
            <v>0</v>
          </cell>
          <cell r="O597">
            <v>0</v>
          </cell>
        </row>
        <row r="598">
          <cell r="B598">
            <v>0</v>
          </cell>
          <cell r="C598">
            <v>0</v>
          </cell>
          <cell r="D598">
            <v>0</v>
          </cell>
          <cell r="E598">
            <v>0</v>
          </cell>
          <cell r="G598">
            <v>0</v>
          </cell>
          <cell r="H598">
            <v>0</v>
          </cell>
          <cell r="I598">
            <v>0</v>
          </cell>
          <cell r="J598">
            <v>0</v>
          </cell>
          <cell r="K598">
            <v>0</v>
          </cell>
          <cell r="L598">
            <v>0</v>
          </cell>
          <cell r="M598">
            <v>0</v>
          </cell>
          <cell r="N598">
            <v>0</v>
          </cell>
          <cell r="O598">
            <v>0</v>
          </cell>
        </row>
        <row r="599">
          <cell r="B599">
            <v>0</v>
          </cell>
          <cell r="C599">
            <v>0</v>
          </cell>
          <cell r="D599">
            <v>0</v>
          </cell>
          <cell r="E599">
            <v>0</v>
          </cell>
          <cell r="G599">
            <v>0</v>
          </cell>
          <cell r="H599">
            <v>0</v>
          </cell>
          <cell r="I599">
            <v>0</v>
          </cell>
          <cell r="J599">
            <v>0</v>
          </cell>
          <cell r="K599">
            <v>0</v>
          </cell>
          <cell r="L599">
            <v>0</v>
          </cell>
          <cell r="M599">
            <v>0</v>
          </cell>
          <cell r="N599">
            <v>0</v>
          </cell>
          <cell r="O599">
            <v>0</v>
          </cell>
        </row>
        <row r="600">
          <cell r="B600">
            <v>0</v>
          </cell>
          <cell r="C600">
            <v>0</v>
          </cell>
          <cell r="D600">
            <v>0</v>
          </cell>
          <cell r="E600">
            <v>0</v>
          </cell>
          <cell r="G600">
            <v>0</v>
          </cell>
          <cell r="H600">
            <v>0</v>
          </cell>
          <cell r="I600">
            <v>0</v>
          </cell>
          <cell r="J600">
            <v>0</v>
          </cell>
          <cell r="K600">
            <v>0</v>
          </cell>
          <cell r="L600">
            <v>0</v>
          </cell>
          <cell r="M600">
            <v>0</v>
          </cell>
          <cell r="N600">
            <v>0</v>
          </cell>
          <cell r="O600">
            <v>0</v>
          </cell>
        </row>
        <row r="601">
          <cell r="B601">
            <v>0</v>
          </cell>
          <cell r="C601">
            <v>0</v>
          </cell>
          <cell r="D601">
            <v>0</v>
          </cell>
          <cell r="E601">
            <v>0</v>
          </cell>
          <cell r="G601">
            <v>0</v>
          </cell>
          <cell r="H601">
            <v>0</v>
          </cell>
          <cell r="I601">
            <v>0</v>
          </cell>
          <cell r="J601">
            <v>0</v>
          </cell>
          <cell r="K601">
            <v>0</v>
          </cell>
          <cell r="L601">
            <v>0</v>
          </cell>
          <cell r="M601">
            <v>0</v>
          </cell>
          <cell r="N601">
            <v>0</v>
          </cell>
          <cell r="O601">
            <v>0</v>
          </cell>
        </row>
        <row r="602">
          <cell r="B602">
            <v>0</v>
          </cell>
          <cell r="C602">
            <v>0</v>
          </cell>
          <cell r="D602">
            <v>0</v>
          </cell>
          <cell r="E602">
            <v>0</v>
          </cell>
          <cell r="G602">
            <v>0</v>
          </cell>
          <cell r="H602">
            <v>0</v>
          </cell>
          <cell r="I602">
            <v>0</v>
          </cell>
          <cell r="J602">
            <v>0</v>
          </cell>
          <cell r="K602">
            <v>0</v>
          </cell>
          <cell r="L602">
            <v>0</v>
          </cell>
          <cell r="M602">
            <v>0</v>
          </cell>
          <cell r="N602">
            <v>0</v>
          </cell>
          <cell r="O602">
            <v>0</v>
          </cell>
        </row>
        <row r="603">
          <cell r="B603">
            <v>0</v>
          </cell>
          <cell r="C603">
            <v>0</v>
          </cell>
          <cell r="D603">
            <v>0</v>
          </cell>
          <cell r="E603">
            <v>0</v>
          </cell>
          <cell r="G603">
            <v>0</v>
          </cell>
          <cell r="H603">
            <v>0</v>
          </cell>
          <cell r="I603">
            <v>0</v>
          </cell>
          <cell r="J603">
            <v>0</v>
          </cell>
          <cell r="K603">
            <v>0</v>
          </cell>
          <cell r="L603">
            <v>0</v>
          </cell>
          <cell r="M603">
            <v>0</v>
          </cell>
          <cell r="N603">
            <v>0</v>
          </cell>
          <cell r="O603">
            <v>0</v>
          </cell>
        </row>
        <row r="604">
          <cell r="B604">
            <v>0</v>
          </cell>
          <cell r="C604">
            <v>0</v>
          </cell>
          <cell r="D604">
            <v>0</v>
          </cell>
          <cell r="E604">
            <v>0</v>
          </cell>
          <cell r="G604">
            <v>0</v>
          </cell>
          <cell r="H604">
            <v>0</v>
          </cell>
          <cell r="I604">
            <v>0</v>
          </cell>
          <cell r="J604">
            <v>0</v>
          </cell>
          <cell r="K604">
            <v>0</v>
          </cell>
          <cell r="L604">
            <v>0</v>
          </cell>
          <cell r="M604">
            <v>0</v>
          </cell>
          <cell r="N604">
            <v>0</v>
          </cell>
          <cell r="O604">
            <v>0</v>
          </cell>
        </row>
        <row r="605">
          <cell r="B605">
            <v>0</v>
          </cell>
          <cell r="C605">
            <v>0</v>
          </cell>
          <cell r="D605">
            <v>0</v>
          </cell>
          <cell r="E605">
            <v>0</v>
          </cell>
          <cell r="G605">
            <v>0</v>
          </cell>
          <cell r="H605">
            <v>0</v>
          </cell>
          <cell r="I605">
            <v>0</v>
          </cell>
          <cell r="J605">
            <v>0</v>
          </cell>
          <cell r="K605">
            <v>0</v>
          </cell>
          <cell r="L605">
            <v>0</v>
          </cell>
          <cell r="M605">
            <v>0</v>
          </cell>
          <cell r="N605">
            <v>0</v>
          </cell>
          <cell r="O605">
            <v>0</v>
          </cell>
        </row>
        <row r="606">
          <cell r="B606">
            <v>0</v>
          </cell>
          <cell r="C606">
            <v>0</v>
          </cell>
          <cell r="D606">
            <v>0</v>
          </cell>
          <cell r="E606">
            <v>0</v>
          </cell>
          <cell r="G606">
            <v>0</v>
          </cell>
          <cell r="H606">
            <v>0</v>
          </cell>
          <cell r="I606">
            <v>0</v>
          </cell>
          <cell r="J606">
            <v>0</v>
          </cell>
          <cell r="K606">
            <v>0</v>
          </cell>
          <cell r="L606">
            <v>0</v>
          </cell>
          <cell r="M606">
            <v>0</v>
          </cell>
          <cell r="N606">
            <v>0</v>
          </cell>
          <cell r="O606">
            <v>0</v>
          </cell>
        </row>
        <row r="607">
          <cell r="B607">
            <v>0</v>
          </cell>
          <cell r="C607">
            <v>0</v>
          </cell>
          <cell r="D607">
            <v>0</v>
          </cell>
          <cell r="E607">
            <v>0</v>
          </cell>
          <cell r="G607">
            <v>0</v>
          </cell>
          <cell r="H607">
            <v>0</v>
          </cell>
          <cell r="I607">
            <v>0</v>
          </cell>
          <cell r="J607">
            <v>0</v>
          </cell>
          <cell r="K607">
            <v>0</v>
          </cell>
          <cell r="L607">
            <v>0</v>
          </cell>
          <cell r="M607">
            <v>0</v>
          </cell>
          <cell r="N607">
            <v>0</v>
          </cell>
          <cell r="O607">
            <v>0</v>
          </cell>
        </row>
        <row r="608">
          <cell r="B608">
            <v>0</v>
          </cell>
          <cell r="C608">
            <v>0</v>
          </cell>
          <cell r="D608">
            <v>0</v>
          </cell>
          <cell r="E608">
            <v>0</v>
          </cell>
          <cell r="G608">
            <v>0</v>
          </cell>
          <cell r="H608">
            <v>0</v>
          </cell>
          <cell r="I608">
            <v>0</v>
          </cell>
          <cell r="J608">
            <v>0</v>
          </cell>
          <cell r="K608">
            <v>0</v>
          </cell>
          <cell r="L608">
            <v>0</v>
          </cell>
          <cell r="M608">
            <v>0</v>
          </cell>
          <cell r="N608">
            <v>0</v>
          </cell>
          <cell r="O608">
            <v>0</v>
          </cell>
        </row>
        <row r="609">
          <cell r="B609">
            <v>0</v>
          </cell>
          <cell r="C609">
            <v>0</v>
          </cell>
          <cell r="D609">
            <v>0</v>
          </cell>
          <cell r="E609">
            <v>0</v>
          </cell>
          <cell r="G609">
            <v>0</v>
          </cell>
          <cell r="H609">
            <v>0</v>
          </cell>
          <cell r="I609">
            <v>0</v>
          </cell>
          <cell r="J609">
            <v>0</v>
          </cell>
          <cell r="K609">
            <v>0</v>
          </cell>
          <cell r="L609">
            <v>0</v>
          </cell>
          <cell r="M609">
            <v>0</v>
          </cell>
          <cell r="N609">
            <v>0</v>
          </cell>
          <cell r="O609">
            <v>0</v>
          </cell>
        </row>
        <row r="610">
          <cell r="B610">
            <v>0</v>
          </cell>
          <cell r="C610">
            <v>0</v>
          </cell>
          <cell r="D610">
            <v>0</v>
          </cell>
          <cell r="E610">
            <v>0</v>
          </cell>
          <cell r="G610">
            <v>0</v>
          </cell>
          <cell r="H610">
            <v>0</v>
          </cell>
          <cell r="I610">
            <v>0</v>
          </cell>
          <cell r="J610">
            <v>0</v>
          </cell>
          <cell r="K610">
            <v>0</v>
          </cell>
          <cell r="L610">
            <v>0</v>
          </cell>
          <cell r="M610">
            <v>0</v>
          </cell>
          <cell r="N610">
            <v>0</v>
          </cell>
          <cell r="O610">
            <v>0</v>
          </cell>
        </row>
        <row r="611">
          <cell r="B611">
            <v>0</v>
          </cell>
          <cell r="C611">
            <v>0</v>
          </cell>
          <cell r="D611">
            <v>0</v>
          </cell>
          <cell r="E611">
            <v>0</v>
          </cell>
          <cell r="G611">
            <v>0</v>
          </cell>
          <cell r="H611">
            <v>0</v>
          </cell>
          <cell r="I611">
            <v>0</v>
          </cell>
          <cell r="J611">
            <v>0</v>
          </cell>
          <cell r="K611">
            <v>0</v>
          </cell>
          <cell r="L611">
            <v>0</v>
          </cell>
          <cell r="M611">
            <v>0</v>
          </cell>
          <cell r="N611">
            <v>0</v>
          </cell>
          <cell r="O611">
            <v>0</v>
          </cell>
        </row>
        <row r="612">
          <cell r="B612">
            <v>0</v>
          </cell>
          <cell r="C612">
            <v>0</v>
          </cell>
          <cell r="D612">
            <v>0</v>
          </cell>
          <cell r="E612">
            <v>0</v>
          </cell>
          <cell r="G612">
            <v>0</v>
          </cell>
          <cell r="H612">
            <v>0</v>
          </cell>
          <cell r="I612">
            <v>0</v>
          </cell>
          <cell r="J612">
            <v>0</v>
          </cell>
          <cell r="K612">
            <v>0</v>
          </cell>
          <cell r="L612">
            <v>0</v>
          </cell>
          <cell r="M612">
            <v>0</v>
          </cell>
          <cell r="N612">
            <v>0</v>
          </cell>
          <cell r="O612">
            <v>0</v>
          </cell>
        </row>
        <row r="613">
          <cell r="B613">
            <v>0</v>
          </cell>
          <cell r="C613">
            <v>0</v>
          </cell>
          <cell r="D613">
            <v>0</v>
          </cell>
          <cell r="E613">
            <v>0</v>
          </cell>
          <cell r="G613">
            <v>0</v>
          </cell>
          <cell r="H613">
            <v>0</v>
          </cell>
          <cell r="I613">
            <v>0</v>
          </cell>
          <cell r="J613">
            <v>0</v>
          </cell>
          <cell r="K613">
            <v>0</v>
          </cell>
          <cell r="L613">
            <v>0</v>
          </cell>
          <cell r="M613">
            <v>0</v>
          </cell>
          <cell r="N613">
            <v>0</v>
          </cell>
          <cell r="O613">
            <v>0</v>
          </cell>
        </row>
        <row r="614">
          <cell r="B614">
            <v>0</v>
          </cell>
          <cell r="C614">
            <v>0</v>
          </cell>
          <cell r="D614">
            <v>0</v>
          </cell>
          <cell r="E614">
            <v>0</v>
          </cell>
          <cell r="G614">
            <v>0</v>
          </cell>
          <cell r="H614">
            <v>0</v>
          </cell>
          <cell r="I614">
            <v>0</v>
          </cell>
          <cell r="J614">
            <v>0</v>
          </cell>
          <cell r="K614">
            <v>0</v>
          </cell>
          <cell r="L614">
            <v>0</v>
          </cell>
          <cell r="M614">
            <v>0</v>
          </cell>
          <cell r="N614">
            <v>0</v>
          </cell>
          <cell r="O614">
            <v>0</v>
          </cell>
        </row>
        <row r="615">
          <cell r="B615">
            <v>0</v>
          </cell>
          <cell r="C615">
            <v>0</v>
          </cell>
          <cell r="D615">
            <v>0</v>
          </cell>
          <cell r="E615">
            <v>0</v>
          </cell>
          <cell r="G615">
            <v>0</v>
          </cell>
          <cell r="H615">
            <v>0</v>
          </cell>
          <cell r="I615">
            <v>0</v>
          </cell>
          <cell r="J615">
            <v>0</v>
          </cell>
          <cell r="K615">
            <v>0</v>
          </cell>
          <cell r="L615">
            <v>0</v>
          </cell>
          <cell r="M615">
            <v>0</v>
          </cell>
          <cell r="N615">
            <v>0</v>
          </cell>
          <cell r="O615">
            <v>0</v>
          </cell>
        </row>
        <row r="616">
          <cell r="B616">
            <v>0</v>
          </cell>
          <cell r="C616">
            <v>0</v>
          </cell>
          <cell r="D616">
            <v>0</v>
          </cell>
          <cell r="E616">
            <v>0</v>
          </cell>
          <cell r="G616">
            <v>0</v>
          </cell>
          <cell r="H616">
            <v>0</v>
          </cell>
          <cell r="I616">
            <v>0</v>
          </cell>
          <cell r="J616">
            <v>0</v>
          </cell>
          <cell r="K616">
            <v>0</v>
          </cell>
          <cell r="L616">
            <v>0</v>
          </cell>
          <cell r="M616">
            <v>0</v>
          </cell>
          <cell r="N616">
            <v>0</v>
          </cell>
          <cell r="O616">
            <v>0</v>
          </cell>
        </row>
        <row r="617">
          <cell r="B617">
            <v>0</v>
          </cell>
          <cell r="C617">
            <v>0</v>
          </cell>
          <cell r="D617">
            <v>0</v>
          </cell>
          <cell r="E617">
            <v>0</v>
          </cell>
          <cell r="G617">
            <v>0</v>
          </cell>
          <cell r="H617">
            <v>0</v>
          </cell>
          <cell r="I617">
            <v>0</v>
          </cell>
          <cell r="J617">
            <v>0</v>
          </cell>
          <cell r="K617">
            <v>0</v>
          </cell>
          <cell r="L617">
            <v>0</v>
          </cell>
          <cell r="M617">
            <v>0</v>
          </cell>
          <cell r="N617">
            <v>0</v>
          </cell>
          <cell r="O617">
            <v>0</v>
          </cell>
        </row>
        <row r="618">
          <cell r="B618">
            <v>0</v>
          </cell>
          <cell r="C618">
            <v>0</v>
          </cell>
          <cell r="D618">
            <v>0</v>
          </cell>
          <cell r="E618">
            <v>0</v>
          </cell>
          <cell r="G618">
            <v>0</v>
          </cell>
          <cell r="H618">
            <v>0</v>
          </cell>
          <cell r="I618">
            <v>0</v>
          </cell>
          <cell r="J618">
            <v>0</v>
          </cell>
          <cell r="K618">
            <v>0</v>
          </cell>
          <cell r="L618">
            <v>0</v>
          </cell>
          <cell r="M618">
            <v>0</v>
          </cell>
          <cell r="N618">
            <v>0</v>
          </cell>
          <cell r="O618">
            <v>0</v>
          </cell>
        </row>
        <row r="619">
          <cell r="B619">
            <v>0</v>
          </cell>
          <cell r="C619">
            <v>0</v>
          </cell>
          <cell r="D619">
            <v>0</v>
          </cell>
          <cell r="E619">
            <v>0</v>
          </cell>
          <cell r="G619">
            <v>0</v>
          </cell>
          <cell r="H619">
            <v>0</v>
          </cell>
          <cell r="I619">
            <v>0</v>
          </cell>
          <cell r="J619">
            <v>0</v>
          </cell>
          <cell r="K619">
            <v>0</v>
          </cell>
          <cell r="L619">
            <v>0</v>
          </cell>
          <cell r="M619">
            <v>0</v>
          </cell>
          <cell r="N619">
            <v>0</v>
          </cell>
          <cell r="O619">
            <v>0</v>
          </cell>
        </row>
        <row r="620">
          <cell r="B620">
            <v>0</v>
          </cell>
          <cell r="C620">
            <v>0</v>
          </cell>
          <cell r="D620">
            <v>0</v>
          </cell>
          <cell r="E620">
            <v>0</v>
          </cell>
          <cell r="G620">
            <v>0</v>
          </cell>
          <cell r="H620">
            <v>0</v>
          </cell>
          <cell r="I620">
            <v>0</v>
          </cell>
          <cell r="J620">
            <v>0</v>
          </cell>
          <cell r="K620">
            <v>0</v>
          </cell>
          <cell r="L620">
            <v>0</v>
          </cell>
          <cell r="M620">
            <v>0</v>
          </cell>
          <cell r="N620">
            <v>0</v>
          </cell>
          <cell r="O620">
            <v>0</v>
          </cell>
        </row>
        <row r="621">
          <cell r="B621">
            <v>0</v>
          </cell>
          <cell r="C621">
            <v>0</v>
          </cell>
          <cell r="D621">
            <v>0</v>
          </cell>
          <cell r="E621">
            <v>0</v>
          </cell>
          <cell r="G621">
            <v>0</v>
          </cell>
          <cell r="H621">
            <v>0</v>
          </cell>
          <cell r="I621">
            <v>0</v>
          </cell>
          <cell r="J621">
            <v>0</v>
          </cell>
          <cell r="K621">
            <v>0</v>
          </cell>
          <cell r="L621">
            <v>0</v>
          </cell>
          <cell r="M621">
            <v>0</v>
          </cell>
          <cell r="N621">
            <v>0</v>
          </cell>
          <cell r="O621">
            <v>0</v>
          </cell>
        </row>
        <row r="622">
          <cell r="B622">
            <v>0</v>
          </cell>
          <cell r="C622">
            <v>0</v>
          </cell>
          <cell r="D622">
            <v>0</v>
          </cell>
          <cell r="E622">
            <v>0</v>
          </cell>
          <cell r="G622">
            <v>0</v>
          </cell>
          <cell r="H622">
            <v>0</v>
          </cell>
          <cell r="I622">
            <v>0</v>
          </cell>
          <cell r="J622">
            <v>0</v>
          </cell>
          <cell r="K622">
            <v>0</v>
          </cell>
          <cell r="L622">
            <v>0</v>
          </cell>
          <cell r="M622">
            <v>0</v>
          </cell>
          <cell r="N622">
            <v>0</v>
          </cell>
          <cell r="O622">
            <v>0</v>
          </cell>
        </row>
        <row r="623">
          <cell r="B623">
            <v>0</v>
          </cell>
          <cell r="C623">
            <v>0</v>
          </cell>
          <cell r="D623">
            <v>0</v>
          </cell>
          <cell r="E623">
            <v>0</v>
          </cell>
          <cell r="G623">
            <v>0</v>
          </cell>
          <cell r="H623">
            <v>0</v>
          </cell>
          <cell r="I623">
            <v>0</v>
          </cell>
          <cell r="J623">
            <v>0</v>
          </cell>
          <cell r="K623">
            <v>0</v>
          </cell>
          <cell r="L623">
            <v>0</v>
          </cell>
          <cell r="M623">
            <v>0</v>
          </cell>
          <cell r="N623">
            <v>0</v>
          </cell>
          <cell r="O623">
            <v>0</v>
          </cell>
        </row>
        <row r="624">
          <cell r="B624">
            <v>0</v>
          </cell>
          <cell r="C624">
            <v>0</v>
          </cell>
          <cell r="D624">
            <v>0</v>
          </cell>
          <cell r="E624">
            <v>0</v>
          </cell>
          <cell r="G624">
            <v>0</v>
          </cell>
          <cell r="H624">
            <v>0</v>
          </cell>
          <cell r="I624">
            <v>0</v>
          </cell>
          <cell r="J624">
            <v>0</v>
          </cell>
          <cell r="K624">
            <v>0</v>
          </cell>
          <cell r="L624">
            <v>0</v>
          </cell>
          <cell r="M624">
            <v>0</v>
          </cell>
          <cell r="N624">
            <v>0</v>
          </cell>
          <cell r="O624">
            <v>0</v>
          </cell>
        </row>
        <row r="625">
          <cell r="B625">
            <v>0</v>
          </cell>
          <cell r="C625">
            <v>0</v>
          </cell>
          <cell r="D625">
            <v>0</v>
          </cell>
          <cell r="E625">
            <v>0</v>
          </cell>
          <cell r="G625">
            <v>0</v>
          </cell>
          <cell r="H625">
            <v>0</v>
          </cell>
          <cell r="I625">
            <v>0</v>
          </cell>
          <cell r="J625">
            <v>0</v>
          </cell>
          <cell r="K625">
            <v>0</v>
          </cell>
          <cell r="L625">
            <v>0</v>
          </cell>
          <cell r="M625">
            <v>0</v>
          </cell>
          <cell r="N625">
            <v>0</v>
          </cell>
          <cell r="O625">
            <v>0</v>
          </cell>
        </row>
        <row r="626">
          <cell r="B626">
            <v>0</v>
          </cell>
          <cell r="C626">
            <v>0</v>
          </cell>
          <cell r="D626">
            <v>0</v>
          </cell>
          <cell r="E626">
            <v>0</v>
          </cell>
          <cell r="G626">
            <v>0</v>
          </cell>
          <cell r="H626">
            <v>0</v>
          </cell>
          <cell r="I626">
            <v>0</v>
          </cell>
          <cell r="J626">
            <v>0</v>
          </cell>
          <cell r="K626">
            <v>0</v>
          </cell>
          <cell r="L626">
            <v>0</v>
          </cell>
          <cell r="M626">
            <v>0</v>
          </cell>
          <cell r="N626">
            <v>0</v>
          </cell>
          <cell r="O626">
            <v>0</v>
          </cell>
        </row>
        <row r="627">
          <cell r="B627">
            <v>0</v>
          </cell>
          <cell r="C627">
            <v>0</v>
          </cell>
          <cell r="D627">
            <v>0</v>
          </cell>
          <cell r="E627">
            <v>0</v>
          </cell>
          <cell r="G627">
            <v>0</v>
          </cell>
          <cell r="H627">
            <v>0</v>
          </cell>
          <cell r="I627">
            <v>0</v>
          </cell>
          <cell r="J627">
            <v>0</v>
          </cell>
          <cell r="K627">
            <v>0</v>
          </cell>
          <cell r="L627">
            <v>0</v>
          </cell>
          <cell r="M627">
            <v>0</v>
          </cell>
          <cell r="N627">
            <v>0</v>
          </cell>
          <cell r="O627">
            <v>0</v>
          </cell>
        </row>
        <row r="628">
          <cell r="B628">
            <v>0</v>
          </cell>
          <cell r="C628">
            <v>0</v>
          </cell>
          <cell r="D628">
            <v>0</v>
          </cell>
          <cell r="E628">
            <v>0</v>
          </cell>
          <cell r="G628">
            <v>0</v>
          </cell>
          <cell r="H628">
            <v>0</v>
          </cell>
          <cell r="I628">
            <v>0</v>
          </cell>
          <cell r="J628">
            <v>0</v>
          </cell>
          <cell r="K628">
            <v>0</v>
          </cell>
          <cell r="L628">
            <v>0</v>
          </cell>
          <cell r="M628">
            <v>0</v>
          </cell>
          <cell r="N628">
            <v>0</v>
          </cell>
          <cell r="O628">
            <v>0</v>
          </cell>
        </row>
        <row r="629">
          <cell r="B629">
            <v>0</v>
          </cell>
          <cell r="C629">
            <v>0</v>
          </cell>
          <cell r="D629">
            <v>0</v>
          </cell>
          <cell r="E629">
            <v>0</v>
          </cell>
          <cell r="G629">
            <v>0</v>
          </cell>
          <cell r="H629">
            <v>0</v>
          </cell>
          <cell r="I629">
            <v>0</v>
          </cell>
          <cell r="J629">
            <v>0</v>
          </cell>
          <cell r="K629">
            <v>0</v>
          </cell>
          <cell r="L629">
            <v>0</v>
          </cell>
          <cell r="M629">
            <v>0</v>
          </cell>
          <cell r="N629">
            <v>0</v>
          </cell>
          <cell r="O629">
            <v>0</v>
          </cell>
        </row>
        <row r="630">
          <cell r="B630">
            <v>0</v>
          </cell>
          <cell r="C630">
            <v>0</v>
          </cell>
          <cell r="D630">
            <v>0</v>
          </cell>
          <cell r="E630">
            <v>0</v>
          </cell>
          <cell r="G630">
            <v>0</v>
          </cell>
          <cell r="H630">
            <v>0</v>
          </cell>
          <cell r="I630">
            <v>0</v>
          </cell>
          <cell r="J630">
            <v>0</v>
          </cell>
          <cell r="K630">
            <v>0</v>
          </cell>
          <cell r="L630">
            <v>0</v>
          </cell>
          <cell r="M630">
            <v>0</v>
          </cell>
          <cell r="N630">
            <v>0</v>
          </cell>
          <cell r="O630">
            <v>0</v>
          </cell>
        </row>
        <row r="631">
          <cell r="B631">
            <v>0</v>
          </cell>
          <cell r="C631">
            <v>0</v>
          </cell>
          <cell r="D631">
            <v>0</v>
          </cell>
          <cell r="E631">
            <v>0</v>
          </cell>
          <cell r="G631">
            <v>0</v>
          </cell>
          <cell r="H631">
            <v>0</v>
          </cell>
          <cell r="I631">
            <v>0</v>
          </cell>
          <cell r="J631">
            <v>0</v>
          </cell>
          <cell r="K631">
            <v>0</v>
          </cell>
          <cell r="L631">
            <v>0</v>
          </cell>
          <cell r="M631">
            <v>0</v>
          </cell>
          <cell r="N631">
            <v>0</v>
          </cell>
          <cell r="O631">
            <v>0</v>
          </cell>
        </row>
        <row r="632">
          <cell r="B632">
            <v>0</v>
          </cell>
          <cell r="C632">
            <v>0</v>
          </cell>
          <cell r="D632">
            <v>0</v>
          </cell>
          <cell r="E632">
            <v>0</v>
          </cell>
          <cell r="G632">
            <v>0</v>
          </cell>
          <cell r="H632">
            <v>0</v>
          </cell>
          <cell r="I632">
            <v>0</v>
          </cell>
          <cell r="J632">
            <v>0</v>
          </cell>
          <cell r="K632">
            <v>0</v>
          </cell>
          <cell r="L632">
            <v>0</v>
          </cell>
          <cell r="M632">
            <v>0</v>
          </cell>
          <cell r="N632">
            <v>0</v>
          </cell>
          <cell r="O632">
            <v>0</v>
          </cell>
        </row>
        <row r="633">
          <cell r="B633">
            <v>0</v>
          </cell>
          <cell r="C633">
            <v>0</v>
          </cell>
          <cell r="D633">
            <v>0</v>
          </cell>
          <cell r="E633">
            <v>0</v>
          </cell>
          <cell r="G633">
            <v>0</v>
          </cell>
          <cell r="H633">
            <v>0</v>
          </cell>
          <cell r="I633">
            <v>0</v>
          </cell>
          <cell r="J633">
            <v>0</v>
          </cell>
          <cell r="K633">
            <v>0</v>
          </cell>
          <cell r="L633">
            <v>0</v>
          </cell>
          <cell r="M633">
            <v>0</v>
          </cell>
          <cell r="N633">
            <v>0</v>
          </cell>
          <cell r="O633">
            <v>0</v>
          </cell>
        </row>
        <row r="634">
          <cell r="B634">
            <v>0</v>
          </cell>
          <cell r="C634">
            <v>0</v>
          </cell>
          <cell r="D634">
            <v>0</v>
          </cell>
          <cell r="E634">
            <v>0</v>
          </cell>
          <cell r="G634">
            <v>0</v>
          </cell>
          <cell r="H634">
            <v>0</v>
          </cell>
          <cell r="I634">
            <v>0</v>
          </cell>
          <cell r="J634">
            <v>0</v>
          </cell>
          <cell r="K634">
            <v>0</v>
          </cell>
          <cell r="L634">
            <v>0</v>
          </cell>
          <cell r="M634">
            <v>0</v>
          </cell>
          <cell r="N634">
            <v>0</v>
          </cell>
          <cell r="O634">
            <v>0</v>
          </cell>
        </row>
        <row r="635">
          <cell r="B635">
            <v>0</v>
          </cell>
          <cell r="C635">
            <v>0</v>
          </cell>
          <cell r="D635">
            <v>0</v>
          </cell>
          <cell r="E635">
            <v>0</v>
          </cell>
          <cell r="G635">
            <v>0</v>
          </cell>
          <cell r="H635">
            <v>0</v>
          </cell>
          <cell r="I635">
            <v>0</v>
          </cell>
          <cell r="J635">
            <v>0</v>
          </cell>
          <cell r="K635">
            <v>0</v>
          </cell>
          <cell r="L635">
            <v>0</v>
          </cell>
          <cell r="M635">
            <v>0</v>
          </cell>
          <cell r="N635">
            <v>0</v>
          </cell>
          <cell r="O635">
            <v>0</v>
          </cell>
        </row>
        <row r="636">
          <cell r="B636">
            <v>0</v>
          </cell>
          <cell r="C636">
            <v>0</v>
          </cell>
          <cell r="D636">
            <v>0</v>
          </cell>
          <cell r="E636">
            <v>0</v>
          </cell>
          <cell r="G636">
            <v>0</v>
          </cell>
          <cell r="H636">
            <v>0</v>
          </cell>
          <cell r="I636">
            <v>0</v>
          </cell>
          <cell r="J636">
            <v>0</v>
          </cell>
          <cell r="K636">
            <v>0</v>
          </cell>
          <cell r="L636">
            <v>0</v>
          </cell>
          <cell r="M636">
            <v>0</v>
          </cell>
          <cell r="N636">
            <v>0</v>
          </cell>
          <cell r="O636">
            <v>0</v>
          </cell>
        </row>
        <row r="637">
          <cell r="B637">
            <v>0</v>
          </cell>
          <cell r="C637">
            <v>0</v>
          </cell>
          <cell r="D637">
            <v>0</v>
          </cell>
          <cell r="E637">
            <v>0</v>
          </cell>
          <cell r="G637">
            <v>0</v>
          </cell>
          <cell r="H637">
            <v>0</v>
          </cell>
          <cell r="I637">
            <v>0</v>
          </cell>
          <cell r="J637">
            <v>0</v>
          </cell>
          <cell r="K637">
            <v>0</v>
          </cell>
          <cell r="L637">
            <v>0</v>
          </cell>
          <cell r="M637">
            <v>0</v>
          </cell>
          <cell r="N637">
            <v>0</v>
          </cell>
          <cell r="O637">
            <v>0</v>
          </cell>
        </row>
        <row r="638">
          <cell r="B638">
            <v>0</v>
          </cell>
          <cell r="C638">
            <v>0</v>
          </cell>
          <cell r="D638">
            <v>0</v>
          </cell>
          <cell r="E638">
            <v>0</v>
          </cell>
          <cell r="G638">
            <v>0</v>
          </cell>
          <cell r="H638">
            <v>0</v>
          </cell>
          <cell r="I638">
            <v>0</v>
          </cell>
          <cell r="J638">
            <v>0</v>
          </cell>
          <cell r="K638">
            <v>0</v>
          </cell>
          <cell r="L638">
            <v>0</v>
          </cell>
          <cell r="M638">
            <v>0</v>
          </cell>
          <cell r="N638">
            <v>0</v>
          </cell>
          <cell r="O638">
            <v>0</v>
          </cell>
        </row>
        <row r="639">
          <cell r="B639">
            <v>0</v>
          </cell>
          <cell r="C639">
            <v>0</v>
          </cell>
          <cell r="D639">
            <v>0</v>
          </cell>
          <cell r="E639">
            <v>0</v>
          </cell>
          <cell r="G639">
            <v>0</v>
          </cell>
          <cell r="H639">
            <v>0</v>
          </cell>
          <cell r="I639">
            <v>0</v>
          </cell>
          <cell r="J639">
            <v>0</v>
          </cell>
          <cell r="K639">
            <v>0</v>
          </cell>
          <cell r="L639">
            <v>0</v>
          </cell>
          <cell r="M639">
            <v>0</v>
          </cell>
          <cell r="N639">
            <v>0</v>
          </cell>
          <cell r="O639">
            <v>0</v>
          </cell>
        </row>
        <row r="640">
          <cell r="B640">
            <v>0</v>
          </cell>
          <cell r="C640">
            <v>0</v>
          </cell>
          <cell r="D640">
            <v>0</v>
          </cell>
          <cell r="E640">
            <v>0</v>
          </cell>
          <cell r="G640">
            <v>0</v>
          </cell>
          <cell r="H640">
            <v>0</v>
          </cell>
          <cell r="I640">
            <v>0</v>
          </cell>
          <cell r="J640">
            <v>0</v>
          </cell>
          <cell r="K640">
            <v>0</v>
          </cell>
          <cell r="L640">
            <v>0</v>
          </cell>
          <cell r="M640">
            <v>0</v>
          </cell>
          <cell r="N640">
            <v>0</v>
          </cell>
          <cell r="O640">
            <v>0</v>
          </cell>
        </row>
        <row r="641">
          <cell r="B641">
            <v>0</v>
          </cell>
          <cell r="C641">
            <v>0</v>
          </cell>
          <cell r="D641">
            <v>0</v>
          </cell>
          <cell r="E641">
            <v>0</v>
          </cell>
          <cell r="G641">
            <v>0</v>
          </cell>
          <cell r="H641">
            <v>0</v>
          </cell>
          <cell r="I641">
            <v>0</v>
          </cell>
          <cell r="J641">
            <v>0</v>
          </cell>
          <cell r="K641">
            <v>0</v>
          </cell>
          <cell r="L641">
            <v>0</v>
          </cell>
          <cell r="M641">
            <v>0</v>
          </cell>
          <cell r="N641">
            <v>0</v>
          </cell>
          <cell r="O641">
            <v>0</v>
          </cell>
        </row>
        <row r="642">
          <cell r="B642">
            <v>0</v>
          </cell>
          <cell r="C642">
            <v>0</v>
          </cell>
          <cell r="D642">
            <v>0</v>
          </cell>
          <cell r="E642">
            <v>0</v>
          </cell>
          <cell r="G642">
            <v>0</v>
          </cell>
          <cell r="H642">
            <v>0</v>
          </cell>
          <cell r="I642">
            <v>0</v>
          </cell>
          <cell r="J642">
            <v>0</v>
          </cell>
          <cell r="K642">
            <v>0</v>
          </cell>
          <cell r="L642">
            <v>0</v>
          </cell>
          <cell r="M642">
            <v>0</v>
          </cell>
          <cell r="N642">
            <v>0</v>
          </cell>
          <cell r="O642">
            <v>0</v>
          </cell>
        </row>
        <row r="643">
          <cell r="B643">
            <v>0</v>
          </cell>
          <cell r="C643">
            <v>0</v>
          </cell>
          <cell r="D643">
            <v>0</v>
          </cell>
          <cell r="E643">
            <v>0</v>
          </cell>
          <cell r="G643">
            <v>0</v>
          </cell>
          <cell r="H643">
            <v>0</v>
          </cell>
          <cell r="I643">
            <v>0</v>
          </cell>
          <cell r="J643">
            <v>0</v>
          </cell>
          <cell r="K643">
            <v>0</v>
          </cell>
          <cell r="L643">
            <v>0</v>
          </cell>
          <cell r="M643">
            <v>0</v>
          </cell>
          <cell r="N643">
            <v>0</v>
          </cell>
          <cell r="O643">
            <v>0</v>
          </cell>
        </row>
        <row r="644">
          <cell r="B644">
            <v>0</v>
          </cell>
          <cell r="C644">
            <v>0</v>
          </cell>
          <cell r="D644">
            <v>0</v>
          </cell>
          <cell r="E644">
            <v>0</v>
          </cell>
          <cell r="G644">
            <v>0</v>
          </cell>
          <cell r="H644">
            <v>0</v>
          </cell>
          <cell r="I644">
            <v>0</v>
          </cell>
          <cell r="J644">
            <v>0</v>
          </cell>
          <cell r="K644">
            <v>0</v>
          </cell>
          <cell r="L644">
            <v>0</v>
          </cell>
          <cell r="M644">
            <v>0</v>
          </cell>
          <cell r="N644">
            <v>0</v>
          </cell>
          <cell r="O644">
            <v>0</v>
          </cell>
        </row>
        <row r="645">
          <cell r="B645">
            <v>0</v>
          </cell>
          <cell r="C645">
            <v>0</v>
          </cell>
          <cell r="D645">
            <v>0</v>
          </cell>
          <cell r="E645">
            <v>0</v>
          </cell>
          <cell r="G645">
            <v>0</v>
          </cell>
          <cell r="H645">
            <v>0</v>
          </cell>
          <cell r="I645">
            <v>0</v>
          </cell>
          <cell r="J645">
            <v>0</v>
          </cell>
          <cell r="K645">
            <v>0</v>
          </cell>
          <cell r="L645">
            <v>0</v>
          </cell>
          <cell r="M645">
            <v>0</v>
          </cell>
          <cell r="N645">
            <v>0</v>
          </cell>
          <cell r="O645">
            <v>0</v>
          </cell>
        </row>
        <row r="646">
          <cell r="B646">
            <v>0</v>
          </cell>
          <cell r="C646">
            <v>0</v>
          </cell>
          <cell r="D646">
            <v>0</v>
          </cell>
          <cell r="E646">
            <v>0</v>
          </cell>
          <cell r="G646">
            <v>0</v>
          </cell>
          <cell r="H646">
            <v>0</v>
          </cell>
          <cell r="I646">
            <v>0</v>
          </cell>
          <cell r="J646">
            <v>0</v>
          </cell>
          <cell r="K646">
            <v>0</v>
          </cell>
          <cell r="L646">
            <v>0</v>
          </cell>
          <cell r="M646">
            <v>0</v>
          </cell>
          <cell r="N646">
            <v>0</v>
          </cell>
          <cell r="O646">
            <v>0</v>
          </cell>
        </row>
        <row r="647">
          <cell r="B647">
            <v>0</v>
          </cell>
          <cell r="C647">
            <v>0</v>
          </cell>
          <cell r="D647">
            <v>0</v>
          </cell>
          <cell r="E647">
            <v>0</v>
          </cell>
          <cell r="G647">
            <v>0</v>
          </cell>
          <cell r="H647">
            <v>0</v>
          </cell>
          <cell r="I647">
            <v>0</v>
          </cell>
          <cell r="J647">
            <v>0</v>
          </cell>
          <cell r="K647">
            <v>0</v>
          </cell>
          <cell r="L647">
            <v>0</v>
          </cell>
          <cell r="M647">
            <v>0</v>
          </cell>
          <cell r="N647">
            <v>0</v>
          </cell>
          <cell r="O647">
            <v>0</v>
          </cell>
        </row>
        <row r="648">
          <cell r="B648">
            <v>0</v>
          </cell>
          <cell r="C648">
            <v>0</v>
          </cell>
          <cell r="D648">
            <v>0</v>
          </cell>
          <cell r="E648">
            <v>0</v>
          </cell>
          <cell r="G648">
            <v>0</v>
          </cell>
          <cell r="H648">
            <v>0</v>
          </cell>
          <cell r="I648">
            <v>0</v>
          </cell>
          <cell r="J648">
            <v>0</v>
          </cell>
          <cell r="K648">
            <v>0</v>
          </cell>
          <cell r="L648">
            <v>0</v>
          </cell>
          <cell r="M648">
            <v>0</v>
          </cell>
          <cell r="N648">
            <v>0</v>
          </cell>
          <cell r="O648">
            <v>0</v>
          </cell>
        </row>
        <row r="649">
          <cell r="B649">
            <v>0</v>
          </cell>
          <cell r="C649">
            <v>0</v>
          </cell>
          <cell r="D649">
            <v>0</v>
          </cell>
          <cell r="E649">
            <v>0</v>
          </cell>
          <cell r="G649">
            <v>0</v>
          </cell>
          <cell r="H649">
            <v>0</v>
          </cell>
          <cell r="I649">
            <v>0</v>
          </cell>
          <cell r="J649">
            <v>0</v>
          </cell>
          <cell r="K649">
            <v>0</v>
          </cell>
          <cell r="L649">
            <v>0</v>
          </cell>
          <cell r="M649">
            <v>0</v>
          </cell>
          <cell r="N649">
            <v>0</v>
          </cell>
          <cell r="O649">
            <v>0</v>
          </cell>
        </row>
        <row r="650">
          <cell r="B650">
            <v>0</v>
          </cell>
          <cell r="C650">
            <v>0</v>
          </cell>
          <cell r="D650">
            <v>0</v>
          </cell>
          <cell r="E650">
            <v>0</v>
          </cell>
          <cell r="G650">
            <v>0</v>
          </cell>
          <cell r="H650">
            <v>0</v>
          </cell>
          <cell r="I650">
            <v>0</v>
          </cell>
          <cell r="J650">
            <v>0</v>
          </cell>
          <cell r="K650">
            <v>0</v>
          </cell>
          <cell r="L650">
            <v>0</v>
          </cell>
          <cell r="M650">
            <v>0</v>
          </cell>
          <cell r="N650">
            <v>0</v>
          </cell>
          <cell r="O650">
            <v>0</v>
          </cell>
        </row>
        <row r="651">
          <cell r="B651">
            <v>0</v>
          </cell>
          <cell r="C651">
            <v>0</v>
          </cell>
          <cell r="D651">
            <v>0</v>
          </cell>
          <cell r="E651">
            <v>0</v>
          </cell>
          <cell r="G651">
            <v>0</v>
          </cell>
          <cell r="H651">
            <v>0</v>
          </cell>
          <cell r="I651">
            <v>0</v>
          </cell>
          <cell r="J651">
            <v>0</v>
          </cell>
          <cell r="K651">
            <v>0</v>
          </cell>
          <cell r="L651">
            <v>0</v>
          </cell>
          <cell r="M651">
            <v>0</v>
          </cell>
          <cell r="N651">
            <v>0</v>
          </cell>
          <cell r="O651">
            <v>0</v>
          </cell>
        </row>
        <row r="652">
          <cell r="B652">
            <v>0</v>
          </cell>
          <cell r="C652">
            <v>0</v>
          </cell>
          <cell r="D652">
            <v>0</v>
          </cell>
          <cell r="E652">
            <v>0</v>
          </cell>
          <cell r="G652">
            <v>0</v>
          </cell>
          <cell r="H652">
            <v>0</v>
          </cell>
          <cell r="I652">
            <v>0</v>
          </cell>
          <cell r="J652">
            <v>0</v>
          </cell>
          <cell r="K652">
            <v>0</v>
          </cell>
          <cell r="L652">
            <v>0</v>
          </cell>
          <cell r="M652">
            <v>0</v>
          </cell>
          <cell r="N652">
            <v>0</v>
          </cell>
          <cell r="O652">
            <v>0</v>
          </cell>
        </row>
        <row r="653">
          <cell r="B653">
            <v>0</v>
          </cell>
          <cell r="C653">
            <v>0</v>
          </cell>
          <cell r="D653">
            <v>0</v>
          </cell>
          <cell r="E653">
            <v>0</v>
          </cell>
          <cell r="G653">
            <v>0</v>
          </cell>
          <cell r="H653">
            <v>0</v>
          </cell>
          <cell r="I653">
            <v>0</v>
          </cell>
          <cell r="J653">
            <v>0</v>
          </cell>
          <cell r="K653">
            <v>0</v>
          </cell>
          <cell r="L653">
            <v>0</v>
          </cell>
          <cell r="M653">
            <v>0</v>
          </cell>
          <cell r="N653">
            <v>0</v>
          </cell>
          <cell r="O653">
            <v>0</v>
          </cell>
        </row>
        <row r="654">
          <cell r="B654">
            <v>0</v>
          </cell>
          <cell r="C654">
            <v>0</v>
          </cell>
          <cell r="D654">
            <v>0</v>
          </cell>
          <cell r="E654">
            <v>0</v>
          </cell>
          <cell r="G654">
            <v>0</v>
          </cell>
          <cell r="H654">
            <v>0</v>
          </cell>
          <cell r="I654">
            <v>0</v>
          </cell>
          <cell r="J654">
            <v>0</v>
          </cell>
          <cell r="K654">
            <v>0</v>
          </cell>
          <cell r="L654">
            <v>0</v>
          </cell>
          <cell r="M654">
            <v>0</v>
          </cell>
          <cell r="N654">
            <v>0</v>
          </cell>
          <cell r="O654">
            <v>0</v>
          </cell>
        </row>
        <row r="655">
          <cell r="B655">
            <v>0</v>
          </cell>
          <cell r="C655">
            <v>0</v>
          </cell>
          <cell r="D655">
            <v>0</v>
          </cell>
          <cell r="E655">
            <v>0</v>
          </cell>
          <cell r="G655">
            <v>0</v>
          </cell>
          <cell r="H655">
            <v>0</v>
          </cell>
          <cell r="I655">
            <v>0</v>
          </cell>
          <cell r="J655">
            <v>0</v>
          </cell>
          <cell r="K655">
            <v>0</v>
          </cell>
          <cell r="L655">
            <v>0</v>
          </cell>
          <cell r="M655">
            <v>0</v>
          </cell>
          <cell r="N655">
            <v>0</v>
          </cell>
          <cell r="O655">
            <v>0</v>
          </cell>
        </row>
        <row r="656">
          <cell r="B656">
            <v>0</v>
          </cell>
          <cell r="C656">
            <v>0</v>
          </cell>
          <cell r="D656">
            <v>0</v>
          </cell>
          <cell r="E656">
            <v>0</v>
          </cell>
          <cell r="G656">
            <v>0</v>
          </cell>
          <cell r="H656">
            <v>0</v>
          </cell>
          <cell r="I656">
            <v>0</v>
          </cell>
          <cell r="J656">
            <v>0</v>
          </cell>
          <cell r="K656">
            <v>0</v>
          </cell>
          <cell r="L656">
            <v>0</v>
          </cell>
          <cell r="M656">
            <v>0</v>
          </cell>
          <cell r="N656">
            <v>0</v>
          </cell>
          <cell r="O656">
            <v>0</v>
          </cell>
        </row>
        <row r="657">
          <cell r="B657">
            <v>0</v>
          </cell>
          <cell r="C657">
            <v>0</v>
          </cell>
          <cell r="D657">
            <v>0</v>
          </cell>
          <cell r="E657">
            <v>0</v>
          </cell>
          <cell r="G657">
            <v>0</v>
          </cell>
          <cell r="H657">
            <v>0</v>
          </cell>
          <cell r="I657">
            <v>0</v>
          </cell>
          <cell r="J657">
            <v>0</v>
          </cell>
          <cell r="K657">
            <v>0</v>
          </cell>
          <cell r="L657">
            <v>0</v>
          </cell>
          <cell r="M657">
            <v>0</v>
          </cell>
          <cell r="N657">
            <v>0</v>
          </cell>
          <cell r="O657">
            <v>0</v>
          </cell>
        </row>
        <row r="658">
          <cell r="B658">
            <v>0</v>
          </cell>
          <cell r="C658">
            <v>0</v>
          </cell>
          <cell r="D658">
            <v>0</v>
          </cell>
          <cell r="E658">
            <v>0</v>
          </cell>
          <cell r="G658">
            <v>0</v>
          </cell>
          <cell r="H658">
            <v>0</v>
          </cell>
          <cell r="I658">
            <v>0</v>
          </cell>
          <cell r="J658">
            <v>0</v>
          </cell>
          <cell r="K658">
            <v>0</v>
          </cell>
          <cell r="L658">
            <v>0</v>
          </cell>
          <cell r="M658">
            <v>0</v>
          </cell>
          <cell r="N658">
            <v>0</v>
          </cell>
          <cell r="O658">
            <v>0</v>
          </cell>
        </row>
        <row r="659">
          <cell r="B659">
            <v>0</v>
          </cell>
          <cell r="C659">
            <v>0</v>
          </cell>
          <cell r="D659">
            <v>0</v>
          </cell>
          <cell r="E659">
            <v>0</v>
          </cell>
          <cell r="G659">
            <v>0</v>
          </cell>
          <cell r="H659">
            <v>0</v>
          </cell>
          <cell r="I659">
            <v>0</v>
          </cell>
          <cell r="J659">
            <v>0</v>
          </cell>
          <cell r="K659">
            <v>0</v>
          </cell>
          <cell r="L659">
            <v>0</v>
          </cell>
          <cell r="M659">
            <v>0</v>
          </cell>
          <cell r="N659">
            <v>0</v>
          </cell>
          <cell r="O659">
            <v>0</v>
          </cell>
        </row>
        <row r="660">
          <cell r="B660">
            <v>0</v>
          </cell>
          <cell r="C660">
            <v>0</v>
          </cell>
          <cell r="D660">
            <v>0</v>
          </cell>
          <cell r="E660">
            <v>0</v>
          </cell>
          <cell r="G660">
            <v>0</v>
          </cell>
          <cell r="H660">
            <v>0</v>
          </cell>
          <cell r="I660">
            <v>0</v>
          </cell>
          <cell r="J660">
            <v>0</v>
          </cell>
          <cell r="K660">
            <v>0</v>
          </cell>
          <cell r="L660">
            <v>0</v>
          </cell>
          <cell r="M660">
            <v>0</v>
          </cell>
          <cell r="N660">
            <v>0</v>
          </cell>
          <cell r="O660">
            <v>0</v>
          </cell>
        </row>
        <row r="661">
          <cell r="B661">
            <v>0</v>
          </cell>
          <cell r="C661">
            <v>0</v>
          </cell>
          <cell r="D661">
            <v>0</v>
          </cell>
          <cell r="E661">
            <v>0</v>
          </cell>
          <cell r="G661">
            <v>0</v>
          </cell>
          <cell r="H661">
            <v>0</v>
          </cell>
          <cell r="I661">
            <v>0</v>
          </cell>
          <cell r="J661">
            <v>0</v>
          </cell>
          <cell r="K661">
            <v>0</v>
          </cell>
          <cell r="L661">
            <v>0</v>
          </cell>
          <cell r="M661">
            <v>0</v>
          </cell>
          <cell r="N661">
            <v>0</v>
          </cell>
          <cell r="O661">
            <v>0</v>
          </cell>
        </row>
        <row r="662">
          <cell r="B662">
            <v>0</v>
          </cell>
          <cell r="C662">
            <v>0</v>
          </cell>
          <cell r="D662">
            <v>0</v>
          </cell>
          <cell r="E662">
            <v>0</v>
          </cell>
          <cell r="G662">
            <v>0</v>
          </cell>
          <cell r="H662">
            <v>0</v>
          </cell>
          <cell r="I662">
            <v>0</v>
          </cell>
          <cell r="J662">
            <v>0</v>
          </cell>
          <cell r="K662">
            <v>0</v>
          </cell>
          <cell r="L662">
            <v>0</v>
          </cell>
          <cell r="M662">
            <v>0</v>
          </cell>
          <cell r="N662">
            <v>0</v>
          </cell>
          <cell r="O662">
            <v>0</v>
          </cell>
        </row>
        <row r="663">
          <cell r="B663">
            <v>0</v>
          </cell>
          <cell r="C663">
            <v>0</v>
          </cell>
          <cell r="D663">
            <v>0</v>
          </cell>
          <cell r="E663">
            <v>0</v>
          </cell>
          <cell r="G663">
            <v>0</v>
          </cell>
          <cell r="H663">
            <v>0</v>
          </cell>
          <cell r="I663">
            <v>0</v>
          </cell>
          <cell r="J663">
            <v>0</v>
          </cell>
          <cell r="K663">
            <v>0</v>
          </cell>
          <cell r="L663">
            <v>0</v>
          </cell>
          <cell r="M663">
            <v>0</v>
          </cell>
          <cell r="N663">
            <v>0</v>
          </cell>
          <cell r="O663">
            <v>0</v>
          </cell>
        </row>
        <row r="664">
          <cell r="B664">
            <v>0</v>
          </cell>
          <cell r="C664">
            <v>0</v>
          </cell>
          <cell r="D664">
            <v>0</v>
          </cell>
          <cell r="E664">
            <v>0</v>
          </cell>
          <cell r="G664">
            <v>0</v>
          </cell>
          <cell r="H664">
            <v>0</v>
          </cell>
          <cell r="I664">
            <v>0</v>
          </cell>
          <cell r="J664">
            <v>0</v>
          </cell>
          <cell r="K664">
            <v>0</v>
          </cell>
          <cell r="L664">
            <v>0</v>
          </cell>
          <cell r="M664">
            <v>0</v>
          </cell>
          <cell r="N664">
            <v>0</v>
          </cell>
          <cell r="O664">
            <v>0</v>
          </cell>
        </row>
        <row r="665">
          <cell r="B665">
            <v>0</v>
          </cell>
          <cell r="C665">
            <v>0</v>
          </cell>
          <cell r="D665">
            <v>0</v>
          </cell>
          <cell r="E665">
            <v>0</v>
          </cell>
          <cell r="G665">
            <v>0</v>
          </cell>
          <cell r="H665">
            <v>0</v>
          </cell>
          <cell r="I665">
            <v>0</v>
          </cell>
          <cell r="J665">
            <v>0</v>
          </cell>
          <cell r="K665">
            <v>0</v>
          </cell>
          <cell r="L665">
            <v>0</v>
          </cell>
          <cell r="M665">
            <v>0</v>
          </cell>
          <cell r="N665">
            <v>0</v>
          </cell>
          <cell r="O665">
            <v>0</v>
          </cell>
        </row>
        <row r="666">
          <cell r="B666">
            <v>0</v>
          </cell>
          <cell r="C666">
            <v>0</v>
          </cell>
          <cell r="D666">
            <v>0</v>
          </cell>
          <cell r="E666">
            <v>0</v>
          </cell>
          <cell r="G666">
            <v>0</v>
          </cell>
          <cell r="H666">
            <v>0</v>
          </cell>
          <cell r="I666">
            <v>0</v>
          </cell>
          <cell r="J666">
            <v>0</v>
          </cell>
          <cell r="K666">
            <v>0</v>
          </cell>
          <cell r="L666">
            <v>0</v>
          </cell>
          <cell r="M666">
            <v>0</v>
          </cell>
          <cell r="N666">
            <v>0</v>
          </cell>
          <cell r="O666">
            <v>0</v>
          </cell>
        </row>
        <row r="667">
          <cell r="B667">
            <v>0</v>
          </cell>
          <cell r="C667">
            <v>0</v>
          </cell>
          <cell r="D667">
            <v>0</v>
          </cell>
          <cell r="E667">
            <v>0</v>
          </cell>
          <cell r="G667">
            <v>0</v>
          </cell>
          <cell r="H667">
            <v>0</v>
          </cell>
          <cell r="I667">
            <v>0</v>
          </cell>
          <cell r="J667">
            <v>0</v>
          </cell>
          <cell r="K667">
            <v>0</v>
          </cell>
          <cell r="L667">
            <v>0</v>
          </cell>
          <cell r="M667">
            <v>0</v>
          </cell>
          <cell r="N667">
            <v>0</v>
          </cell>
          <cell r="O667">
            <v>0</v>
          </cell>
        </row>
        <row r="668">
          <cell r="B668">
            <v>0</v>
          </cell>
          <cell r="C668">
            <v>0</v>
          </cell>
          <cell r="D668">
            <v>0</v>
          </cell>
          <cell r="E668">
            <v>0</v>
          </cell>
          <cell r="G668">
            <v>0</v>
          </cell>
          <cell r="H668">
            <v>0</v>
          </cell>
          <cell r="I668">
            <v>0</v>
          </cell>
          <cell r="J668">
            <v>0</v>
          </cell>
          <cell r="K668">
            <v>0</v>
          </cell>
          <cell r="L668">
            <v>0</v>
          </cell>
          <cell r="M668">
            <v>0</v>
          </cell>
          <cell r="N668">
            <v>0</v>
          </cell>
          <cell r="O668">
            <v>0</v>
          </cell>
        </row>
        <row r="669">
          <cell r="B669">
            <v>0</v>
          </cell>
          <cell r="C669">
            <v>0</v>
          </cell>
          <cell r="D669">
            <v>0</v>
          </cell>
          <cell r="E669">
            <v>0</v>
          </cell>
          <cell r="G669">
            <v>0</v>
          </cell>
          <cell r="H669">
            <v>0</v>
          </cell>
          <cell r="I669">
            <v>0</v>
          </cell>
          <cell r="J669">
            <v>0</v>
          </cell>
          <cell r="K669">
            <v>0</v>
          </cell>
          <cell r="L669">
            <v>0</v>
          </cell>
          <cell r="M669">
            <v>0</v>
          </cell>
          <cell r="N669">
            <v>0</v>
          </cell>
          <cell r="O669">
            <v>0</v>
          </cell>
        </row>
        <row r="670">
          <cell r="B670">
            <v>0</v>
          </cell>
          <cell r="C670">
            <v>0</v>
          </cell>
          <cell r="D670">
            <v>0</v>
          </cell>
          <cell r="E670">
            <v>0</v>
          </cell>
          <cell r="G670">
            <v>0</v>
          </cell>
          <cell r="H670">
            <v>0</v>
          </cell>
          <cell r="I670">
            <v>0</v>
          </cell>
          <cell r="J670">
            <v>0</v>
          </cell>
          <cell r="K670">
            <v>0</v>
          </cell>
          <cell r="L670">
            <v>0</v>
          </cell>
          <cell r="M670">
            <v>0</v>
          </cell>
          <cell r="N670">
            <v>0</v>
          </cell>
          <cell r="O670">
            <v>0</v>
          </cell>
        </row>
        <row r="671">
          <cell r="B671">
            <v>0</v>
          </cell>
          <cell r="C671">
            <v>0</v>
          </cell>
          <cell r="D671">
            <v>0</v>
          </cell>
          <cell r="E671">
            <v>0</v>
          </cell>
          <cell r="G671">
            <v>0</v>
          </cell>
          <cell r="H671">
            <v>0</v>
          </cell>
          <cell r="I671">
            <v>0</v>
          </cell>
          <cell r="J671">
            <v>0</v>
          </cell>
          <cell r="K671">
            <v>0</v>
          </cell>
          <cell r="L671">
            <v>0</v>
          </cell>
          <cell r="M671">
            <v>0</v>
          </cell>
          <cell r="N671">
            <v>0</v>
          </cell>
          <cell r="O671">
            <v>0</v>
          </cell>
        </row>
        <row r="672">
          <cell r="B672">
            <v>0</v>
          </cell>
          <cell r="C672">
            <v>0</v>
          </cell>
          <cell r="D672">
            <v>0</v>
          </cell>
          <cell r="E672">
            <v>0</v>
          </cell>
          <cell r="G672">
            <v>0</v>
          </cell>
          <cell r="H672">
            <v>0</v>
          </cell>
          <cell r="I672">
            <v>0</v>
          </cell>
          <cell r="J672">
            <v>0</v>
          </cell>
          <cell r="K672">
            <v>0</v>
          </cell>
          <cell r="L672">
            <v>0</v>
          </cell>
          <cell r="M672">
            <v>0</v>
          </cell>
          <cell r="N672">
            <v>0</v>
          </cell>
          <cell r="O672">
            <v>0</v>
          </cell>
        </row>
        <row r="673">
          <cell r="B673">
            <v>0</v>
          </cell>
          <cell r="C673">
            <v>0</v>
          </cell>
          <cell r="D673">
            <v>0</v>
          </cell>
          <cell r="E673">
            <v>0</v>
          </cell>
          <cell r="G673">
            <v>0</v>
          </cell>
          <cell r="H673">
            <v>0</v>
          </cell>
          <cell r="I673">
            <v>0</v>
          </cell>
          <cell r="J673">
            <v>0</v>
          </cell>
          <cell r="K673">
            <v>0</v>
          </cell>
          <cell r="L673">
            <v>0</v>
          </cell>
          <cell r="M673">
            <v>0</v>
          </cell>
          <cell r="N673">
            <v>0</v>
          </cell>
          <cell r="O673">
            <v>0</v>
          </cell>
        </row>
        <row r="674">
          <cell r="B674">
            <v>0</v>
          </cell>
          <cell r="C674">
            <v>0</v>
          </cell>
          <cell r="D674">
            <v>0</v>
          </cell>
          <cell r="E674">
            <v>0</v>
          </cell>
          <cell r="G674">
            <v>0</v>
          </cell>
          <cell r="H674">
            <v>0</v>
          </cell>
          <cell r="I674">
            <v>0</v>
          </cell>
          <cell r="J674">
            <v>0</v>
          </cell>
          <cell r="K674">
            <v>0</v>
          </cell>
          <cell r="L674">
            <v>0</v>
          </cell>
          <cell r="M674">
            <v>0</v>
          </cell>
          <cell r="N674">
            <v>0</v>
          </cell>
          <cell r="O674">
            <v>0</v>
          </cell>
        </row>
        <row r="675">
          <cell r="B675">
            <v>0</v>
          </cell>
          <cell r="C675">
            <v>0</v>
          </cell>
          <cell r="D675">
            <v>0</v>
          </cell>
          <cell r="E675">
            <v>0</v>
          </cell>
          <cell r="G675">
            <v>0</v>
          </cell>
          <cell r="H675">
            <v>0</v>
          </cell>
          <cell r="I675">
            <v>0</v>
          </cell>
          <cell r="J675">
            <v>0</v>
          </cell>
          <cell r="K675">
            <v>0</v>
          </cell>
          <cell r="L675">
            <v>0</v>
          </cell>
          <cell r="M675">
            <v>0</v>
          </cell>
          <cell r="N675">
            <v>0</v>
          </cell>
          <cell r="O675">
            <v>0</v>
          </cell>
        </row>
        <row r="676">
          <cell r="B676">
            <v>0</v>
          </cell>
          <cell r="C676">
            <v>0</v>
          </cell>
          <cell r="D676">
            <v>0</v>
          </cell>
          <cell r="E676">
            <v>0</v>
          </cell>
          <cell r="G676">
            <v>0</v>
          </cell>
          <cell r="H676">
            <v>0</v>
          </cell>
          <cell r="I676">
            <v>0</v>
          </cell>
          <cell r="J676">
            <v>0</v>
          </cell>
          <cell r="K676">
            <v>0</v>
          </cell>
          <cell r="L676">
            <v>0</v>
          </cell>
          <cell r="M676">
            <v>0</v>
          </cell>
          <cell r="N676">
            <v>0</v>
          </cell>
          <cell r="O676">
            <v>0</v>
          </cell>
        </row>
        <row r="677">
          <cell r="B677">
            <v>0</v>
          </cell>
          <cell r="C677">
            <v>0</v>
          </cell>
          <cell r="D677">
            <v>0</v>
          </cell>
          <cell r="E677">
            <v>0</v>
          </cell>
          <cell r="G677">
            <v>0</v>
          </cell>
          <cell r="H677">
            <v>0</v>
          </cell>
          <cell r="I677">
            <v>0</v>
          </cell>
          <cell r="J677">
            <v>0</v>
          </cell>
          <cell r="K677">
            <v>0</v>
          </cell>
          <cell r="L677">
            <v>0</v>
          </cell>
          <cell r="M677">
            <v>0</v>
          </cell>
          <cell r="N677">
            <v>0</v>
          </cell>
          <cell r="O677">
            <v>0</v>
          </cell>
        </row>
        <row r="678">
          <cell r="B678">
            <v>0</v>
          </cell>
          <cell r="C678">
            <v>0</v>
          </cell>
          <cell r="D678">
            <v>0</v>
          </cell>
          <cell r="E678">
            <v>0</v>
          </cell>
          <cell r="G678">
            <v>0</v>
          </cell>
          <cell r="H678">
            <v>0</v>
          </cell>
          <cell r="I678">
            <v>0</v>
          </cell>
          <cell r="J678">
            <v>0</v>
          </cell>
          <cell r="K678">
            <v>0</v>
          </cell>
          <cell r="L678">
            <v>0</v>
          </cell>
          <cell r="M678">
            <v>0</v>
          </cell>
          <cell r="N678">
            <v>0</v>
          </cell>
          <cell r="O678">
            <v>0</v>
          </cell>
        </row>
        <row r="679">
          <cell r="B679">
            <v>0</v>
          </cell>
          <cell r="C679">
            <v>0</v>
          </cell>
          <cell r="D679">
            <v>0</v>
          </cell>
          <cell r="E679">
            <v>0</v>
          </cell>
          <cell r="G679">
            <v>0</v>
          </cell>
          <cell r="H679">
            <v>0</v>
          </cell>
          <cell r="I679">
            <v>0</v>
          </cell>
          <cell r="J679">
            <v>0</v>
          </cell>
          <cell r="K679">
            <v>0</v>
          </cell>
          <cell r="L679">
            <v>0</v>
          </cell>
          <cell r="M679">
            <v>0</v>
          </cell>
          <cell r="N679">
            <v>0</v>
          </cell>
          <cell r="O679">
            <v>0</v>
          </cell>
        </row>
        <row r="680">
          <cell r="B680">
            <v>0</v>
          </cell>
          <cell r="C680">
            <v>0</v>
          </cell>
          <cell r="D680">
            <v>0</v>
          </cell>
          <cell r="E680">
            <v>0</v>
          </cell>
          <cell r="G680">
            <v>0</v>
          </cell>
          <cell r="H680">
            <v>0</v>
          </cell>
          <cell r="I680">
            <v>0</v>
          </cell>
          <cell r="J680">
            <v>0</v>
          </cell>
          <cell r="K680">
            <v>0</v>
          </cell>
          <cell r="L680">
            <v>0</v>
          </cell>
          <cell r="M680">
            <v>0</v>
          </cell>
          <cell r="N680">
            <v>0</v>
          </cell>
          <cell r="O680">
            <v>0</v>
          </cell>
        </row>
        <row r="681">
          <cell r="B681">
            <v>0</v>
          </cell>
          <cell r="C681">
            <v>0</v>
          </cell>
          <cell r="D681">
            <v>0</v>
          </cell>
          <cell r="E681">
            <v>0</v>
          </cell>
          <cell r="G681">
            <v>0</v>
          </cell>
          <cell r="H681">
            <v>0</v>
          </cell>
          <cell r="I681">
            <v>0</v>
          </cell>
          <cell r="J681">
            <v>0</v>
          </cell>
          <cell r="K681">
            <v>0</v>
          </cell>
          <cell r="L681">
            <v>0</v>
          </cell>
          <cell r="M681">
            <v>0</v>
          </cell>
          <cell r="N681">
            <v>0</v>
          </cell>
          <cell r="O681">
            <v>0</v>
          </cell>
        </row>
        <row r="682">
          <cell r="B682">
            <v>0</v>
          </cell>
          <cell r="C682">
            <v>0</v>
          </cell>
          <cell r="D682">
            <v>0</v>
          </cell>
          <cell r="E682">
            <v>0</v>
          </cell>
          <cell r="G682">
            <v>0</v>
          </cell>
          <cell r="H682">
            <v>0</v>
          </cell>
          <cell r="I682">
            <v>0</v>
          </cell>
          <cell r="J682">
            <v>0</v>
          </cell>
          <cell r="K682">
            <v>0</v>
          </cell>
          <cell r="L682">
            <v>0</v>
          </cell>
          <cell r="M682">
            <v>0</v>
          </cell>
          <cell r="N682">
            <v>0</v>
          </cell>
          <cell r="O682">
            <v>0</v>
          </cell>
        </row>
        <row r="683">
          <cell r="B683">
            <v>0</v>
          </cell>
          <cell r="C683">
            <v>0</v>
          </cell>
          <cell r="D683">
            <v>0</v>
          </cell>
          <cell r="E683">
            <v>0</v>
          </cell>
          <cell r="G683">
            <v>0</v>
          </cell>
          <cell r="H683">
            <v>0</v>
          </cell>
          <cell r="I683">
            <v>0</v>
          </cell>
          <cell r="J683">
            <v>0</v>
          </cell>
          <cell r="K683">
            <v>0</v>
          </cell>
          <cell r="L683">
            <v>0</v>
          </cell>
          <cell r="M683">
            <v>0</v>
          </cell>
          <cell r="N683">
            <v>0</v>
          </cell>
          <cell r="O683">
            <v>0</v>
          </cell>
        </row>
        <row r="684">
          <cell r="B684">
            <v>0</v>
          </cell>
          <cell r="C684">
            <v>0</v>
          </cell>
          <cell r="D684">
            <v>0</v>
          </cell>
          <cell r="E684">
            <v>0</v>
          </cell>
          <cell r="G684">
            <v>0</v>
          </cell>
          <cell r="H684">
            <v>0</v>
          </cell>
          <cell r="I684">
            <v>0</v>
          </cell>
          <cell r="J684">
            <v>0</v>
          </cell>
          <cell r="K684">
            <v>0</v>
          </cell>
          <cell r="L684">
            <v>0</v>
          </cell>
          <cell r="M684">
            <v>0</v>
          </cell>
          <cell r="N684">
            <v>0</v>
          </cell>
          <cell r="O684">
            <v>0</v>
          </cell>
        </row>
        <row r="685">
          <cell r="B685">
            <v>0</v>
          </cell>
          <cell r="C685">
            <v>0</v>
          </cell>
          <cell r="D685">
            <v>0</v>
          </cell>
          <cell r="E685">
            <v>0</v>
          </cell>
          <cell r="G685">
            <v>0</v>
          </cell>
          <cell r="H685">
            <v>0</v>
          </cell>
          <cell r="I685">
            <v>0</v>
          </cell>
          <cell r="J685">
            <v>0</v>
          </cell>
          <cell r="K685">
            <v>0</v>
          </cell>
          <cell r="L685">
            <v>0</v>
          </cell>
          <cell r="M685">
            <v>0</v>
          </cell>
          <cell r="N685">
            <v>0</v>
          </cell>
          <cell r="O685">
            <v>0</v>
          </cell>
        </row>
        <row r="686">
          <cell r="B686">
            <v>0</v>
          </cell>
          <cell r="C686">
            <v>0</v>
          </cell>
          <cell r="D686">
            <v>0</v>
          </cell>
          <cell r="E686">
            <v>0</v>
          </cell>
          <cell r="G686">
            <v>0</v>
          </cell>
          <cell r="H686">
            <v>0</v>
          </cell>
          <cell r="I686">
            <v>0</v>
          </cell>
          <cell r="J686">
            <v>0</v>
          </cell>
          <cell r="K686">
            <v>0</v>
          </cell>
          <cell r="L686">
            <v>0</v>
          </cell>
          <cell r="M686">
            <v>0</v>
          </cell>
          <cell r="N686">
            <v>0</v>
          </cell>
          <cell r="O686">
            <v>0</v>
          </cell>
        </row>
        <row r="687">
          <cell r="B687">
            <v>0</v>
          </cell>
          <cell r="C687">
            <v>0</v>
          </cell>
          <cell r="D687">
            <v>0</v>
          </cell>
          <cell r="E687">
            <v>0</v>
          </cell>
          <cell r="G687">
            <v>0</v>
          </cell>
          <cell r="H687">
            <v>0</v>
          </cell>
          <cell r="I687">
            <v>0</v>
          </cell>
          <cell r="J687">
            <v>0</v>
          </cell>
          <cell r="K687">
            <v>0</v>
          </cell>
          <cell r="L687">
            <v>0</v>
          </cell>
          <cell r="M687">
            <v>0</v>
          </cell>
          <cell r="N687">
            <v>0</v>
          </cell>
          <cell r="O687">
            <v>0</v>
          </cell>
        </row>
        <row r="688">
          <cell r="B688">
            <v>0</v>
          </cell>
          <cell r="C688">
            <v>0</v>
          </cell>
          <cell r="D688">
            <v>0</v>
          </cell>
          <cell r="E688">
            <v>0</v>
          </cell>
          <cell r="G688">
            <v>0</v>
          </cell>
          <cell r="H688">
            <v>0</v>
          </cell>
          <cell r="I688">
            <v>0</v>
          </cell>
          <cell r="J688">
            <v>0</v>
          </cell>
          <cell r="K688">
            <v>0</v>
          </cell>
          <cell r="L688">
            <v>0</v>
          </cell>
          <cell r="M688">
            <v>0</v>
          </cell>
          <cell r="N688">
            <v>0</v>
          </cell>
          <cell r="O688">
            <v>0</v>
          </cell>
        </row>
        <row r="689">
          <cell r="B689">
            <v>0</v>
          </cell>
          <cell r="C689">
            <v>0</v>
          </cell>
          <cell r="D689">
            <v>0</v>
          </cell>
          <cell r="E689">
            <v>0</v>
          </cell>
          <cell r="G689">
            <v>0</v>
          </cell>
          <cell r="H689">
            <v>0</v>
          </cell>
          <cell r="I689">
            <v>0</v>
          </cell>
          <cell r="J689">
            <v>0</v>
          </cell>
          <cell r="K689">
            <v>0</v>
          </cell>
          <cell r="L689">
            <v>0</v>
          </cell>
          <cell r="M689">
            <v>0</v>
          </cell>
          <cell r="N689">
            <v>0</v>
          </cell>
          <cell r="O689">
            <v>0</v>
          </cell>
        </row>
        <row r="690">
          <cell r="B690">
            <v>0</v>
          </cell>
          <cell r="C690">
            <v>0</v>
          </cell>
          <cell r="D690">
            <v>0</v>
          </cell>
          <cell r="E690">
            <v>0</v>
          </cell>
          <cell r="G690">
            <v>0</v>
          </cell>
          <cell r="H690">
            <v>0</v>
          </cell>
          <cell r="I690">
            <v>0</v>
          </cell>
          <cell r="J690">
            <v>0</v>
          </cell>
          <cell r="K690">
            <v>0</v>
          </cell>
          <cell r="L690">
            <v>0</v>
          </cell>
          <cell r="M690">
            <v>0</v>
          </cell>
          <cell r="N690">
            <v>0</v>
          </cell>
          <cell r="O690">
            <v>0</v>
          </cell>
        </row>
        <row r="691">
          <cell r="B691">
            <v>0</v>
          </cell>
          <cell r="C691">
            <v>0</v>
          </cell>
          <cell r="D691">
            <v>0</v>
          </cell>
          <cell r="E691">
            <v>0</v>
          </cell>
          <cell r="G691">
            <v>0</v>
          </cell>
          <cell r="H691">
            <v>0</v>
          </cell>
          <cell r="I691">
            <v>0</v>
          </cell>
          <cell r="J691">
            <v>0</v>
          </cell>
          <cell r="K691">
            <v>0</v>
          </cell>
          <cell r="L691">
            <v>0</v>
          </cell>
          <cell r="M691">
            <v>0</v>
          </cell>
          <cell r="N691">
            <v>0</v>
          </cell>
          <cell r="O691">
            <v>0</v>
          </cell>
        </row>
        <row r="692">
          <cell r="B692">
            <v>0</v>
          </cell>
          <cell r="C692">
            <v>0</v>
          </cell>
          <cell r="D692">
            <v>0</v>
          </cell>
          <cell r="E692">
            <v>0</v>
          </cell>
          <cell r="G692">
            <v>0</v>
          </cell>
          <cell r="H692">
            <v>0</v>
          </cell>
          <cell r="I692">
            <v>0</v>
          </cell>
          <cell r="J692">
            <v>0</v>
          </cell>
          <cell r="K692">
            <v>0</v>
          </cell>
          <cell r="L692">
            <v>0</v>
          </cell>
          <cell r="M692">
            <v>0</v>
          </cell>
          <cell r="N692">
            <v>0</v>
          </cell>
          <cell r="O692">
            <v>0</v>
          </cell>
        </row>
        <row r="693">
          <cell r="B693">
            <v>0</v>
          </cell>
          <cell r="C693">
            <v>0</v>
          </cell>
          <cell r="D693">
            <v>0</v>
          </cell>
          <cell r="E693">
            <v>0</v>
          </cell>
          <cell r="G693">
            <v>0</v>
          </cell>
          <cell r="H693">
            <v>0</v>
          </cell>
          <cell r="I693">
            <v>0</v>
          </cell>
          <cell r="J693">
            <v>0</v>
          </cell>
          <cell r="K693">
            <v>0</v>
          </cell>
          <cell r="L693">
            <v>0</v>
          </cell>
          <cell r="M693">
            <v>0</v>
          </cell>
          <cell r="N693">
            <v>0</v>
          </cell>
          <cell r="O693">
            <v>0</v>
          </cell>
        </row>
        <row r="694">
          <cell r="B694">
            <v>0</v>
          </cell>
          <cell r="C694">
            <v>0</v>
          </cell>
          <cell r="D694">
            <v>0</v>
          </cell>
          <cell r="E694">
            <v>0</v>
          </cell>
          <cell r="G694">
            <v>0</v>
          </cell>
          <cell r="H694">
            <v>0</v>
          </cell>
          <cell r="I694">
            <v>0</v>
          </cell>
          <cell r="J694">
            <v>0</v>
          </cell>
          <cell r="K694">
            <v>0</v>
          </cell>
          <cell r="L694">
            <v>0</v>
          </cell>
          <cell r="M694">
            <v>0</v>
          </cell>
          <cell r="N694">
            <v>0</v>
          </cell>
          <cell r="O694">
            <v>0</v>
          </cell>
        </row>
        <row r="695">
          <cell r="B695">
            <v>0</v>
          </cell>
          <cell r="C695">
            <v>0</v>
          </cell>
          <cell r="D695">
            <v>0</v>
          </cell>
          <cell r="E695">
            <v>0</v>
          </cell>
          <cell r="G695">
            <v>0</v>
          </cell>
          <cell r="H695">
            <v>0</v>
          </cell>
          <cell r="I695">
            <v>0</v>
          </cell>
          <cell r="J695">
            <v>0</v>
          </cell>
          <cell r="K695">
            <v>0</v>
          </cell>
          <cell r="L695">
            <v>0</v>
          </cell>
          <cell r="M695">
            <v>0</v>
          </cell>
          <cell r="N695">
            <v>0</v>
          </cell>
          <cell r="O695">
            <v>0</v>
          </cell>
        </row>
        <row r="696">
          <cell r="B696">
            <v>0</v>
          </cell>
          <cell r="C696">
            <v>0</v>
          </cell>
          <cell r="D696">
            <v>0</v>
          </cell>
          <cell r="E696">
            <v>0</v>
          </cell>
          <cell r="G696">
            <v>0</v>
          </cell>
          <cell r="H696">
            <v>0</v>
          </cell>
          <cell r="I696">
            <v>0</v>
          </cell>
          <cell r="J696">
            <v>0</v>
          </cell>
          <cell r="K696">
            <v>0</v>
          </cell>
          <cell r="L696">
            <v>0</v>
          </cell>
          <cell r="M696">
            <v>0</v>
          </cell>
          <cell r="N696">
            <v>0</v>
          </cell>
          <cell r="O696">
            <v>0</v>
          </cell>
        </row>
        <row r="697">
          <cell r="B697">
            <v>0</v>
          </cell>
          <cell r="C697">
            <v>0</v>
          </cell>
          <cell r="D697">
            <v>0</v>
          </cell>
          <cell r="E697">
            <v>0</v>
          </cell>
          <cell r="G697">
            <v>0</v>
          </cell>
          <cell r="H697">
            <v>0</v>
          </cell>
          <cell r="I697">
            <v>0</v>
          </cell>
          <cell r="J697">
            <v>0</v>
          </cell>
          <cell r="K697">
            <v>0</v>
          </cell>
          <cell r="L697">
            <v>0</v>
          </cell>
          <cell r="M697">
            <v>0</v>
          </cell>
          <cell r="N697">
            <v>0</v>
          </cell>
          <cell r="O697">
            <v>0</v>
          </cell>
        </row>
        <row r="698">
          <cell r="B698">
            <v>0</v>
          </cell>
          <cell r="C698">
            <v>0</v>
          </cell>
          <cell r="D698">
            <v>0</v>
          </cell>
          <cell r="E698">
            <v>0</v>
          </cell>
          <cell r="G698">
            <v>0</v>
          </cell>
          <cell r="H698">
            <v>0</v>
          </cell>
          <cell r="I698">
            <v>0</v>
          </cell>
          <cell r="J698">
            <v>0</v>
          </cell>
          <cell r="K698">
            <v>0</v>
          </cell>
          <cell r="L698">
            <v>0</v>
          </cell>
          <cell r="M698">
            <v>0</v>
          </cell>
          <cell r="N698">
            <v>0</v>
          </cell>
          <cell r="O698">
            <v>0</v>
          </cell>
        </row>
        <row r="699">
          <cell r="B699">
            <v>0</v>
          </cell>
          <cell r="C699">
            <v>0</v>
          </cell>
          <cell r="D699">
            <v>0</v>
          </cell>
          <cell r="E699">
            <v>0</v>
          </cell>
          <cell r="G699">
            <v>0</v>
          </cell>
          <cell r="H699">
            <v>0</v>
          </cell>
          <cell r="I699">
            <v>0</v>
          </cell>
          <cell r="J699">
            <v>0</v>
          </cell>
          <cell r="K699">
            <v>0</v>
          </cell>
          <cell r="L699">
            <v>0</v>
          </cell>
          <cell r="M699">
            <v>0</v>
          </cell>
          <cell r="N699">
            <v>0</v>
          </cell>
          <cell r="O699">
            <v>0</v>
          </cell>
        </row>
        <row r="700">
          <cell r="B700">
            <v>0</v>
          </cell>
          <cell r="C700">
            <v>0</v>
          </cell>
          <cell r="D700">
            <v>0</v>
          </cell>
          <cell r="E700">
            <v>0</v>
          </cell>
          <cell r="G700">
            <v>0</v>
          </cell>
          <cell r="H700">
            <v>0</v>
          </cell>
          <cell r="I700">
            <v>0</v>
          </cell>
          <cell r="J700">
            <v>0</v>
          </cell>
          <cell r="K700">
            <v>0</v>
          </cell>
          <cell r="L700">
            <v>0</v>
          </cell>
          <cell r="M700">
            <v>0</v>
          </cell>
          <cell r="N700">
            <v>0</v>
          </cell>
          <cell r="O700">
            <v>0</v>
          </cell>
        </row>
        <row r="701">
          <cell r="B701">
            <v>0</v>
          </cell>
          <cell r="C701">
            <v>0</v>
          </cell>
          <cell r="D701">
            <v>0</v>
          </cell>
          <cell r="E701">
            <v>0</v>
          </cell>
          <cell r="G701">
            <v>0</v>
          </cell>
          <cell r="H701">
            <v>0</v>
          </cell>
          <cell r="I701">
            <v>0</v>
          </cell>
          <cell r="J701">
            <v>0</v>
          </cell>
          <cell r="K701">
            <v>0</v>
          </cell>
          <cell r="L701">
            <v>0</v>
          </cell>
          <cell r="M701">
            <v>0</v>
          </cell>
          <cell r="N701">
            <v>0</v>
          </cell>
          <cell r="O701">
            <v>0</v>
          </cell>
        </row>
        <row r="702">
          <cell r="B702">
            <v>0</v>
          </cell>
          <cell r="C702">
            <v>0</v>
          </cell>
          <cell r="D702">
            <v>0</v>
          </cell>
          <cell r="E702">
            <v>0</v>
          </cell>
          <cell r="G702">
            <v>0</v>
          </cell>
          <cell r="H702">
            <v>0</v>
          </cell>
          <cell r="I702">
            <v>0</v>
          </cell>
          <cell r="J702">
            <v>0</v>
          </cell>
          <cell r="K702">
            <v>0</v>
          </cell>
          <cell r="L702">
            <v>0</v>
          </cell>
          <cell r="M702">
            <v>0</v>
          </cell>
          <cell r="N702">
            <v>0</v>
          </cell>
          <cell r="O702">
            <v>0</v>
          </cell>
        </row>
        <row r="703">
          <cell r="B703">
            <v>0</v>
          </cell>
          <cell r="C703">
            <v>0</v>
          </cell>
          <cell r="D703">
            <v>0</v>
          </cell>
          <cell r="E703">
            <v>0</v>
          </cell>
          <cell r="G703">
            <v>0</v>
          </cell>
          <cell r="H703">
            <v>0</v>
          </cell>
          <cell r="I703">
            <v>0</v>
          </cell>
          <cell r="J703">
            <v>0</v>
          </cell>
          <cell r="K703">
            <v>0</v>
          </cell>
          <cell r="L703">
            <v>0</v>
          </cell>
          <cell r="M703">
            <v>0</v>
          </cell>
          <cell r="N703">
            <v>0</v>
          </cell>
          <cell r="O703">
            <v>0</v>
          </cell>
        </row>
        <row r="704">
          <cell r="B704">
            <v>0</v>
          </cell>
          <cell r="C704">
            <v>0</v>
          </cell>
          <cell r="D704">
            <v>0</v>
          </cell>
          <cell r="E704">
            <v>0</v>
          </cell>
          <cell r="G704">
            <v>0</v>
          </cell>
          <cell r="H704">
            <v>0</v>
          </cell>
          <cell r="I704">
            <v>0</v>
          </cell>
          <cell r="J704">
            <v>0</v>
          </cell>
          <cell r="K704">
            <v>0</v>
          </cell>
          <cell r="L704">
            <v>0</v>
          </cell>
          <cell r="M704">
            <v>0</v>
          </cell>
          <cell r="N704">
            <v>0</v>
          </cell>
          <cell r="O704">
            <v>0</v>
          </cell>
        </row>
        <row r="705">
          <cell r="B705">
            <v>0</v>
          </cell>
          <cell r="C705">
            <v>0</v>
          </cell>
          <cell r="D705">
            <v>0</v>
          </cell>
          <cell r="E705">
            <v>0</v>
          </cell>
          <cell r="G705">
            <v>0</v>
          </cell>
          <cell r="H705">
            <v>0</v>
          </cell>
          <cell r="I705">
            <v>0</v>
          </cell>
          <cell r="J705">
            <v>0</v>
          </cell>
          <cell r="K705">
            <v>0</v>
          </cell>
          <cell r="L705">
            <v>0</v>
          </cell>
          <cell r="M705">
            <v>0</v>
          </cell>
          <cell r="N705">
            <v>0</v>
          </cell>
          <cell r="O705">
            <v>0</v>
          </cell>
        </row>
        <row r="706">
          <cell r="B706">
            <v>0</v>
          </cell>
          <cell r="C706">
            <v>0</v>
          </cell>
          <cell r="D706">
            <v>0</v>
          </cell>
          <cell r="E706">
            <v>0</v>
          </cell>
          <cell r="G706">
            <v>0</v>
          </cell>
          <cell r="H706">
            <v>0</v>
          </cell>
          <cell r="I706">
            <v>0</v>
          </cell>
          <cell r="J706">
            <v>0</v>
          </cell>
          <cell r="K706">
            <v>0</v>
          </cell>
          <cell r="L706">
            <v>0</v>
          </cell>
          <cell r="M706">
            <v>0</v>
          </cell>
          <cell r="N706">
            <v>0</v>
          </cell>
          <cell r="O706">
            <v>0</v>
          </cell>
        </row>
        <row r="707">
          <cell r="B707">
            <v>0</v>
          </cell>
          <cell r="C707">
            <v>0</v>
          </cell>
          <cell r="D707">
            <v>0</v>
          </cell>
          <cell r="E707">
            <v>0</v>
          </cell>
          <cell r="G707">
            <v>0</v>
          </cell>
          <cell r="H707">
            <v>0</v>
          </cell>
          <cell r="I707">
            <v>0</v>
          </cell>
          <cell r="J707">
            <v>0</v>
          </cell>
          <cell r="K707">
            <v>0</v>
          </cell>
          <cell r="L707">
            <v>0</v>
          </cell>
          <cell r="M707">
            <v>0</v>
          </cell>
          <cell r="N707">
            <v>0</v>
          </cell>
          <cell r="O707">
            <v>0</v>
          </cell>
        </row>
        <row r="708">
          <cell r="B708">
            <v>0</v>
          </cell>
          <cell r="C708">
            <v>0</v>
          </cell>
          <cell r="D708">
            <v>0</v>
          </cell>
          <cell r="E708">
            <v>0</v>
          </cell>
          <cell r="G708">
            <v>0</v>
          </cell>
          <cell r="H708">
            <v>0</v>
          </cell>
          <cell r="I708">
            <v>0</v>
          </cell>
          <cell r="J708">
            <v>0</v>
          </cell>
          <cell r="K708">
            <v>0</v>
          </cell>
          <cell r="L708">
            <v>0</v>
          </cell>
          <cell r="M708">
            <v>0</v>
          </cell>
          <cell r="N708">
            <v>0</v>
          </cell>
          <cell r="O708">
            <v>0</v>
          </cell>
        </row>
        <row r="709">
          <cell r="B709">
            <v>0</v>
          </cell>
          <cell r="C709">
            <v>0</v>
          </cell>
          <cell r="D709">
            <v>0</v>
          </cell>
          <cell r="E709">
            <v>0</v>
          </cell>
          <cell r="G709">
            <v>0</v>
          </cell>
          <cell r="H709">
            <v>0</v>
          </cell>
          <cell r="I709">
            <v>0</v>
          </cell>
          <cell r="J709">
            <v>0</v>
          </cell>
          <cell r="K709">
            <v>0</v>
          </cell>
          <cell r="L709">
            <v>0</v>
          </cell>
          <cell r="M709">
            <v>0</v>
          </cell>
          <cell r="N709">
            <v>0</v>
          </cell>
          <cell r="O709">
            <v>0</v>
          </cell>
        </row>
        <row r="710">
          <cell r="B710">
            <v>0</v>
          </cell>
          <cell r="C710">
            <v>0</v>
          </cell>
          <cell r="D710">
            <v>0</v>
          </cell>
          <cell r="E710">
            <v>0</v>
          </cell>
          <cell r="G710">
            <v>0</v>
          </cell>
          <cell r="H710">
            <v>0</v>
          </cell>
          <cell r="I710">
            <v>0</v>
          </cell>
          <cell r="J710">
            <v>0</v>
          </cell>
          <cell r="K710">
            <v>0</v>
          </cell>
          <cell r="L710">
            <v>0</v>
          </cell>
          <cell r="M710">
            <v>0</v>
          </cell>
          <cell r="N710">
            <v>0</v>
          </cell>
          <cell r="O710">
            <v>0</v>
          </cell>
        </row>
        <row r="711">
          <cell r="B711">
            <v>0</v>
          </cell>
          <cell r="C711">
            <v>0</v>
          </cell>
          <cell r="D711">
            <v>0</v>
          </cell>
          <cell r="E711">
            <v>0</v>
          </cell>
          <cell r="G711">
            <v>0</v>
          </cell>
          <cell r="H711">
            <v>0</v>
          </cell>
          <cell r="I711">
            <v>0</v>
          </cell>
          <cell r="J711">
            <v>0</v>
          </cell>
          <cell r="K711">
            <v>0</v>
          </cell>
          <cell r="L711">
            <v>0</v>
          </cell>
          <cell r="M711">
            <v>0</v>
          </cell>
          <cell r="N711">
            <v>0</v>
          </cell>
          <cell r="O711">
            <v>0</v>
          </cell>
        </row>
        <row r="712">
          <cell r="B712">
            <v>0</v>
          </cell>
          <cell r="C712">
            <v>0</v>
          </cell>
          <cell r="D712">
            <v>0</v>
          </cell>
          <cell r="E712">
            <v>0</v>
          </cell>
          <cell r="G712">
            <v>0</v>
          </cell>
          <cell r="H712">
            <v>0</v>
          </cell>
          <cell r="I712">
            <v>0</v>
          </cell>
          <cell r="J712">
            <v>0</v>
          </cell>
          <cell r="K712">
            <v>0</v>
          </cell>
          <cell r="L712">
            <v>0</v>
          </cell>
          <cell r="M712">
            <v>0</v>
          </cell>
          <cell r="N712">
            <v>0</v>
          </cell>
          <cell r="O712">
            <v>0</v>
          </cell>
        </row>
        <row r="713">
          <cell r="B713">
            <v>0</v>
          </cell>
          <cell r="C713">
            <v>0</v>
          </cell>
          <cell r="D713">
            <v>0</v>
          </cell>
          <cell r="E713">
            <v>0</v>
          </cell>
          <cell r="G713">
            <v>0</v>
          </cell>
          <cell r="H713">
            <v>0</v>
          </cell>
          <cell r="I713">
            <v>0</v>
          </cell>
          <cell r="J713">
            <v>0</v>
          </cell>
          <cell r="K713">
            <v>0</v>
          </cell>
          <cell r="L713">
            <v>0</v>
          </cell>
          <cell r="M713">
            <v>0</v>
          </cell>
          <cell r="N713">
            <v>0</v>
          </cell>
          <cell r="O713">
            <v>0</v>
          </cell>
        </row>
        <row r="714">
          <cell r="B714">
            <v>0</v>
          </cell>
          <cell r="C714">
            <v>0</v>
          </cell>
          <cell r="D714">
            <v>0</v>
          </cell>
          <cell r="E714">
            <v>0</v>
          </cell>
          <cell r="G714">
            <v>0</v>
          </cell>
          <cell r="H714">
            <v>0</v>
          </cell>
          <cell r="I714">
            <v>0</v>
          </cell>
          <cell r="J714">
            <v>0</v>
          </cell>
          <cell r="K714">
            <v>0</v>
          </cell>
          <cell r="L714">
            <v>0</v>
          </cell>
          <cell r="M714">
            <v>0</v>
          </cell>
          <cell r="N714">
            <v>0</v>
          </cell>
          <cell r="O714">
            <v>0</v>
          </cell>
        </row>
        <row r="715">
          <cell r="B715">
            <v>0</v>
          </cell>
          <cell r="C715">
            <v>0</v>
          </cell>
          <cell r="D715">
            <v>0</v>
          </cell>
          <cell r="E715">
            <v>0</v>
          </cell>
          <cell r="G715">
            <v>0</v>
          </cell>
          <cell r="H715">
            <v>0</v>
          </cell>
          <cell r="I715">
            <v>0</v>
          </cell>
          <cell r="J715">
            <v>0</v>
          </cell>
          <cell r="K715">
            <v>0</v>
          </cell>
          <cell r="L715">
            <v>0</v>
          </cell>
          <cell r="M715">
            <v>0</v>
          </cell>
          <cell r="N715">
            <v>0</v>
          </cell>
          <cell r="O715">
            <v>0</v>
          </cell>
        </row>
        <row r="716">
          <cell r="B716">
            <v>0</v>
          </cell>
          <cell r="C716">
            <v>0</v>
          </cell>
          <cell r="D716">
            <v>0</v>
          </cell>
          <cell r="E716">
            <v>0</v>
          </cell>
          <cell r="G716">
            <v>0</v>
          </cell>
          <cell r="H716">
            <v>0</v>
          </cell>
          <cell r="I716">
            <v>0</v>
          </cell>
          <cell r="J716">
            <v>0</v>
          </cell>
          <cell r="K716">
            <v>0</v>
          </cell>
          <cell r="L716">
            <v>0</v>
          </cell>
          <cell r="M716">
            <v>0</v>
          </cell>
          <cell r="N716">
            <v>0</v>
          </cell>
          <cell r="O716">
            <v>0</v>
          </cell>
        </row>
        <row r="717">
          <cell r="B717">
            <v>0</v>
          </cell>
          <cell r="C717">
            <v>0</v>
          </cell>
          <cell r="D717">
            <v>0</v>
          </cell>
          <cell r="E717">
            <v>0</v>
          </cell>
          <cell r="G717">
            <v>0</v>
          </cell>
          <cell r="H717">
            <v>0</v>
          </cell>
          <cell r="I717">
            <v>0</v>
          </cell>
          <cell r="J717">
            <v>0</v>
          </cell>
          <cell r="K717">
            <v>0</v>
          </cell>
          <cell r="L717">
            <v>0</v>
          </cell>
          <cell r="M717">
            <v>0</v>
          </cell>
          <cell r="N717">
            <v>0</v>
          </cell>
          <cell r="O717">
            <v>0</v>
          </cell>
        </row>
        <row r="718">
          <cell r="B718">
            <v>0</v>
          </cell>
          <cell r="C718">
            <v>0</v>
          </cell>
          <cell r="D718">
            <v>0</v>
          </cell>
          <cell r="E718">
            <v>0</v>
          </cell>
          <cell r="G718">
            <v>0</v>
          </cell>
          <cell r="H718">
            <v>0</v>
          </cell>
          <cell r="I718">
            <v>0</v>
          </cell>
          <cell r="J718">
            <v>0</v>
          </cell>
          <cell r="K718">
            <v>0</v>
          </cell>
          <cell r="L718">
            <v>0</v>
          </cell>
          <cell r="M718">
            <v>0</v>
          </cell>
          <cell r="N718">
            <v>0</v>
          </cell>
          <cell r="O718">
            <v>0</v>
          </cell>
        </row>
        <row r="719">
          <cell r="B719">
            <v>0</v>
          </cell>
          <cell r="C719">
            <v>0</v>
          </cell>
          <cell r="D719">
            <v>0</v>
          </cell>
          <cell r="E719">
            <v>0</v>
          </cell>
          <cell r="G719">
            <v>0</v>
          </cell>
          <cell r="H719">
            <v>0</v>
          </cell>
          <cell r="I719">
            <v>0</v>
          </cell>
          <cell r="J719">
            <v>0</v>
          </cell>
          <cell r="K719">
            <v>0</v>
          </cell>
          <cell r="L719">
            <v>0</v>
          </cell>
          <cell r="M719">
            <v>0</v>
          </cell>
          <cell r="N719">
            <v>0</v>
          </cell>
          <cell r="O719">
            <v>0</v>
          </cell>
        </row>
        <row r="720">
          <cell r="B720">
            <v>0</v>
          </cell>
          <cell r="C720">
            <v>0</v>
          </cell>
          <cell r="D720">
            <v>0</v>
          </cell>
          <cell r="E720">
            <v>0</v>
          </cell>
          <cell r="G720">
            <v>0</v>
          </cell>
          <cell r="H720">
            <v>0</v>
          </cell>
          <cell r="I720">
            <v>0</v>
          </cell>
          <cell r="J720">
            <v>0</v>
          </cell>
          <cell r="K720">
            <v>0</v>
          </cell>
          <cell r="L720">
            <v>0</v>
          </cell>
          <cell r="M720">
            <v>0</v>
          </cell>
          <cell r="N720">
            <v>0</v>
          </cell>
          <cell r="O720">
            <v>0</v>
          </cell>
        </row>
        <row r="721">
          <cell r="B721">
            <v>0</v>
          </cell>
          <cell r="C721">
            <v>0</v>
          </cell>
          <cell r="D721">
            <v>0</v>
          </cell>
          <cell r="E721">
            <v>0</v>
          </cell>
          <cell r="G721">
            <v>0</v>
          </cell>
          <cell r="H721">
            <v>0</v>
          </cell>
          <cell r="I721">
            <v>0</v>
          </cell>
          <cell r="J721">
            <v>0</v>
          </cell>
          <cell r="K721">
            <v>0</v>
          </cell>
          <cell r="L721">
            <v>0</v>
          </cell>
          <cell r="M721">
            <v>0</v>
          </cell>
          <cell r="N721">
            <v>0</v>
          </cell>
          <cell r="O721">
            <v>0</v>
          </cell>
        </row>
        <row r="722">
          <cell r="B722">
            <v>0</v>
          </cell>
          <cell r="C722">
            <v>0</v>
          </cell>
          <cell r="D722">
            <v>0</v>
          </cell>
          <cell r="E722">
            <v>0</v>
          </cell>
          <cell r="G722">
            <v>0</v>
          </cell>
          <cell r="H722">
            <v>0</v>
          </cell>
          <cell r="I722">
            <v>0</v>
          </cell>
          <cell r="J722">
            <v>0</v>
          </cell>
          <cell r="K722">
            <v>0</v>
          </cell>
          <cell r="L722">
            <v>0</v>
          </cell>
          <cell r="M722">
            <v>0</v>
          </cell>
          <cell r="N722">
            <v>0</v>
          </cell>
          <cell r="O722">
            <v>0</v>
          </cell>
        </row>
        <row r="723">
          <cell r="B723">
            <v>0</v>
          </cell>
          <cell r="C723">
            <v>0</v>
          </cell>
          <cell r="D723">
            <v>0</v>
          </cell>
          <cell r="E723">
            <v>0</v>
          </cell>
          <cell r="G723">
            <v>0</v>
          </cell>
          <cell r="H723">
            <v>0</v>
          </cell>
          <cell r="I723">
            <v>0</v>
          </cell>
          <cell r="J723">
            <v>0</v>
          </cell>
          <cell r="K723">
            <v>0</v>
          </cell>
          <cell r="L723">
            <v>0</v>
          </cell>
          <cell r="M723">
            <v>0</v>
          </cell>
          <cell r="N723">
            <v>0</v>
          </cell>
          <cell r="O723">
            <v>0</v>
          </cell>
        </row>
        <row r="724">
          <cell r="B724">
            <v>0</v>
          </cell>
          <cell r="C724">
            <v>0</v>
          </cell>
          <cell r="D724">
            <v>0</v>
          </cell>
          <cell r="E724">
            <v>0</v>
          </cell>
          <cell r="G724">
            <v>0</v>
          </cell>
          <cell r="H724">
            <v>0</v>
          </cell>
          <cell r="I724">
            <v>0</v>
          </cell>
          <cell r="J724">
            <v>0</v>
          </cell>
          <cell r="K724">
            <v>0</v>
          </cell>
          <cell r="L724">
            <v>0</v>
          </cell>
          <cell r="M724">
            <v>0</v>
          </cell>
          <cell r="N724">
            <v>0</v>
          </cell>
          <cell r="O724">
            <v>0</v>
          </cell>
        </row>
        <row r="725">
          <cell r="B725">
            <v>0</v>
          </cell>
          <cell r="C725">
            <v>0</v>
          </cell>
          <cell r="D725">
            <v>0</v>
          </cell>
          <cell r="E725">
            <v>0</v>
          </cell>
          <cell r="G725">
            <v>0</v>
          </cell>
          <cell r="H725">
            <v>0</v>
          </cell>
          <cell r="I725">
            <v>0</v>
          </cell>
          <cell r="J725">
            <v>0</v>
          </cell>
          <cell r="K725">
            <v>0</v>
          </cell>
          <cell r="L725">
            <v>0</v>
          </cell>
          <cell r="M725">
            <v>0</v>
          </cell>
          <cell r="N725">
            <v>0</v>
          </cell>
          <cell r="O725">
            <v>0</v>
          </cell>
        </row>
        <row r="726">
          <cell r="B726">
            <v>0</v>
          </cell>
          <cell r="C726">
            <v>0</v>
          </cell>
          <cell r="D726">
            <v>0</v>
          </cell>
          <cell r="E726">
            <v>0</v>
          </cell>
          <cell r="G726">
            <v>0</v>
          </cell>
          <cell r="H726">
            <v>0</v>
          </cell>
          <cell r="I726">
            <v>0</v>
          </cell>
          <cell r="J726">
            <v>0</v>
          </cell>
          <cell r="K726">
            <v>0</v>
          </cell>
          <cell r="L726">
            <v>0</v>
          </cell>
          <cell r="M726">
            <v>0</v>
          </cell>
          <cell r="N726">
            <v>0</v>
          </cell>
          <cell r="O726">
            <v>0</v>
          </cell>
        </row>
        <row r="727">
          <cell r="B727">
            <v>0</v>
          </cell>
          <cell r="C727">
            <v>0</v>
          </cell>
          <cell r="D727">
            <v>0</v>
          </cell>
          <cell r="E727">
            <v>0</v>
          </cell>
          <cell r="G727">
            <v>0</v>
          </cell>
          <cell r="H727">
            <v>0</v>
          </cell>
          <cell r="I727">
            <v>0</v>
          </cell>
          <cell r="J727">
            <v>0</v>
          </cell>
          <cell r="K727">
            <v>0</v>
          </cell>
          <cell r="L727">
            <v>0</v>
          </cell>
          <cell r="M727">
            <v>0</v>
          </cell>
          <cell r="N727">
            <v>0</v>
          </cell>
          <cell r="O727">
            <v>0</v>
          </cell>
        </row>
        <row r="728">
          <cell r="B728">
            <v>0</v>
          </cell>
          <cell r="C728">
            <v>0</v>
          </cell>
          <cell r="D728">
            <v>0</v>
          </cell>
          <cell r="E728">
            <v>0</v>
          </cell>
          <cell r="G728">
            <v>0</v>
          </cell>
          <cell r="H728">
            <v>0</v>
          </cell>
          <cell r="I728">
            <v>0</v>
          </cell>
          <cell r="J728">
            <v>0</v>
          </cell>
          <cell r="K728">
            <v>0</v>
          </cell>
          <cell r="L728">
            <v>0</v>
          </cell>
          <cell r="M728">
            <v>0</v>
          </cell>
          <cell r="N728">
            <v>0</v>
          </cell>
          <cell r="O728">
            <v>0</v>
          </cell>
        </row>
        <row r="729">
          <cell r="B729">
            <v>0</v>
          </cell>
          <cell r="C729">
            <v>0</v>
          </cell>
          <cell r="D729">
            <v>0</v>
          </cell>
          <cell r="E729">
            <v>0</v>
          </cell>
          <cell r="G729">
            <v>0</v>
          </cell>
          <cell r="H729">
            <v>0</v>
          </cell>
          <cell r="I729">
            <v>0</v>
          </cell>
          <cell r="J729">
            <v>0</v>
          </cell>
          <cell r="K729">
            <v>0</v>
          </cell>
          <cell r="L729">
            <v>0</v>
          </cell>
          <cell r="M729">
            <v>0</v>
          </cell>
          <cell r="N729">
            <v>0</v>
          </cell>
          <cell r="O729">
            <v>0</v>
          </cell>
        </row>
        <row r="730">
          <cell r="B730">
            <v>0</v>
          </cell>
          <cell r="C730">
            <v>0</v>
          </cell>
          <cell r="D730">
            <v>0</v>
          </cell>
          <cell r="E730">
            <v>0</v>
          </cell>
          <cell r="G730">
            <v>0</v>
          </cell>
          <cell r="H730">
            <v>0</v>
          </cell>
          <cell r="I730">
            <v>0</v>
          </cell>
          <cell r="J730">
            <v>0</v>
          </cell>
          <cell r="K730">
            <v>0</v>
          </cell>
          <cell r="L730">
            <v>0</v>
          </cell>
          <cell r="M730">
            <v>0</v>
          </cell>
          <cell r="N730">
            <v>0</v>
          </cell>
          <cell r="O730">
            <v>0</v>
          </cell>
        </row>
        <row r="731">
          <cell r="B731">
            <v>0</v>
          </cell>
          <cell r="C731">
            <v>0</v>
          </cell>
          <cell r="D731">
            <v>0</v>
          </cell>
          <cell r="E731">
            <v>0</v>
          </cell>
          <cell r="G731">
            <v>0</v>
          </cell>
          <cell r="H731">
            <v>0</v>
          </cell>
          <cell r="I731">
            <v>0</v>
          </cell>
          <cell r="J731">
            <v>0</v>
          </cell>
          <cell r="K731">
            <v>0</v>
          </cell>
          <cell r="L731">
            <v>0</v>
          </cell>
          <cell r="M731">
            <v>0</v>
          </cell>
          <cell r="N731">
            <v>0</v>
          </cell>
          <cell r="O731">
            <v>0</v>
          </cell>
        </row>
        <row r="732">
          <cell r="B732">
            <v>0</v>
          </cell>
          <cell r="C732">
            <v>0</v>
          </cell>
          <cell r="D732">
            <v>0</v>
          </cell>
          <cell r="E732">
            <v>0</v>
          </cell>
          <cell r="G732">
            <v>0</v>
          </cell>
          <cell r="H732">
            <v>0</v>
          </cell>
          <cell r="I732">
            <v>0</v>
          </cell>
          <cell r="J732">
            <v>0</v>
          </cell>
          <cell r="K732">
            <v>0</v>
          </cell>
          <cell r="L732">
            <v>0</v>
          </cell>
          <cell r="M732">
            <v>0</v>
          </cell>
          <cell r="N732">
            <v>0</v>
          </cell>
          <cell r="O732">
            <v>0</v>
          </cell>
        </row>
        <row r="733">
          <cell r="B733">
            <v>0</v>
          </cell>
          <cell r="C733">
            <v>0</v>
          </cell>
          <cell r="D733">
            <v>0</v>
          </cell>
          <cell r="E733">
            <v>0</v>
          </cell>
          <cell r="G733">
            <v>0</v>
          </cell>
          <cell r="H733">
            <v>0</v>
          </cell>
          <cell r="I733">
            <v>0</v>
          </cell>
          <cell r="J733">
            <v>0</v>
          </cell>
          <cell r="K733">
            <v>0</v>
          </cell>
          <cell r="L733">
            <v>0</v>
          </cell>
          <cell r="M733">
            <v>0</v>
          </cell>
          <cell r="N733">
            <v>0</v>
          </cell>
          <cell r="O733">
            <v>0</v>
          </cell>
        </row>
        <row r="734">
          <cell r="B734">
            <v>0</v>
          </cell>
          <cell r="C734">
            <v>0</v>
          </cell>
          <cell r="D734">
            <v>0</v>
          </cell>
          <cell r="E734">
            <v>0</v>
          </cell>
          <cell r="G734">
            <v>0</v>
          </cell>
          <cell r="H734">
            <v>0</v>
          </cell>
          <cell r="I734">
            <v>0</v>
          </cell>
          <cell r="J734">
            <v>0</v>
          </cell>
          <cell r="K734">
            <v>0</v>
          </cell>
          <cell r="L734">
            <v>0</v>
          </cell>
          <cell r="M734">
            <v>0</v>
          </cell>
          <cell r="N734">
            <v>0</v>
          </cell>
          <cell r="O734">
            <v>0</v>
          </cell>
        </row>
        <row r="735">
          <cell r="B735">
            <v>0</v>
          </cell>
          <cell r="C735">
            <v>0</v>
          </cell>
          <cell r="D735">
            <v>0</v>
          </cell>
          <cell r="E735">
            <v>0</v>
          </cell>
          <cell r="G735">
            <v>0</v>
          </cell>
          <cell r="H735">
            <v>0</v>
          </cell>
          <cell r="I735">
            <v>0</v>
          </cell>
          <cell r="J735">
            <v>0</v>
          </cell>
          <cell r="K735">
            <v>0</v>
          </cell>
          <cell r="L735">
            <v>0</v>
          </cell>
          <cell r="M735">
            <v>0</v>
          </cell>
          <cell r="N735">
            <v>0</v>
          </cell>
          <cell r="O735">
            <v>0</v>
          </cell>
        </row>
        <row r="736">
          <cell r="B736">
            <v>0</v>
          </cell>
          <cell r="C736">
            <v>0</v>
          </cell>
          <cell r="D736">
            <v>0</v>
          </cell>
          <cell r="E736">
            <v>0</v>
          </cell>
          <cell r="G736">
            <v>0</v>
          </cell>
          <cell r="H736">
            <v>0</v>
          </cell>
          <cell r="I736">
            <v>0</v>
          </cell>
          <cell r="J736">
            <v>0</v>
          </cell>
          <cell r="K736">
            <v>0</v>
          </cell>
          <cell r="L736">
            <v>0</v>
          </cell>
          <cell r="M736">
            <v>0</v>
          </cell>
          <cell r="N736">
            <v>0</v>
          </cell>
          <cell r="O736">
            <v>0</v>
          </cell>
        </row>
        <row r="737">
          <cell r="B737">
            <v>0</v>
          </cell>
          <cell r="C737">
            <v>0</v>
          </cell>
          <cell r="D737">
            <v>0</v>
          </cell>
          <cell r="E737">
            <v>0</v>
          </cell>
          <cell r="G737">
            <v>0</v>
          </cell>
          <cell r="H737">
            <v>0</v>
          </cell>
          <cell r="I737">
            <v>0</v>
          </cell>
          <cell r="J737">
            <v>0</v>
          </cell>
          <cell r="K737">
            <v>0</v>
          </cell>
          <cell r="L737">
            <v>0</v>
          </cell>
          <cell r="M737">
            <v>0</v>
          </cell>
          <cell r="N737">
            <v>0</v>
          </cell>
          <cell r="O737">
            <v>0</v>
          </cell>
        </row>
        <row r="738">
          <cell r="B738">
            <v>0</v>
          </cell>
          <cell r="C738">
            <v>0</v>
          </cell>
          <cell r="D738">
            <v>0</v>
          </cell>
          <cell r="E738">
            <v>0</v>
          </cell>
          <cell r="G738">
            <v>0</v>
          </cell>
          <cell r="H738">
            <v>0</v>
          </cell>
          <cell r="I738">
            <v>0</v>
          </cell>
          <cell r="J738">
            <v>0</v>
          </cell>
          <cell r="K738">
            <v>0</v>
          </cell>
          <cell r="L738">
            <v>0</v>
          </cell>
          <cell r="M738">
            <v>0</v>
          </cell>
          <cell r="N738">
            <v>0</v>
          </cell>
          <cell r="O738">
            <v>0</v>
          </cell>
        </row>
        <row r="739">
          <cell r="B739">
            <v>0</v>
          </cell>
          <cell r="C739">
            <v>0</v>
          </cell>
          <cell r="D739">
            <v>0</v>
          </cell>
          <cell r="E739">
            <v>0</v>
          </cell>
          <cell r="G739">
            <v>0</v>
          </cell>
          <cell r="H739">
            <v>0</v>
          </cell>
          <cell r="I739">
            <v>0</v>
          </cell>
          <cell r="J739">
            <v>0</v>
          </cell>
          <cell r="K739">
            <v>0</v>
          </cell>
          <cell r="L739">
            <v>0</v>
          </cell>
          <cell r="M739">
            <v>0</v>
          </cell>
          <cell r="N739">
            <v>0</v>
          </cell>
          <cell r="O739">
            <v>0</v>
          </cell>
        </row>
        <row r="740">
          <cell r="B740">
            <v>0</v>
          </cell>
          <cell r="C740">
            <v>0</v>
          </cell>
          <cell r="D740">
            <v>0</v>
          </cell>
          <cell r="E740">
            <v>0</v>
          </cell>
          <cell r="G740">
            <v>0</v>
          </cell>
          <cell r="H740">
            <v>0</v>
          </cell>
          <cell r="I740">
            <v>0</v>
          </cell>
          <cell r="J740">
            <v>0</v>
          </cell>
          <cell r="K740">
            <v>0</v>
          </cell>
          <cell r="L740">
            <v>0</v>
          </cell>
          <cell r="M740">
            <v>0</v>
          </cell>
          <cell r="N740">
            <v>0</v>
          </cell>
          <cell r="O740">
            <v>0</v>
          </cell>
        </row>
        <row r="741">
          <cell r="B741">
            <v>0</v>
          </cell>
          <cell r="C741">
            <v>0</v>
          </cell>
          <cell r="D741">
            <v>0</v>
          </cell>
          <cell r="E741">
            <v>0</v>
          </cell>
          <cell r="G741">
            <v>0</v>
          </cell>
          <cell r="H741">
            <v>0</v>
          </cell>
          <cell r="I741">
            <v>0</v>
          </cell>
          <cell r="J741">
            <v>0</v>
          </cell>
          <cell r="K741">
            <v>0</v>
          </cell>
          <cell r="L741">
            <v>0</v>
          </cell>
          <cell r="M741">
            <v>0</v>
          </cell>
          <cell r="N741">
            <v>0</v>
          </cell>
          <cell r="O741">
            <v>0</v>
          </cell>
        </row>
        <row r="742">
          <cell r="B742">
            <v>0</v>
          </cell>
          <cell r="C742">
            <v>0</v>
          </cell>
          <cell r="D742">
            <v>0</v>
          </cell>
          <cell r="E742">
            <v>0</v>
          </cell>
          <cell r="G742">
            <v>0</v>
          </cell>
          <cell r="H742">
            <v>0</v>
          </cell>
          <cell r="I742">
            <v>0</v>
          </cell>
          <cell r="J742">
            <v>0</v>
          </cell>
          <cell r="K742">
            <v>0</v>
          </cell>
          <cell r="L742">
            <v>0</v>
          </cell>
          <cell r="M742">
            <v>0</v>
          </cell>
          <cell r="N742">
            <v>0</v>
          </cell>
          <cell r="O742">
            <v>0</v>
          </cell>
        </row>
        <row r="743">
          <cell r="B743">
            <v>0</v>
          </cell>
          <cell r="C743">
            <v>0</v>
          </cell>
          <cell r="D743">
            <v>0</v>
          </cell>
          <cell r="E743">
            <v>0</v>
          </cell>
          <cell r="G743">
            <v>0</v>
          </cell>
          <cell r="H743">
            <v>0</v>
          </cell>
          <cell r="I743">
            <v>0</v>
          </cell>
          <cell r="J743">
            <v>0</v>
          </cell>
          <cell r="K743">
            <v>0</v>
          </cell>
          <cell r="L743">
            <v>0</v>
          </cell>
          <cell r="M743">
            <v>0</v>
          </cell>
          <cell r="N743">
            <v>0</v>
          </cell>
          <cell r="O743">
            <v>0</v>
          </cell>
        </row>
        <row r="744">
          <cell r="B744">
            <v>0</v>
          </cell>
          <cell r="C744">
            <v>0</v>
          </cell>
          <cell r="D744">
            <v>0</v>
          </cell>
          <cell r="E744">
            <v>0</v>
          </cell>
          <cell r="G744">
            <v>0</v>
          </cell>
          <cell r="H744">
            <v>0</v>
          </cell>
          <cell r="I744">
            <v>0</v>
          </cell>
          <cell r="J744">
            <v>0</v>
          </cell>
          <cell r="K744">
            <v>0</v>
          </cell>
          <cell r="L744">
            <v>0</v>
          </cell>
          <cell r="M744">
            <v>0</v>
          </cell>
          <cell r="N744">
            <v>0</v>
          </cell>
          <cell r="O744">
            <v>0</v>
          </cell>
        </row>
        <row r="745">
          <cell r="B745">
            <v>0</v>
          </cell>
          <cell r="C745">
            <v>0</v>
          </cell>
          <cell r="D745">
            <v>0</v>
          </cell>
          <cell r="E745">
            <v>0</v>
          </cell>
          <cell r="G745">
            <v>0</v>
          </cell>
          <cell r="H745">
            <v>0</v>
          </cell>
          <cell r="I745">
            <v>0</v>
          </cell>
          <cell r="J745">
            <v>0</v>
          </cell>
          <cell r="K745">
            <v>0</v>
          </cell>
          <cell r="L745">
            <v>0</v>
          </cell>
          <cell r="M745">
            <v>0</v>
          </cell>
          <cell r="N745">
            <v>0</v>
          </cell>
          <cell r="O745">
            <v>0</v>
          </cell>
        </row>
        <row r="746">
          <cell r="B746">
            <v>0</v>
          </cell>
          <cell r="C746">
            <v>0</v>
          </cell>
          <cell r="D746">
            <v>0</v>
          </cell>
          <cell r="E746">
            <v>0</v>
          </cell>
          <cell r="G746">
            <v>0</v>
          </cell>
          <cell r="H746">
            <v>0</v>
          </cell>
          <cell r="I746">
            <v>0</v>
          </cell>
          <cell r="J746">
            <v>0</v>
          </cell>
          <cell r="K746">
            <v>0</v>
          </cell>
          <cell r="L746">
            <v>0</v>
          </cell>
          <cell r="M746">
            <v>0</v>
          </cell>
          <cell r="N746">
            <v>0</v>
          </cell>
          <cell r="O746">
            <v>0</v>
          </cell>
        </row>
        <row r="747">
          <cell r="B747">
            <v>0</v>
          </cell>
          <cell r="C747">
            <v>0</v>
          </cell>
          <cell r="D747">
            <v>0</v>
          </cell>
          <cell r="E747">
            <v>0</v>
          </cell>
          <cell r="G747">
            <v>0</v>
          </cell>
          <cell r="H747">
            <v>0</v>
          </cell>
          <cell r="I747">
            <v>0</v>
          </cell>
          <cell r="J747">
            <v>0</v>
          </cell>
          <cell r="K747">
            <v>0</v>
          </cell>
          <cell r="L747">
            <v>0</v>
          </cell>
          <cell r="M747">
            <v>0</v>
          </cell>
          <cell r="N747">
            <v>0</v>
          </cell>
          <cell r="O747">
            <v>0</v>
          </cell>
        </row>
        <row r="748">
          <cell r="B748">
            <v>0</v>
          </cell>
          <cell r="C748">
            <v>0</v>
          </cell>
          <cell r="D748">
            <v>0</v>
          </cell>
          <cell r="E748">
            <v>0</v>
          </cell>
          <cell r="G748">
            <v>0</v>
          </cell>
          <cell r="H748">
            <v>0</v>
          </cell>
          <cell r="I748">
            <v>0</v>
          </cell>
          <cell r="J748">
            <v>0</v>
          </cell>
          <cell r="K748">
            <v>0</v>
          </cell>
          <cell r="L748">
            <v>0</v>
          </cell>
          <cell r="M748">
            <v>0</v>
          </cell>
          <cell r="N748">
            <v>0</v>
          </cell>
          <cell r="O748">
            <v>0</v>
          </cell>
        </row>
        <row r="749">
          <cell r="B749">
            <v>0</v>
          </cell>
          <cell r="C749">
            <v>0</v>
          </cell>
          <cell r="D749">
            <v>0</v>
          </cell>
          <cell r="E749">
            <v>0</v>
          </cell>
          <cell r="G749">
            <v>0</v>
          </cell>
          <cell r="H749">
            <v>0</v>
          </cell>
          <cell r="I749">
            <v>0</v>
          </cell>
          <cell r="J749">
            <v>0</v>
          </cell>
          <cell r="K749">
            <v>0</v>
          </cell>
          <cell r="L749">
            <v>0</v>
          </cell>
          <cell r="M749">
            <v>0</v>
          </cell>
          <cell r="N749">
            <v>0</v>
          </cell>
          <cell r="O749">
            <v>0</v>
          </cell>
        </row>
        <row r="750">
          <cell r="B750">
            <v>0</v>
          </cell>
          <cell r="C750">
            <v>0</v>
          </cell>
          <cell r="D750">
            <v>0</v>
          </cell>
          <cell r="E750">
            <v>0</v>
          </cell>
          <cell r="G750">
            <v>0</v>
          </cell>
          <cell r="H750">
            <v>0</v>
          </cell>
          <cell r="I750">
            <v>0</v>
          </cell>
          <cell r="J750">
            <v>0</v>
          </cell>
          <cell r="K750">
            <v>0</v>
          </cell>
          <cell r="L750">
            <v>0</v>
          </cell>
          <cell r="M750">
            <v>0</v>
          </cell>
          <cell r="N750">
            <v>0</v>
          </cell>
          <cell r="O750">
            <v>0</v>
          </cell>
        </row>
        <row r="751">
          <cell r="B751">
            <v>0</v>
          </cell>
          <cell r="C751">
            <v>0</v>
          </cell>
          <cell r="D751">
            <v>0</v>
          </cell>
          <cell r="E751">
            <v>0</v>
          </cell>
          <cell r="G751">
            <v>0</v>
          </cell>
          <cell r="H751">
            <v>0</v>
          </cell>
          <cell r="I751">
            <v>0</v>
          </cell>
          <cell r="J751">
            <v>0</v>
          </cell>
          <cell r="K751">
            <v>0</v>
          </cell>
          <cell r="L751">
            <v>0</v>
          </cell>
          <cell r="M751">
            <v>0</v>
          </cell>
          <cell r="N751">
            <v>0</v>
          </cell>
          <cell r="O751">
            <v>0</v>
          </cell>
        </row>
        <row r="752">
          <cell r="B752">
            <v>0</v>
          </cell>
          <cell r="C752">
            <v>0</v>
          </cell>
          <cell r="D752">
            <v>0</v>
          </cell>
          <cell r="E752">
            <v>0</v>
          </cell>
          <cell r="G752">
            <v>0</v>
          </cell>
          <cell r="H752">
            <v>0</v>
          </cell>
          <cell r="I752">
            <v>0</v>
          </cell>
          <cell r="J752">
            <v>0</v>
          </cell>
          <cell r="K752">
            <v>0</v>
          </cell>
          <cell r="L752">
            <v>0</v>
          </cell>
          <cell r="M752">
            <v>0</v>
          </cell>
          <cell r="N752">
            <v>0</v>
          </cell>
          <cell r="O752">
            <v>0</v>
          </cell>
        </row>
        <row r="753">
          <cell r="B753">
            <v>0</v>
          </cell>
          <cell r="C753">
            <v>0</v>
          </cell>
          <cell r="D753">
            <v>0</v>
          </cell>
          <cell r="E753">
            <v>0</v>
          </cell>
          <cell r="G753">
            <v>0</v>
          </cell>
          <cell r="H753">
            <v>0</v>
          </cell>
          <cell r="I753">
            <v>0</v>
          </cell>
          <cell r="J753">
            <v>0</v>
          </cell>
          <cell r="K753">
            <v>0</v>
          </cell>
          <cell r="L753">
            <v>0</v>
          </cell>
          <cell r="M753">
            <v>0</v>
          </cell>
          <cell r="N753">
            <v>0</v>
          </cell>
          <cell r="O753">
            <v>0</v>
          </cell>
        </row>
        <row r="754">
          <cell r="B754">
            <v>0</v>
          </cell>
          <cell r="C754">
            <v>0</v>
          </cell>
          <cell r="D754">
            <v>0</v>
          </cell>
          <cell r="E754">
            <v>0</v>
          </cell>
          <cell r="G754">
            <v>0</v>
          </cell>
          <cell r="H754">
            <v>0</v>
          </cell>
          <cell r="I754">
            <v>0</v>
          </cell>
          <cell r="J754">
            <v>0</v>
          </cell>
          <cell r="K754">
            <v>0</v>
          </cell>
          <cell r="L754">
            <v>0</v>
          </cell>
          <cell r="M754">
            <v>0</v>
          </cell>
          <cell r="N754">
            <v>0</v>
          </cell>
          <cell r="O754">
            <v>0</v>
          </cell>
        </row>
        <row r="755">
          <cell r="B755">
            <v>0</v>
          </cell>
          <cell r="C755">
            <v>0</v>
          </cell>
          <cell r="D755">
            <v>0</v>
          </cell>
          <cell r="E755">
            <v>0</v>
          </cell>
          <cell r="G755">
            <v>0</v>
          </cell>
          <cell r="H755">
            <v>0</v>
          </cell>
          <cell r="I755">
            <v>0</v>
          </cell>
          <cell r="J755">
            <v>0</v>
          </cell>
          <cell r="K755">
            <v>0</v>
          </cell>
          <cell r="L755">
            <v>0</v>
          </cell>
          <cell r="M755">
            <v>0</v>
          </cell>
          <cell r="N755">
            <v>0</v>
          </cell>
          <cell r="O755">
            <v>0</v>
          </cell>
        </row>
        <row r="756">
          <cell r="B756">
            <v>0</v>
          </cell>
          <cell r="C756">
            <v>0</v>
          </cell>
          <cell r="D756">
            <v>0</v>
          </cell>
          <cell r="E756">
            <v>0</v>
          </cell>
          <cell r="G756">
            <v>0</v>
          </cell>
          <cell r="H756">
            <v>0</v>
          </cell>
          <cell r="I756">
            <v>0</v>
          </cell>
          <cell r="J756">
            <v>0</v>
          </cell>
          <cell r="K756">
            <v>0</v>
          </cell>
          <cell r="L756">
            <v>0</v>
          </cell>
          <cell r="M756">
            <v>0</v>
          </cell>
          <cell r="N756">
            <v>0</v>
          </cell>
          <cell r="O756">
            <v>0</v>
          </cell>
        </row>
        <row r="757">
          <cell r="B757">
            <v>0</v>
          </cell>
          <cell r="C757">
            <v>0</v>
          </cell>
          <cell r="D757">
            <v>0</v>
          </cell>
          <cell r="E757">
            <v>0</v>
          </cell>
          <cell r="G757">
            <v>0</v>
          </cell>
          <cell r="H757">
            <v>0</v>
          </cell>
          <cell r="I757">
            <v>0</v>
          </cell>
          <cell r="J757">
            <v>0</v>
          </cell>
          <cell r="K757">
            <v>0</v>
          </cell>
          <cell r="L757">
            <v>0</v>
          </cell>
          <cell r="M757">
            <v>0</v>
          </cell>
          <cell r="N757">
            <v>0</v>
          </cell>
          <cell r="O757">
            <v>0</v>
          </cell>
        </row>
        <row r="758">
          <cell r="B758">
            <v>0</v>
          </cell>
          <cell r="C758">
            <v>0</v>
          </cell>
          <cell r="D758">
            <v>0</v>
          </cell>
          <cell r="E758">
            <v>0</v>
          </cell>
          <cell r="G758">
            <v>0</v>
          </cell>
          <cell r="H758">
            <v>0</v>
          </cell>
          <cell r="I758">
            <v>0</v>
          </cell>
          <cell r="J758">
            <v>0</v>
          </cell>
          <cell r="K758">
            <v>0</v>
          </cell>
          <cell r="L758">
            <v>0</v>
          </cell>
          <cell r="M758">
            <v>0</v>
          </cell>
          <cell r="N758">
            <v>0</v>
          </cell>
          <cell r="O758">
            <v>0</v>
          </cell>
        </row>
        <row r="759">
          <cell r="B759">
            <v>0</v>
          </cell>
          <cell r="C759">
            <v>0</v>
          </cell>
          <cell r="D759">
            <v>0</v>
          </cell>
          <cell r="E759">
            <v>0</v>
          </cell>
          <cell r="G759">
            <v>0</v>
          </cell>
          <cell r="H759">
            <v>0</v>
          </cell>
          <cell r="I759">
            <v>0</v>
          </cell>
          <cell r="J759">
            <v>0</v>
          </cell>
          <cell r="K759">
            <v>0</v>
          </cell>
          <cell r="L759">
            <v>0</v>
          </cell>
          <cell r="M759">
            <v>0</v>
          </cell>
          <cell r="N759">
            <v>0</v>
          </cell>
          <cell r="O759">
            <v>0</v>
          </cell>
        </row>
        <row r="760">
          <cell r="B760">
            <v>0</v>
          </cell>
          <cell r="C760">
            <v>0</v>
          </cell>
          <cell r="D760">
            <v>0</v>
          </cell>
          <cell r="E760">
            <v>0</v>
          </cell>
          <cell r="G760">
            <v>0</v>
          </cell>
          <cell r="H760">
            <v>0</v>
          </cell>
          <cell r="I760">
            <v>0</v>
          </cell>
          <cell r="J760">
            <v>0</v>
          </cell>
          <cell r="K760">
            <v>0</v>
          </cell>
          <cell r="L760">
            <v>0</v>
          </cell>
          <cell r="M760">
            <v>0</v>
          </cell>
          <cell r="N760">
            <v>0</v>
          </cell>
          <cell r="O760">
            <v>0</v>
          </cell>
        </row>
        <row r="761">
          <cell r="B761">
            <v>0</v>
          </cell>
          <cell r="C761">
            <v>0</v>
          </cell>
          <cell r="D761">
            <v>0</v>
          </cell>
          <cell r="E761">
            <v>0</v>
          </cell>
          <cell r="G761">
            <v>0</v>
          </cell>
          <cell r="H761">
            <v>0</v>
          </cell>
          <cell r="I761">
            <v>0</v>
          </cell>
          <cell r="J761">
            <v>0</v>
          </cell>
          <cell r="K761">
            <v>0</v>
          </cell>
          <cell r="L761">
            <v>0</v>
          </cell>
          <cell r="M761">
            <v>0</v>
          </cell>
          <cell r="N761">
            <v>0</v>
          </cell>
          <cell r="O761">
            <v>0</v>
          </cell>
        </row>
        <row r="762">
          <cell r="B762">
            <v>0</v>
          </cell>
          <cell r="C762">
            <v>0</v>
          </cell>
          <cell r="D762">
            <v>0</v>
          </cell>
          <cell r="E762">
            <v>0</v>
          </cell>
          <cell r="G762">
            <v>0</v>
          </cell>
          <cell r="H762">
            <v>0</v>
          </cell>
          <cell r="I762">
            <v>0</v>
          </cell>
          <cell r="J762">
            <v>0</v>
          </cell>
          <cell r="K762">
            <v>0</v>
          </cell>
          <cell r="L762">
            <v>0</v>
          </cell>
          <cell r="M762">
            <v>0</v>
          </cell>
          <cell r="N762">
            <v>0</v>
          </cell>
          <cell r="O762">
            <v>0</v>
          </cell>
        </row>
        <row r="763">
          <cell r="B763">
            <v>0</v>
          </cell>
          <cell r="C763">
            <v>0</v>
          </cell>
          <cell r="D763">
            <v>0</v>
          </cell>
          <cell r="E763">
            <v>0</v>
          </cell>
          <cell r="G763">
            <v>0</v>
          </cell>
          <cell r="H763">
            <v>0</v>
          </cell>
          <cell r="I763">
            <v>0</v>
          </cell>
          <cell r="J763">
            <v>0</v>
          </cell>
          <cell r="K763">
            <v>0</v>
          </cell>
          <cell r="L763">
            <v>0</v>
          </cell>
          <cell r="M763">
            <v>0</v>
          </cell>
          <cell r="N763">
            <v>0</v>
          </cell>
          <cell r="O763">
            <v>0</v>
          </cell>
        </row>
        <row r="764">
          <cell r="B764">
            <v>0</v>
          </cell>
          <cell r="C764">
            <v>0</v>
          </cell>
          <cell r="D764">
            <v>0</v>
          </cell>
          <cell r="E764">
            <v>0</v>
          </cell>
          <cell r="G764">
            <v>0</v>
          </cell>
          <cell r="H764">
            <v>0</v>
          </cell>
          <cell r="I764">
            <v>0</v>
          </cell>
          <cell r="J764">
            <v>0</v>
          </cell>
          <cell r="K764">
            <v>0</v>
          </cell>
          <cell r="L764">
            <v>0</v>
          </cell>
          <cell r="M764">
            <v>0</v>
          </cell>
          <cell r="N764">
            <v>0</v>
          </cell>
          <cell r="O764">
            <v>0</v>
          </cell>
        </row>
        <row r="765">
          <cell r="B765">
            <v>0</v>
          </cell>
          <cell r="C765">
            <v>0</v>
          </cell>
          <cell r="D765">
            <v>0</v>
          </cell>
          <cell r="E765">
            <v>0</v>
          </cell>
          <cell r="G765">
            <v>0</v>
          </cell>
          <cell r="H765">
            <v>0</v>
          </cell>
          <cell r="I765">
            <v>0</v>
          </cell>
          <cell r="J765">
            <v>0</v>
          </cell>
          <cell r="K765">
            <v>0</v>
          </cell>
          <cell r="L765">
            <v>0</v>
          </cell>
          <cell r="M765">
            <v>0</v>
          </cell>
          <cell r="N765">
            <v>0</v>
          </cell>
          <cell r="O765">
            <v>0</v>
          </cell>
        </row>
        <row r="766">
          <cell r="B766">
            <v>0</v>
          </cell>
          <cell r="C766">
            <v>0</v>
          </cell>
          <cell r="D766">
            <v>0</v>
          </cell>
          <cell r="E766">
            <v>0</v>
          </cell>
          <cell r="G766">
            <v>0</v>
          </cell>
          <cell r="H766">
            <v>0</v>
          </cell>
          <cell r="I766">
            <v>0</v>
          </cell>
          <cell r="J766">
            <v>0</v>
          </cell>
          <cell r="K766">
            <v>0</v>
          </cell>
          <cell r="L766">
            <v>0</v>
          </cell>
          <cell r="M766">
            <v>0</v>
          </cell>
          <cell r="N766">
            <v>0</v>
          </cell>
          <cell r="O766">
            <v>0</v>
          </cell>
        </row>
        <row r="767">
          <cell r="B767">
            <v>0</v>
          </cell>
          <cell r="C767">
            <v>0</v>
          </cell>
          <cell r="D767">
            <v>0</v>
          </cell>
          <cell r="E767">
            <v>0</v>
          </cell>
          <cell r="G767">
            <v>0</v>
          </cell>
          <cell r="H767">
            <v>0</v>
          </cell>
          <cell r="I767">
            <v>0</v>
          </cell>
          <cell r="J767">
            <v>0</v>
          </cell>
          <cell r="K767">
            <v>0</v>
          </cell>
          <cell r="L767">
            <v>0</v>
          </cell>
          <cell r="M767">
            <v>0</v>
          </cell>
          <cell r="N767">
            <v>0</v>
          </cell>
          <cell r="O767">
            <v>0</v>
          </cell>
        </row>
        <row r="768">
          <cell r="B768">
            <v>0</v>
          </cell>
          <cell r="C768">
            <v>0</v>
          </cell>
          <cell r="D768">
            <v>0</v>
          </cell>
          <cell r="E768">
            <v>0</v>
          </cell>
          <cell r="G768">
            <v>0</v>
          </cell>
          <cell r="H768">
            <v>0</v>
          </cell>
          <cell r="I768">
            <v>0</v>
          </cell>
          <cell r="J768">
            <v>0</v>
          </cell>
          <cell r="K768">
            <v>0</v>
          </cell>
          <cell r="L768">
            <v>0</v>
          </cell>
          <cell r="M768">
            <v>0</v>
          </cell>
          <cell r="N768">
            <v>0</v>
          </cell>
          <cell r="O768">
            <v>0</v>
          </cell>
        </row>
        <row r="769">
          <cell r="B769">
            <v>0</v>
          </cell>
          <cell r="C769">
            <v>0</v>
          </cell>
          <cell r="D769">
            <v>0</v>
          </cell>
          <cell r="E769">
            <v>0</v>
          </cell>
          <cell r="G769">
            <v>0</v>
          </cell>
          <cell r="H769">
            <v>0</v>
          </cell>
          <cell r="I769">
            <v>0</v>
          </cell>
          <cell r="J769">
            <v>0</v>
          </cell>
          <cell r="K769">
            <v>0</v>
          </cell>
          <cell r="L769">
            <v>0</v>
          </cell>
          <cell r="M769">
            <v>0</v>
          </cell>
          <cell r="N769">
            <v>0</v>
          </cell>
          <cell r="O769">
            <v>0</v>
          </cell>
        </row>
        <row r="770">
          <cell r="B770">
            <v>0</v>
          </cell>
          <cell r="C770">
            <v>0</v>
          </cell>
          <cell r="D770">
            <v>0</v>
          </cell>
          <cell r="E770">
            <v>0</v>
          </cell>
          <cell r="G770">
            <v>0</v>
          </cell>
          <cell r="H770">
            <v>0</v>
          </cell>
          <cell r="I770">
            <v>0</v>
          </cell>
          <cell r="J770">
            <v>0</v>
          </cell>
          <cell r="K770">
            <v>0</v>
          </cell>
          <cell r="L770">
            <v>0</v>
          </cell>
          <cell r="M770">
            <v>0</v>
          </cell>
          <cell r="N770">
            <v>0</v>
          </cell>
          <cell r="O770">
            <v>0</v>
          </cell>
        </row>
        <row r="771">
          <cell r="B771">
            <v>0</v>
          </cell>
          <cell r="C771">
            <v>0</v>
          </cell>
          <cell r="D771">
            <v>0</v>
          </cell>
          <cell r="E771">
            <v>0</v>
          </cell>
          <cell r="G771">
            <v>0</v>
          </cell>
          <cell r="H771">
            <v>0</v>
          </cell>
          <cell r="I771">
            <v>0</v>
          </cell>
          <cell r="J771">
            <v>0</v>
          </cell>
          <cell r="K771">
            <v>0</v>
          </cell>
          <cell r="L771">
            <v>0</v>
          </cell>
          <cell r="M771">
            <v>0</v>
          </cell>
          <cell r="N771">
            <v>0</v>
          </cell>
          <cell r="O771">
            <v>0</v>
          </cell>
        </row>
        <row r="772">
          <cell r="B772">
            <v>0</v>
          </cell>
          <cell r="C772">
            <v>0</v>
          </cell>
          <cell r="D772">
            <v>0</v>
          </cell>
          <cell r="E772">
            <v>0</v>
          </cell>
          <cell r="G772">
            <v>0</v>
          </cell>
          <cell r="H772">
            <v>0</v>
          </cell>
          <cell r="I772">
            <v>0</v>
          </cell>
          <cell r="J772">
            <v>0</v>
          </cell>
          <cell r="K772">
            <v>0</v>
          </cell>
          <cell r="L772">
            <v>0</v>
          </cell>
          <cell r="M772">
            <v>0</v>
          </cell>
          <cell r="N772">
            <v>0</v>
          </cell>
          <cell r="O772">
            <v>0</v>
          </cell>
        </row>
        <row r="773">
          <cell r="B773">
            <v>0</v>
          </cell>
          <cell r="C773">
            <v>0</v>
          </cell>
          <cell r="D773">
            <v>0</v>
          </cell>
          <cell r="E773">
            <v>0</v>
          </cell>
          <cell r="G773">
            <v>0</v>
          </cell>
          <cell r="H773">
            <v>0</v>
          </cell>
          <cell r="I773">
            <v>0</v>
          </cell>
          <cell r="J773">
            <v>0</v>
          </cell>
          <cell r="K773">
            <v>0</v>
          </cell>
          <cell r="L773">
            <v>0</v>
          </cell>
          <cell r="M773">
            <v>0</v>
          </cell>
          <cell r="N773">
            <v>0</v>
          </cell>
          <cell r="O773">
            <v>0</v>
          </cell>
        </row>
        <row r="774">
          <cell r="B774">
            <v>0</v>
          </cell>
          <cell r="C774">
            <v>0</v>
          </cell>
          <cell r="D774">
            <v>0</v>
          </cell>
          <cell r="E774">
            <v>0</v>
          </cell>
          <cell r="G774">
            <v>0</v>
          </cell>
          <cell r="H774">
            <v>0</v>
          </cell>
          <cell r="I774">
            <v>0</v>
          </cell>
          <cell r="J774">
            <v>0</v>
          </cell>
          <cell r="K774">
            <v>0</v>
          </cell>
          <cell r="L774">
            <v>0</v>
          </cell>
          <cell r="M774">
            <v>0</v>
          </cell>
          <cell r="N774">
            <v>0</v>
          </cell>
          <cell r="O774">
            <v>0</v>
          </cell>
        </row>
        <row r="775">
          <cell r="B775">
            <v>0</v>
          </cell>
          <cell r="C775">
            <v>0</v>
          </cell>
          <cell r="D775">
            <v>0</v>
          </cell>
          <cell r="E775">
            <v>0</v>
          </cell>
          <cell r="G775">
            <v>0</v>
          </cell>
          <cell r="H775">
            <v>0</v>
          </cell>
          <cell r="I775">
            <v>0</v>
          </cell>
          <cell r="J775">
            <v>0</v>
          </cell>
          <cell r="K775">
            <v>0</v>
          </cell>
          <cell r="L775">
            <v>0</v>
          </cell>
          <cell r="M775">
            <v>0</v>
          </cell>
          <cell r="N775">
            <v>0</v>
          </cell>
          <cell r="O775">
            <v>0</v>
          </cell>
        </row>
        <row r="776">
          <cell r="B776">
            <v>0</v>
          </cell>
          <cell r="C776">
            <v>0</v>
          </cell>
          <cell r="D776">
            <v>0</v>
          </cell>
          <cell r="E776">
            <v>0</v>
          </cell>
          <cell r="G776">
            <v>0</v>
          </cell>
          <cell r="H776">
            <v>0</v>
          </cell>
          <cell r="I776">
            <v>0</v>
          </cell>
          <cell r="J776">
            <v>0</v>
          </cell>
          <cell r="K776">
            <v>0</v>
          </cell>
          <cell r="L776">
            <v>0</v>
          </cell>
          <cell r="M776">
            <v>0</v>
          </cell>
          <cell r="N776">
            <v>0</v>
          </cell>
          <cell r="O776">
            <v>0</v>
          </cell>
        </row>
        <row r="777">
          <cell r="B777">
            <v>0</v>
          </cell>
          <cell r="C777">
            <v>0</v>
          </cell>
          <cell r="D777">
            <v>0</v>
          </cell>
          <cell r="E777">
            <v>0</v>
          </cell>
          <cell r="G777">
            <v>0</v>
          </cell>
          <cell r="H777">
            <v>0</v>
          </cell>
          <cell r="I777">
            <v>0</v>
          </cell>
          <cell r="J777">
            <v>0</v>
          </cell>
          <cell r="K777">
            <v>0</v>
          </cell>
          <cell r="L777">
            <v>0</v>
          </cell>
          <cell r="M777">
            <v>0</v>
          </cell>
          <cell r="N777">
            <v>0</v>
          </cell>
          <cell r="O777">
            <v>0</v>
          </cell>
        </row>
        <row r="778">
          <cell r="B778">
            <v>0</v>
          </cell>
          <cell r="C778">
            <v>0</v>
          </cell>
          <cell r="D778">
            <v>0</v>
          </cell>
          <cell r="E778">
            <v>0</v>
          </cell>
          <cell r="G778">
            <v>0</v>
          </cell>
          <cell r="H778">
            <v>0</v>
          </cell>
          <cell r="I778">
            <v>0</v>
          </cell>
          <cell r="J778">
            <v>0</v>
          </cell>
          <cell r="K778">
            <v>0</v>
          </cell>
          <cell r="L778">
            <v>0</v>
          </cell>
          <cell r="M778">
            <v>0</v>
          </cell>
          <cell r="N778">
            <v>0</v>
          </cell>
          <cell r="O778">
            <v>0</v>
          </cell>
        </row>
        <row r="779">
          <cell r="B779">
            <v>0</v>
          </cell>
          <cell r="C779">
            <v>0</v>
          </cell>
          <cell r="D779">
            <v>0</v>
          </cell>
          <cell r="E779">
            <v>0</v>
          </cell>
          <cell r="G779">
            <v>0</v>
          </cell>
          <cell r="H779">
            <v>0</v>
          </cell>
          <cell r="I779">
            <v>0</v>
          </cell>
          <cell r="J779">
            <v>0</v>
          </cell>
          <cell r="K779">
            <v>0</v>
          </cell>
          <cell r="L779">
            <v>0</v>
          </cell>
          <cell r="M779">
            <v>0</v>
          </cell>
          <cell r="N779">
            <v>0</v>
          </cell>
          <cell r="O779">
            <v>0</v>
          </cell>
        </row>
        <row r="780">
          <cell r="B780">
            <v>0</v>
          </cell>
          <cell r="C780">
            <v>0</v>
          </cell>
          <cell r="D780">
            <v>0</v>
          </cell>
          <cell r="E780">
            <v>0</v>
          </cell>
          <cell r="G780">
            <v>0</v>
          </cell>
          <cell r="H780">
            <v>0</v>
          </cell>
          <cell r="I780">
            <v>0</v>
          </cell>
          <cell r="J780">
            <v>0</v>
          </cell>
          <cell r="K780">
            <v>0</v>
          </cell>
          <cell r="L780">
            <v>0</v>
          </cell>
          <cell r="M780">
            <v>0</v>
          </cell>
          <cell r="N780">
            <v>0</v>
          </cell>
          <cell r="O780">
            <v>0</v>
          </cell>
        </row>
        <row r="781">
          <cell r="B781">
            <v>0</v>
          </cell>
          <cell r="C781">
            <v>0</v>
          </cell>
          <cell r="D781">
            <v>0</v>
          </cell>
          <cell r="E781">
            <v>0</v>
          </cell>
          <cell r="G781">
            <v>0</v>
          </cell>
          <cell r="H781">
            <v>0</v>
          </cell>
          <cell r="I781">
            <v>0</v>
          </cell>
          <cell r="J781">
            <v>0</v>
          </cell>
          <cell r="K781">
            <v>0</v>
          </cell>
          <cell r="L781">
            <v>0</v>
          </cell>
          <cell r="M781">
            <v>0</v>
          </cell>
          <cell r="N781">
            <v>0</v>
          </cell>
          <cell r="O781">
            <v>0</v>
          </cell>
        </row>
        <row r="782">
          <cell r="B782">
            <v>0</v>
          </cell>
          <cell r="C782">
            <v>0</v>
          </cell>
          <cell r="D782">
            <v>0</v>
          </cell>
          <cell r="E782">
            <v>0</v>
          </cell>
          <cell r="G782">
            <v>0</v>
          </cell>
          <cell r="H782">
            <v>0</v>
          </cell>
          <cell r="I782">
            <v>0</v>
          </cell>
          <cell r="J782">
            <v>0</v>
          </cell>
          <cell r="K782">
            <v>0</v>
          </cell>
          <cell r="L782">
            <v>0</v>
          </cell>
          <cell r="M782">
            <v>0</v>
          </cell>
          <cell r="N782">
            <v>0</v>
          </cell>
          <cell r="O782">
            <v>0</v>
          </cell>
        </row>
        <row r="783">
          <cell r="B783">
            <v>0</v>
          </cell>
          <cell r="C783">
            <v>0</v>
          </cell>
          <cell r="D783">
            <v>0</v>
          </cell>
          <cell r="E783">
            <v>0</v>
          </cell>
          <cell r="G783">
            <v>0</v>
          </cell>
          <cell r="H783">
            <v>0</v>
          </cell>
          <cell r="I783">
            <v>0</v>
          </cell>
          <cell r="J783">
            <v>0</v>
          </cell>
          <cell r="K783">
            <v>0</v>
          </cell>
          <cell r="L783">
            <v>0</v>
          </cell>
          <cell r="M783">
            <v>0</v>
          </cell>
          <cell r="N783">
            <v>0</v>
          </cell>
          <cell r="O783">
            <v>0</v>
          </cell>
        </row>
        <row r="784">
          <cell r="B784">
            <v>0</v>
          </cell>
          <cell r="C784">
            <v>0</v>
          </cell>
          <cell r="D784">
            <v>0</v>
          </cell>
          <cell r="E784">
            <v>0</v>
          </cell>
          <cell r="G784">
            <v>0</v>
          </cell>
          <cell r="H784">
            <v>0</v>
          </cell>
          <cell r="I784">
            <v>0</v>
          </cell>
          <cell r="J784">
            <v>0</v>
          </cell>
          <cell r="K784">
            <v>0</v>
          </cell>
          <cell r="L784">
            <v>0</v>
          </cell>
          <cell r="M784">
            <v>0</v>
          </cell>
          <cell r="N784">
            <v>0</v>
          </cell>
          <cell r="O784">
            <v>0</v>
          </cell>
        </row>
        <row r="785">
          <cell r="B785">
            <v>0</v>
          </cell>
          <cell r="C785">
            <v>0</v>
          </cell>
          <cell r="D785">
            <v>0</v>
          </cell>
          <cell r="E785">
            <v>0</v>
          </cell>
          <cell r="G785">
            <v>0</v>
          </cell>
          <cell r="H785">
            <v>0</v>
          </cell>
          <cell r="I785">
            <v>0</v>
          </cell>
          <cell r="J785">
            <v>0</v>
          </cell>
          <cell r="K785">
            <v>0</v>
          </cell>
          <cell r="L785">
            <v>0</v>
          </cell>
          <cell r="M785">
            <v>0</v>
          </cell>
          <cell r="N785">
            <v>0</v>
          </cell>
          <cell r="O785">
            <v>0</v>
          </cell>
        </row>
        <row r="786">
          <cell r="B786">
            <v>0</v>
          </cell>
          <cell r="C786">
            <v>0</v>
          </cell>
          <cell r="D786">
            <v>0</v>
          </cell>
          <cell r="E786">
            <v>0</v>
          </cell>
          <cell r="G786">
            <v>0</v>
          </cell>
          <cell r="H786">
            <v>0</v>
          </cell>
          <cell r="I786">
            <v>0</v>
          </cell>
          <cell r="J786">
            <v>0</v>
          </cell>
          <cell r="K786">
            <v>0</v>
          </cell>
          <cell r="L786">
            <v>0</v>
          </cell>
          <cell r="M786">
            <v>0</v>
          </cell>
          <cell r="N786">
            <v>0</v>
          </cell>
          <cell r="O786">
            <v>0</v>
          </cell>
        </row>
        <row r="787">
          <cell r="B787">
            <v>0</v>
          </cell>
          <cell r="C787">
            <v>0</v>
          </cell>
          <cell r="D787">
            <v>0</v>
          </cell>
          <cell r="E787">
            <v>0</v>
          </cell>
          <cell r="G787">
            <v>0</v>
          </cell>
          <cell r="H787">
            <v>0</v>
          </cell>
          <cell r="I787">
            <v>0</v>
          </cell>
          <cell r="J787">
            <v>0</v>
          </cell>
          <cell r="K787">
            <v>0</v>
          </cell>
          <cell r="L787">
            <v>0</v>
          </cell>
          <cell r="M787">
            <v>0</v>
          </cell>
          <cell r="N787">
            <v>0</v>
          </cell>
          <cell r="O787">
            <v>0</v>
          </cell>
        </row>
        <row r="788">
          <cell r="B788">
            <v>0</v>
          </cell>
          <cell r="C788">
            <v>0</v>
          </cell>
          <cell r="D788">
            <v>0</v>
          </cell>
          <cell r="E788">
            <v>0</v>
          </cell>
          <cell r="G788">
            <v>0</v>
          </cell>
          <cell r="H788">
            <v>0</v>
          </cell>
          <cell r="I788">
            <v>0</v>
          </cell>
          <cell r="J788">
            <v>0</v>
          </cell>
          <cell r="K788">
            <v>0</v>
          </cell>
          <cell r="L788">
            <v>0</v>
          </cell>
          <cell r="M788">
            <v>0</v>
          </cell>
          <cell r="N788">
            <v>0</v>
          </cell>
          <cell r="O788">
            <v>0</v>
          </cell>
        </row>
        <row r="789">
          <cell r="B789">
            <v>0</v>
          </cell>
          <cell r="C789">
            <v>0</v>
          </cell>
          <cell r="D789">
            <v>0</v>
          </cell>
          <cell r="E789">
            <v>0</v>
          </cell>
          <cell r="G789">
            <v>0</v>
          </cell>
          <cell r="H789">
            <v>0</v>
          </cell>
          <cell r="I789">
            <v>0</v>
          </cell>
          <cell r="J789">
            <v>0</v>
          </cell>
          <cell r="K789">
            <v>0</v>
          </cell>
          <cell r="L789">
            <v>0</v>
          </cell>
          <cell r="M789">
            <v>0</v>
          </cell>
          <cell r="N789">
            <v>0</v>
          </cell>
          <cell r="O789">
            <v>0</v>
          </cell>
        </row>
        <row r="790">
          <cell r="B790">
            <v>0</v>
          </cell>
          <cell r="C790">
            <v>0</v>
          </cell>
          <cell r="D790">
            <v>0</v>
          </cell>
          <cell r="E790">
            <v>0</v>
          </cell>
          <cell r="G790">
            <v>0</v>
          </cell>
          <cell r="H790">
            <v>0</v>
          </cell>
          <cell r="I790">
            <v>0</v>
          </cell>
          <cell r="J790">
            <v>0</v>
          </cell>
          <cell r="K790">
            <v>0</v>
          </cell>
          <cell r="L790">
            <v>0</v>
          </cell>
          <cell r="M790">
            <v>0</v>
          </cell>
          <cell r="N790">
            <v>0</v>
          </cell>
          <cell r="O790">
            <v>0</v>
          </cell>
        </row>
        <row r="791">
          <cell r="B791">
            <v>0</v>
          </cell>
          <cell r="C791">
            <v>0</v>
          </cell>
          <cell r="D791">
            <v>0</v>
          </cell>
          <cell r="E791">
            <v>0</v>
          </cell>
          <cell r="G791">
            <v>0</v>
          </cell>
          <cell r="H791">
            <v>0</v>
          </cell>
          <cell r="I791">
            <v>0</v>
          </cell>
          <cell r="J791">
            <v>0</v>
          </cell>
          <cell r="K791">
            <v>0</v>
          </cell>
          <cell r="L791">
            <v>0</v>
          </cell>
          <cell r="M791">
            <v>0</v>
          </cell>
          <cell r="N791">
            <v>0</v>
          </cell>
          <cell r="O791">
            <v>0</v>
          </cell>
        </row>
        <row r="792">
          <cell r="B792">
            <v>0</v>
          </cell>
          <cell r="C792">
            <v>0</v>
          </cell>
          <cell r="D792">
            <v>0</v>
          </cell>
          <cell r="E792">
            <v>0</v>
          </cell>
          <cell r="G792">
            <v>0</v>
          </cell>
          <cell r="H792">
            <v>0</v>
          </cell>
          <cell r="I792">
            <v>0</v>
          </cell>
          <cell r="J792">
            <v>0</v>
          </cell>
          <cell r="K792">
            <v>0</v>
          </cell>
          <cell r="L792">
            <v>0</v>
          </cell>
          <cell r="M792">
            <v>0</v>
          </cell>
          <cell r="N792">
            <v>0</v>
          </cell>
          <cell r="O792">
            <v>0</v>
          </cell>
        </row>
        <row r="793">
          <cell r="B793">
            <v>0</v>
          </cell>
          <cell r="C793">
            <v>0</v>
          </cell>
          <cell r="D793">
            <v>0</v>
          </cell>
          <cell r="E793">
            <v>0</v>
          </cell>
          <cell r="G793">
            <v>0</v>
          </cell>
          <cell r="H793">
            <v>0</v>
          </cell>
          <cell r="I793">
            <v>0</v>
          </cell>
          <cell r="J793">
            <v>0</v>
          </cell>
          <cell r="K793">
            <v>0</v>
          </cell>
          <cell r="L793">
            <v>0</v>
          </cell>
          <cell r="M793">
            <v>0</v>
          </cell>
          <cell r="N793">
            <v>0</v>
          </cell>
          <cell r="O793">
            <v>0</v>
          </cell>
        </row>
        <row r="794">
          <cell r="B794">
            <v>0</v>
          </cell>
          <cell r="C794">
            <v>0</v>
          </cell>
          <cell r="D794">
            <v>0</v>
          </cell>
          <cell r="E794">
            <v>0</v>
          </cell>
          <cell r="G794">
            <v>0</v>
          </cell>
          <cell r="H794">
            <v>0</v>
          </cell>
          <cell r="I794">
            <v>0</v>
          </cell>
          <cell r="J794">
            <v>0</v>
          </cell>
          <cell r="K794">
            <v>0</v>
          </cell>
          <cell r="L794">
            <v>0</v>
          </cell>
          <cell r="M794">
            <v>0</v>
          </cell>
          <cell r="N794">
            <v>0</v>
          </cell>
          <cell r="O794">
            <v>0</v>
          </cell>
        </row>
        <row r="795">
          <cell r="B795">
            <v>0</v>
          </cell>
          <cell r="C795">
            <v>0</v>
          </cell>
          <cell r="D795">
            <v>0</v>
          </cell>
          <cell r="E795">
            <v>0</v>
          </cell>
          <cell r="G795">
            <v>0</v>
          </cell>
          <cell r="H795">
            <v>0</v>
          </cell>
          <cell r="I795">
            <v>0</v>
          </cell>
          <cell r="J795">
            <v>0</v>
          </cell>
          <cell r="K795">
            <v>0</v>
          </cell>
          <cell r="L795">
            <v>0</v>
          </cell>
          <cell r="M795">
            <v>0</v>
          </cell>
          <cell r="N795">
            <v>0</v>
          </cell>
          <cell r="O795">
            <v>0</v>
          </cell>
        </row>
        <row r="796">
          <cell r="B796">
            <v>0</v>
          </cell>
          <cell r="C796">
            <v>0</v>
          </cell>
          <cell r="D796">
            <v>0</v>
          </cell>
          <cell r="E796">
            <v>0</v>
          </cell>
          <cell r="G796">
            <v>0</v>
          </cell>
          <cell r="H796">
            <v>0</v>
          </cell>
          <cell r="I796">
            <v>0</v>
          </cell>
          <cell r="J796">
            <v>0</v>
          </cell>
          <cell r="K796">
            <v>0</v>
          </cell>
          <cell r="L796">
            <v>0</v>
          </cell>
          <cell r="M796">
            <v>0</v>
          </cell>
          <cell r="N796">
            <v>0</v>
          </cell>
          <cell r="O796">
            <v>0</v>
          </cell>
        </row>
        <row r="797">
          <cell r="B797">
            <v>0</v>
          </cell>
          <cell r="C797">
            <v>0</v>
          </cell>
          <cell r="D797">
            <v>0</v>
          </cell>
          <cell r="E797">
            <v>0</v>
          </cell>
          <cell r="G797">
            <v>0</v>
          </cell>
          <cell r="H797">
            <v>0</v>
          </cell>
          <cell r="I797">
            <v>0</v>
          </cell>
          <cell r="J797">
            <v>0</v>
          </cell>
          <cell r="K797">
            <v>0</v>
          </cell>
          <cell r="L797">
            <v>0</v>
          </cell>
          <cell r="M797">
            <v>0</v>
          </cell>
          <cell r="N797">
            <v>0</v>
          </cell>
          <cell r="O797">
            <v>0</v>
          </cell>
        </row>
        <row r="798">
          <cell r="B798">
            <v>0</v>
          </cell>
          <cell r="C798">
            <v>0</v>
          </cell>
          <cell r="D798">
            <v>0</v>
          </cell>
          <cell r="E798">
            <v>0</v>
          </cell>
          <cell r="G798">
            <v>0</v>
          </cell>
          <cell r="H798">
            <v>0</v>
          </cell>
          <cell r="I798">
            <v>0</v>
          </cell>
          <cell r="J798">
            <v>0</v>
          </cell>
          <cell r="K798">
            <v>0</v>
          </cell>
          <cell r="L798">
            <v>0</v>
          </cell>
          <cell r="M798">
            <v>0</v>
          </cell>
          <cell r="N798">
            <v>0</v>
          </cell>
          <cell r="O798">
            <v>0</v>
          </cell>
        </row>
        <row r="799">
          <cell r="B799">
            <v>0</v>
          </cell>
          <cell r="C799">
            <v>0</v>
          </cell>
          <cell r="D799">
            <v>0</v>
          </cell>
          <cell r="E799">
            <v>0</v>
          </cell>
          <cell r="G799">
            <v>0</v>
          </cell>
          <cell r="H799">
            <v>0</v>
          </cell>
          <cell r="I799">
            <v>0</v>
          </cell>
          <cell r="J799">
            <v>0</v>
          </cell>
          <cell r="K799">
            <v>0</v>
          </cell>
          <cell r="L799">
            <v>0</v>
          </cell>
          <cell r="M799">
            <v>0</v>
          </cell>
          <cell r="N799">
            <v>0</v>
          </cell>
          <cell r="O799">
            <v>0</v>
          </cell>
        </row>
        <row r="800">
          <cell r="B800">
            <v>0</v>
          </cell>
          <cell r="C800">
            <v>0</v>
          </cell>
          <cell r="D800">
            <v>0</v>
          </cell>
          <cell r="E800">
            <v>0</v>
          </cell>
          <cell r="G800">
            <v>0</v>
          </cell>
          <cell r="H800">
            <v>0</v>
          </cell>
          <cell r="I800">
            <v>0</v>
          </cell>
          <cell r="J800">
            <v>0</v>
          </cell>
          <cell r="K800">
            <v>0</v>
          </cell>
          <cell r="L800">
            <v>0</v>
          </cell>
          <cell r="M800">
            <v>0</v>
          </cell>
          <cell r="N800">
            <v>0</v>
          </cell>
          <cell r="O800">
            <v>0</v>
          </cell>
        </row>
        <row r="801">
          <cell r="B801">
            <v>0</v>
          </cell>
          <cell r="C801">
            <v>0</v>
          </cell>
          <cell r="D801">
            <v>0</v>
          </cell>
          <cell r="E801">
            <v>0</v>
          </cell>
          <cell r="G801">
            <v>0</v>
          </cell>
          <cell r="H801">
            <v>0</v>
          </cell>
          <cell r="I801">
            <v>0</v>
          </cell>
          <cell r="J801">
            <v>0</v>
          </cell>
          <cell r="K801">
            <v>0</v>
          </cell>
          <cell r="L801">
            <v>0</v>
          </cell>
          <cell r="M801">
            <v>0</v>
          </cell>
          <cell r="N801">
            <v>0</v>
          </cell>
          <cell r="O801">
            <v>0</v>
          </cell>
        </row>
        <row r="802">
          <cell r="B802">
            <v>0</v>
          </cell>
          <cell r="C802">
            <v>0</v>
          </cell>
          <cell r="D802">
            <v>0</v>
          </cell>
          <cell r="E802">
            <v>0</v>
          </cell>
          <cell r="G802">
            <v>0</v>
          </cell>
          <cell r="H802">
            <v>0</v>
          </cell>
          <cell r="I802">
            <v>0</v>
          </cell>
          <cell r="J802">
            <v>0</v>
          </cell>
          <cell r="K802">
            <v>0</v>
          </cell>
          <cell r="L802">
            <v>0</v>
          </cell>
          <cell r="M802">
            <v>0</v>
          </cell>
          <cell r="N802">
            <v>0</v>
          </cell>
          <cell r="O802">
            <v>0</v>
          </cell>
        </row>
        <row r="803">
          <cell r="B803">
            <v>0</v>
          </cell>
          <cell r="C803">
            <v>0</v>
          </cell>
          <cell r="D803">
            <v>0</v>
          </cell>
          <cell r="E803">
            <v>0</v>
          </cell>
          <cell r="G803">
            <v>0</v>
          </cell>
          <cell r="H803">
            <v>0</v>
          </cell>
          <cell r="I803">
            <v>0</v>
          </cell>
          <cell r="J803">
            <v>0</v>
          </cell>
          <cell r="K803">
            <v>0</v>
          </cell>
          <cell r="L803">
            <v>0</v>
          </cell>
          <cell r="M803">
            <v>0</v>
          </cell>
          <cell r="N803">
            <v>0</v>
          </cell>
          <cell r="O803">
            <v>0</v>
          </cell>
        </row>
        <row r="804">
          <cell r="B804">
            <v>0</v>
          </cell>
          <cell r="C804">
            <v>0</v>
          </cell>
          <cell r="D804">
            <v>0</v>
          </cell>
          <cell r="E804">
            <v>0</v>
          </cell>
          <cell r="G804">
            <v>0</v>
          </cell>
          <cell r="H804">
            <v>0</v>
          </cell>
          <cell r="I804">
            <v>0</v>
          </cell>
          <cell r="J804">
            <v>0</v>
          </cell>
          <cell r="K804">
            <v>0</v>
          </cell>
          <cell r="L804">
            <v>0</v>
          </cell>
          <cell r="M804">
            <v>0</v>
          </cell>
          <cell r="N804">
            <v>0</v>
          </cell>
          <cell r="O804">
            <v>0</v>
          </cell>
        </row>
        <row r="805">
          <cell r="B805">
            <v>0</v>
          </cell>
          <cell r="C805">
            <v>0</v>
          </cell>
          <cell r="D805">
            <v>0</v>
          </cell>
          <cell r="E805">
            <v>0</v>
          </cell>
          <cell r="G805">
            <v>0</v>
          </cell>
          <cell r="H805">
            <v>0</v>
          </cell>
          <cell r="I805">
            <v>0</v>
          </cell>
          <cell r="J805">
            <v>0</v>
          </cell>
          <cell r="K805">
            <v>0</v>
          </cell>
          <cell r="L805">
            <v>0</v>
          </cell>
          <cell r="M805">
            <v>0</v>
          </cell>
          <cell r="N805">
            <v>0</v>
          </cell>
          <cell r="O805">
            <v>0</v>
          </cell>
        </row>
        <row r="806">
          <cell r="B806">
            <v>0</v>
          </cell>
          <cell r="C806">
            <v>0</v>
          </cell>
          <cell r="D806">
            <v>0</v>
          </cell>
          <cell r="E806">
            <v>0</v>
          </cell>
          <cell r="G806">
            <v>0</v>
          </cell>
          <cell r="H806">
            <v>0</v>
          </cell>
          <cell r="I806">
            <v>0</v>
          </cell>
          <cell r="J806">
            <v>0</v>
          </cell>
          <cell r="K806">
            <v>0</v>
          </cell>
          <cell r="L806">
            <v>0</v>
          </cell>
          <cell r="M806">
            <v>0</v>
          </cell>
          <cell r="N806">
            <v>0</v>
          </cell>
          <cell r="O806">
            <v>0</v>
          </cell>
        </row>
        <row r="807">
          <cell r="B807">
            <v>0</v>
          </cell>
          <cell r="C807">
            <v>0</v>
          </cell>
          <cell r="D807">
            <v>0</v>
          </cell>
          <cell r="E807">
            <v>0</v>
          </cell>
          <cell r="G807">
            <v>0</v>
          </cell>
          <cell r="H807">
            <v>0</v>
          </cell>
          <cell r="I807">
            <v>0</v>
          </cell>
          <cell r="J807">
            <v>0</v>
          </cell>
          <cell r="K807">
            <v>0</v>
          </cell>
          <cell r="L807">
            <v>0</v>
          </cell>
          <cell r="M807">
            <v>0</v>
          </cell>
          <cell r="N807">
            <v>0</v>
          </cell>
          <cell r="O807">
            <v>0</v>
          </cell>
        </row>
        <row r="808">
          <cell r="B808">
            <v>0</v>
          </cell>
          <cell r="C808">
            <v>0</v>
          </cell>
          <cell r="D808">
            <v>0</v>
          </cell>
          <cell r="E808">
            <v>0</v>
          </cell>
          <cell r="G808">
            <v>0</v>
          </cell>
          <cell r="H808">
            <v>0</v>
          </cell>
          <cell r="I808">
            <v>0</v>
          </cell>
          <cell r="J808">
            <v>0</v>
          </cell>
          <cell r="K808">
            <v>0</v>
          </cell>
          <cell r="L808">
            <v>0</v>
          </cell>
          <cell r="M808">
            <v>0</v>
          </cell>
          <cell r="N808">
            <v>0</v>
          </cell>
          <cell r="O808">
            <v>0</v>
          </cell>
        </row>
        <row r="809">
          <cell r="B809">
            <v>0</v>
          </cell>
          <cell r="C809">
            <v>0</v>
          </cell>
          <cell r="D809">
            <v>0</v>
          </cell>
          <cell r="E809">
            <v>0</v>
          </cell>
          <cell r="G809">
            <v>0</v>
          </cell>
          <cell r="H809">
            <v>0</v>
          </cell>
          <cell r="I809">
            <v>0</v>
          </cell>
          <cell r="J809">
            <v>0</v>
          </cell>
          <cell r="K809">
            <v>0</v>
          </cell>
          <cell r="L809">
            <v>0</v>
          </cell>
          <cell r="M809">
            <v>0</v>
          </cell>
          <cell r="N809">
            <v>0</v>
          </cell>
          <cell r="O809">
            <v>0</v>
          </cell>
        </row>
        <row r="810">
          <cell r="B810">
            <v>0</v>
          </cell>
          <cell r="C810">
            <v>0</v>
          </cell>
          <cell r="D810">
            <v>0</v>
          </cell>
          <cell r="E810">
            <v>0</v>
          </cell>
          <cell r="G810">
            <v>0</v>
          </cell>
          <cell r="H810">
            <v>0</v>
          </cell>
          <cell r="I810">
            <v>0</v>
          </cell>
          <cell r="J810">
            <v>0</v>
          </cell>
          <cell r="K810">
            <v>0</v>
          </cell>
          <cell r="L810">
            <v>0</v>
          </cell>
          <cell r="M810">
            <v>0</v>
          </cell>
          <cell r="N810">
            <v>0</v>
          </cell>
          <cell r="O810">
            <v>0</v>
          </cell>
        </row>
        <row r="811">
          <cell r="B811">
            <v>0</v>
          </cell>
          <cell r="C811">
            <v>0</v>
          </cell>
          <cell r="D811">
            <v>0</v>
          </cell>
          <cell r="E811">
            <v>0</v>
          </cell>
          <cell r="G811">
            <v>0</v>
          </cell>
          <cell r="H811">
            <v>0</v>
          </cell>
          <cell r="I811">
            <v>0</v>
          </cell>
          <cell r="J811">
            <v>0</v>
          </cell>
          <cell r="K811">
            <v>0</v>
          </cell>
          <cell r="L811">
            <v>0</v>
          </cell>
          <cell r="M811">
            <v>0</v>
          </cell>
          <cell r="N811">
            <v>0</v>
          </cell>
          <cell r="O811">
            <v>0</v>
          </cell>
        </row>
        <row r="812">
          <cell r="B812">
            <v>0</v>
          </cell>
          <cell r="C812">
            <v>0</v>
          </cell>
          <cell r="D812">
            <v>0</v>
          </cell>
          <cell r="E812">
            <v>0</v>
          </cell>
          <cell r="G812">
            <v>0</v>
          </cell>
          <cell r="H812">
            <v>0</v>
          </cell>
          <cell r="I812">
            <v>0</v>
          </cell>
          <cell r="J812">
            <v>0</v>
          </cell>
          <cell r="K812">
            <v>0</v>
          </cell>
          <cell r="L812">
            <v>0</v>
          </cell>
          <cell r="M812">
            <v>0</v>
          </cell>
          <cell r="N812">
            <v>0</v>
          </cell>
          <cell r="O812">
            <v>0</v>
          </cell>
        </row>
        <row r="813">
          <cell r="B813">
            <v>0</v>
          </cell>
          <cell r="C813">
            <v>0</v>
          </cell>
          <cell r="D813">
            <v>0</v>
          </cell>
          <cell r="E813">
            <v>0</v>
          </cell>
          <cell r="G813">
            <v>0</v>
          </cell>
          <cell r="H813">
            <v>0</v>
          </cell>
          <cell r="I813">
            <v>0</v>
          </cell>
          <cell r="J813">
            <v>0</v>
          </cell>
          <cell r="K813">
            <v>0</v>
          </cell>
          <cell r="L813">
            <v>0</v>
          </cell>
          <cell r="M813">
            <v>0</v>
          </cell>
          <cell r="N813">
            <v>0</v>
          </cell>
          <cell r="O813">
            <v>0</v>
          </cell>
        </row>
        <row r="814">
          <cell r="B814">
            <v>0</v>
          </cell>
          <cell r="C814">
            <v>0</v>
          </cell>
          <cell r="D814">
            <v>0</v>
          </cell>
          <cell r="E814">
            <v>0</v>
          </cell>
          <cell r="G814">
            <v>0</v>
          </cell>
          <cell r="H814">
            <v>0</v>
          </cell>
          <cell r="I814">
            <v>0</v>
          </cell>
          <cell r="J814">
            <v>0</v>
          </cell>
          <cell r="K814">
            <v>0</v>
          </cell>
          <cell r="L814">
            <v>0</v>
          </cell>
          <cell r="M814">
            <v>0</v>
          </cell>
          <cell r="N814">
            <v>0</v>
          </cell>
          <cell r="O814">
            <v>0</v>
          </cell>
        </row>
        <row r="815">
          <cell r="B815">
            <v>0</v>
          </cell>
          <cell r="C815">
            <v>0</v>
          </cell>
          <cell r="D815">
            <v>0</v>
          </cell>
          <cell r="E815">
            <v>0</v>
          </cell>
          <cell r="G815">
            <v>0</v>
          </cell>
          <cell r="H815">
            <v>0</v>
          </cell>
          <cell r="I815">
            <v>0</v>
          </cell>
          <cell r="J815">
            <v>0</v>
          </cell>
          <cell r="K815">
            <v>0</v>
          </cell>
          <cell r="L815">
            <v>0</v>
          </cell>
          <cell r="M815">
            <v>0</v>
          </cell>
          <cell r="N815">
            <v>0</v>
          </cell>
          <cell r="O815">
            <v>0</v>
          </cell>
        </row>
        <row r="816">
          <cell r="B816">
            <v>0</v>
          </cell>
          <cell r="C816">
            <v>0</v>
          </cell>
          <cell r="D816">
            <v>0</v>
          </cell>
          <cell r="E816">
            <v>0</v>
          </cell>
          <cell r="G816">
            <v>0</v>
          </cell>
          <cell r="H816">
            <v>0</v>
          </cell>
          <cell r="I816">
            <v>0</v>
          </cell>
          <cell r="J816">
            <v>0</v>
          </cell>
          <cell r="K816">
            <v>0</v>
          </cell>
          <cell r="L816">
            <v>0</v>
          </cell>
          <cell r="M816">
            <v>0</v>
          </cell>
          <cell r="N816">
            <v>0</v>
          </cell>
          <cell r="O816">
            <v>0</v>
          </cell>
        </row>
        <row r="817">
          <cell r="B817">
            <v>0</v>
          </cell>
          <cell r="C817">
            <v>0</v>
          </cell>
          <cell r="D817">
            <v>0</v>
          </cell>
          <cell r="E817">
            <v>0</v>
          </cell>
          <cell r="G817">
            <v>0</v>
          </cell>
          <cell r="H817">
            <v>0</v>
          </cell>
          <cell r="I817">
            <v>0</v>
          </cell>
          <cell r="J817">
            <v>0</v>
          </cell>
          <cell r="K817">
            <v>0</v>
          </cell>
          <cell r="L817">
            <v>0</v>
          </cell>
          <cell r="M817">
            <v>0</v>
          </cell>
          <cell r="N817">
            <v>0</v>
          </cell>
          <cell r="O817">
            <v>0</v>
          </cell>
        </row>
        <row r="818">
          <cell r="B818">
            <v>0</v>
          </cell>
          <cell r="C818">
            <v>0</v>
          </cell>
          <cell r="D818">
            <v>0</v>
          </cell>
          <cell r="E818">
            <v>0</v>
          </cell>
          <cell r="G818">
            <v>0</v>
          </cell>
          <cell r="H818">
            <v>0</v>
          </cell>
          <cell r="I818">
            <v>0</v>
          </cell>
          <cell r="J818">
            <v>0</v>
          </cell>
          <cell r="K818">
            <v>0</v>
          </cell>
          <cell r="L818">
            <v>0</v>
          </cell>
          <cell r="M818">
            <v>0</v>
          </cell>
          <cell r="N818">
            <v>0</v>
          </cell>
          <cell r="O818">
            <v>0</v>
          </cell>
        </row>
        <row r="819">
          <cell r="B819">
            <v>0</v>
          </cell>
          <cell r="C819">
            <v>0</v>
          </cell>
          <cell r="D819">
            <v>0</v>
          </cell>
          <cell r="E819">
            <v>0</v>
          </cell>
          <cell r="G819">
            <v>0</v>
          </cell>
          <cell r="H819">
            <v>0</v>
          </cell>
          <cell r="I819">
            <v>0</v>
          </cell>
          <cell r="J819">
            <v>0</v>
          </cell>
          <cell r="K819">
            <v>0</v>
          </cell>
          <cell r="L819">
            <v>0</v>
          </cell>
          <cell r="M819">
            <v>0</v>
          </cell>
          <cell r="N819">
            <v>0</v>
          </cell>
          <cell r="O819">
            <v>0</v>
          </cell>
        </row>
        <row r="820">
          <cell r="B820">
            <v>0</v>
          </cell>
          <cell r="C820">
            <v>0</v>
          </cell>
          <cell r="D820">
            <v>0</v>
          </cell>
          <cell r="E820">
            <v>0</v>
          </cell>
          <cell r="G820">
            <v>0</v>
          </cell>
          <cell r="H820">
            <v>0</v>
          </cell>
          <cell r="I820">
            <v>0</v>
          </cell>
          <cell r="J820">
            <v>0</v>
          </cell>
          <cell r="K820">
            <v>0</v>
          </cell>
          <cell r="L820">
            <v>0</v>
          </cell>
          <cell r="M820">
            <v>0</v>
          </cell>
          <cell r="N820">
            <v>0</v>
          </cell>
          <cell r="O820">
            <v>0</v>
          </cell>
        </row>
        <row r="821">
          <cell r="B821">
            <v>0</v>
          </cell>
          <cell r="C821">
            <v>0</v>
          </cell>
          <cell r="D821">
            <v>0</v>
          </cell>
          <cell r="E821">
            <v>0</v>
          </cell>
          <cell r="G821">
            <v>0</v>
          </cell>
          <cell r="H821">
            <v>0</v>
          </cell>
          <cell r="I821">
            <v>0</v>
          </cell>
          <cell r="J821">
            <v>0</v>
          </cell>
          <cell r="K821">
            <v>0</v>
          </cell>
          <cell r="L821">
            <v>0</v>
          </cell>
          <cell r="M821">
            <v>0</v>
          </cell>
          <cell r="N821">
            <v>0</v>
          </cell>
          <cell r="O821">
            <v>0</v>
          </cell>
        </row>
        <row r="822">
          <cell r="B822">
            <v>0</v>
          </cell>
          <cell r="C822">
            <v>0</v>
          </cell>
          <cell r="D822">
            <v>0</v>
          </cell>
          <cell r="E822">
            <v>0</v>
          </cell>
          <cell r="G822">
            <v>0</v>
          </cell>
          <cell r="H822">
            <v>0</v>
          </cell>
          <cell r="I822">
            <v>0</v>
          </cell>
          <cell r="J822">
            <v>0</v>
          </cell>
          <cell r="K822">
            <v>0</v>
          </cell>
          <cell r="L822">
            <v>0</v>
          </cell>
          <cell r="M822">
            <v>0</v>
          </cell>
          <cell r="N822">
            <v>0</v>
          </cell>
          <cell r="O822">
            <v>0</v>
          </cell>
        </row>
        <row r="823">
          <cell r="B823">
            <v>0</v>
          </cell>
          <cell r="C823">
            <v>0</v>
          </cell>
          <cell r="D823">
            <v>0</v>
          </cell>
          <cell r="E823">
            <v>0</v>
          </cell>
          <cell r="G823">
            <v>0</v>
          </cell>
          <cell r="H823">
            <v>0</v>
          </cell>
          <cell r="I823">
            <v>0</v>
          </cell>
          <cell r="J823">
            <v>0</v>
          </cell>
          <cell r="K823">
            <v>0</v>
          </cell>
          <cell r="L823">
            <v>0</v>
          </cell>
          <cell r="M823">
            <v>0</v>
          </cell>
          <cell r="N823">
            <v>0</v>
          </cell>
          <cell r="O823">
            <v>0</v>
          </cell>
        </row>
        <row r="824">
          <cell r="B824">
            <v>0</v>
          </cell>
          <cell r="C824">
            <v>0</v>
          </cell>
          <cell r="D824">
            <v>0</v>
          </cell>
          <cell r="E824">
            <v>0</v>
          </cell>
          <cell r="G824">
            <v>0</v>
          </cell>
          <cell r="H824">
            <v>0</v>
          </cell>
          <cell r="I824">
            <v>0</v>
          </cell>
          <cell r="J824">
            <v>0</v>
          </cell>
          <cell r="K824">
            <v>0</v>
          </cell>
          <cell r="L824">
            <v>0</v>
          </cell>
          <cell r="M824">
            <v>0</v>
          </cell>
          <cell r="N824">
            <v>0</v>
          </cell>
          <cell r="O824">
            <v>0</v>
          </cell>
        </row>
        <row r="825">
          <cell r="B825">
            <v>0</v>
          </cell>
          <cell r="C825">
            <v>0</v>
          </cell>
          <cell r="D825">
            <v>0</v>
          </cell>
          <cell r="E825">
            <v>0</v>
          </cell>
          <cell r="G825">
            <v>0</v>
          </cell>
          <cell r="H825">
            <v>0</v>
          </cell>
          <cell r="I825">
            <v>0</v>
          </cell>
          <cell r="J825">
            <v>0</v>
          </cell>
          <cell r="K825">
            <v>0</v>
          </cell>
          <cell r="L825">
            <v>0</v>
          </cell>
          <cell r="M825">
            <v>0</v>
          </cell>
          <cell r="N825">
            <v>0</v>
          </cell>
          <cell r="O825">
            <v>0</v>
          </cell>
        </row>
        <row r="826">
          <cell r="B826">
            <v>0</v>
          </cell>
          <cell r="C826">
            <v>0</v>
          </cell>
          <cell r="D826">
            <v>0</v>
          </cell>
          <cell r="E826">
            <v>0</v>
          </cell>
          <cell r="G826">
            <v>0</v>
          </cell>
          <cell r="H826">
            <v>0</v>
          </cell>
          <cell r="I826">
            <v>0</v>
          </cell>
          <cell r="J826">
            <v>0</v>
          </cell>
          <cell r="K826">
            <v>0</v>
          </cell>
          <cell r="L826">
            <v>0</v>
          </cell>
          <cell r="M826">
            <v>0</v>
          </cell>
          <cell r="N826">
            <v>0</v>
          </cell>
          <cell r="O826">
            <v>0</v>
          </cell>
        </row>
        <row r="827">
          <cell r="B827">
            <v>0</v>
          </cell>
          <cell r="C827">
            <v>0</v>
          </cell>
          <cell r="D827">
            <v>0</v>
          </cell>
          <cell r="E827">
            <v>0</v>
          </cell>
          <cell r="G827">
            <v>0</v>
          </cell>
          <cell r="H827">
            <v>0</v>
          </cell>
          <cell r="I827">
            <v>0</v>
          </cell>
          <cell r="J827">
            <v>0</v>
          </cell>
          <cell r="K827">
            <v>0</v>
          </cell>
          <cell r="L827">
            <v>0</v>
          </cell>
          <cell r="M827">
            <v>0</v>
          </cell>
          <cell r="N827">
            <v>0</v>
          </cell>
          <cell r="O827">
            <v>0</v>
          </cell>
        </row>
        <row r="828">
          <cell r="B828">
            <v>0</v>
          </cell>
          <cell r="C828">
            <v>0</v>
          </cell>
          <cell r="D828">
            <v>0</v>
          </cell>
          <cell r="E828">
            <v>0</v>
          </cell>
          <cell r="G828">
            <v>0</v>
          </cell>
          <cell r="H828">
            <v>0</v>
          </cell>
          <cell r="I828">
            <v>0</v>
          </cell>
          <cell r="J828">
            <v>0</v>
          </cell>
          <cell r="K828">
            <v>0</v>
          </cell>
          <cell r="L828">
            <v>0</v>
          </cell>
          <cell r="M828">
            <v>0</v>
          </cell>
          <cell r="N828">
            <v>0</v>
          </cell>
          <cell r="O828">
            <v>0</v>
          </cell>
        </row>
        <row r="829">
          <cell r="B829">
            <v>0</v>
          </cell>
          <cell r="C829">
            <v>0</v>
          </cell>
          <cell r="D829">
            <v>0</v>
          </cell>
          <cell r="E829">
            <v>0</v>
          </cell>
          <cell r="G829">
            <v>0</v>
          </cell>
          <cell r="H829">
            <v>0</v>
          </cell>
          <cell r="I829">
            <v>0</v>
          </cell>
          <cell r="J829">
            <v>0</v>
          </cell>
          <cell r="K829">
            <v>0</v>
          </cell>
          <cell r="L829">
            <v>0</v>
          </cell>
          <cell r="M829">
            <v>0</v>
          </cell>
          <cell r="N829">
            <v>0</v>
          </cell>
          <cell r="O829">
            <v>0</v>
          </cell>
        </row>
        <row r="830">
          <cell r="B830">
            <v>0</v>
          </cell>
          <cell r="C830">
            <v>0</v>
          </cell>
          <cell r="D830">
            <v>0</v>
          </cell>
          <cell r="E830">
            <v>0</v>
          </cell>
          <cell r="G830">
            <v>0</v>
          </cell>
          <cell r="H830">
            <v>0</v>
          </cell>
          <cell r="I830">
            <v>0</v>
          </cell>
          <cell r="J830">
            <v>0</v>
          </cell>
          <cell r="K830">
            <v>0</v>
          </cell>
          <cell r="L830">
            <v>0</v>
          </cell>
          <cell r="M830">
            <v>0</v>
          </cell>
          <cell r="N830">
            <v>0</v>
          </cell>
          <cell r="O830">
            <v>0</v>
          </cell>
        </row>
        <row r="831">
          <cell r="B831">
            <v>0</v>
          </cell>
          <cell r="C831">
            <v>0</v>
          </cell>
          <cell r="D831">
            <v>0</v>
          </cell>
          <cell r="E831">
            <v>0</v>
          </cell>
          <cell r="G831">
            <v>0</v>
          </cell>
          <cell r="H831">
            <v>0</v>
          </cell>
          <cell r="I831">
            <v>0</v>
          </cell>
          <cell r="J831">
            <v>0</v>
          </cell>
          <cell r="K831">
            <v>0</v>
          </cell>
          <cell r="L831">
            <v>0</v>
          </cell>
          <cell r="M831">
            <v>0</v>
          </cell>
          <cell r="N831">
            <v>0</v>
          </cell>
          <cell r="O831">
            <v>0</v>
          </cell>
        </row>
        <row r="832">
          <cell r="B832">
            <v>0</v>
          </cell>
          <cell r="C832">
            <v>0</v>
          </cell>
          <cell r="D832">
            <v>0</v>
          </cell>
          <cell r="E832">
            <v>0</v>
          </cell>
          <cell r="G832">
            <v>0</v>
          </cell>
          <cell r="H832">
            <v>0</v>
          </cell>
          <cell r="I832">
            <v>0</v>
          </cell>
          <cell r="J832">
            <v>0</v>
          </cell>
          <cell r="K832">
            <v>0</v>
          </cell>
          <cell r="L832">
            <v>0</v>
          </cell>
          <cell r="M832">
            <v>0</v>
          </cell>
          <cell r="N832">
            <v>0</v>
          </cell>
          <cell r="O832">
            <v>0</v>
          </cell>
        </row>
        <row r="833">
          <cell r="B833">
            <v>0</v>
          </cell>
          <cell r="C833">
            <v>0</v>
          </cell>
          <cell r="D833">
            <v>0</v>
          </cell>
          <cell r="E833">
            <v>0</v>
          </cell>
          <cell r="G833">
            <v>0</v>
          </cell>
          <cell r="H833">
            <v>0</v>
          </cell>
          <cell r="I833">
            <v>0</v>
          </cell>
          <cell r="J833">
            <v>0</v>
          </cell>
          <cell r="K833">
            <v>0</v>
          </cell>
          <cell r="L833">
            <v>0</v>
          </cell>
          <cell r="M833">
            <v>0</v>
          </cell>
          <cell r="N833">
            <v>0</v>
          </cell>
          <cell r="O833">
            <v>0</v>
          </cell>
        </row>
        <row r="834">
          <cell r="B834">
            <v>0</v>
          </cell>
          <cell r="C834">
            <v>0</v>
          </cell>
          <cell r="D834">
            <v>0</v>
          </cell>
          <cell r="E834">
            <v>0</v>
          </cell>
          <cell r="G834">
            <v>0</v>
          </cell>
          <cell r="H834">
            <v>0</v>
          </cell>
          <cell r="I834">
            <v>0</v>
          </cell>
          <cell r="J834">
            <v>0</v>
          </cell>
          <cell r="K834">
            <v>0</v>
          </cell>
          <cell r="L834">
            <v>0</v>
          </cell>
          <cell r="M834">
            <v>0</v>
          </cell>
          <cell r="N834">
            <v>0</v>
          </cell>
          <cell r="O834">
            <v>0</v>
          </cell>
        </row>
        <row r="835">
          <cell r="B835">
            <v>0</v>
          </cell>
          <cell r="C835">
            <v>0</v>
          </cell>
          <cell r="D835">
            <v>0</v>
          </cell>
          <cell r="E835">
            <v>0</v>
          </cell>
          <cell r="G835">
            <v>0</v>
          </cell>
          <cell r="H835">
            <v>0</v>
          </cell>
          <cell r="I835">
            <v>0</v>
          </cell>
          <cell r="J835">
            <v>0</v>
          </cell>
          <cell r="K835">
            <v>0</v>
          </cell>
          <cell r="L835">
            <v>0</v>
          </cell>
          <cell r="M835">
            <v>0</v>
          </cell>
          <cell r="N835">
            <v>0</v>
          </cell>
          <cell r="O835">
            <v>0</v>
          </cell>
        </row>
        <row r="836">
          <cell r="B836">
            <v>0</v>
          </cell>
          <cell r="C836">
            <v>0</v>
          </cell>
          <cell r="D836">
            <v>0</v>
          </cell>
          <cell r="E836">
            <v>0</v>
          </cell>
          <cell r="G836">
            <v>0</v>
          </cell>
          <cell r="H836">
            <v>0</v>
          </cell>
          <cell r="I836">
            <v>0</v>
          </cell>
          <cell r="J836">
            <v>0</v>
          </cell>
          <cell r="K836">
            <v>0</v>
          </cell>
          <cell r="L836">
            <v>0</v>
          </cell>
          <cell r="M836">
            <v>0</v>
          </cell>
          <cell r="N836">
            <v>0</v>
          </cell>
          <cell r="O836">
            <v>0</v>
          </cell>
        </row>
        <row r="837">
          <cell r="B837">
            <v>0</v>
          </cell>
          <cell r="C837">
            <v>0</v>
          </cell>
          <cell r="D837">
            <v>0</v>
          </cell>
          <cell r="E837">
            <v>0</v>
          </cell>
          <cell r="G837">
            <v>0</v>
          </cell>
          <cell r="H837">
            <v>0</v>
          </cell>
          <cell r="I837">
            <v>0</v>
          </cell>
          <cell r="J837">
            <v>0</v>
          </cell>
          <cell r="K837">
            <v>0</v>
          </cell>
          <cell r="L837">
            <v>0</v>
          </cell>
          <cell r="M837">
            <v>0</v>
          </cell>
          <cell r="N837">
            <v>0</v>
          </cell>
          <cell r="O837">
            <v>0</v>
          </cell>
        </row>
        <row r="838">
          <cell r="B838">
            <v>0</v>
          </cell>
          <cell r="C838">
            <v>0</v>
          </cell>
          <cell r="D838">
            <v>0</v>
          </cell>
          <cell r="E838">
            <v>0</v>
          </cell>
          <cell r="G838">
            <v>0</v>
          </cell>
          <cell r="H838">
            <v>0</v>
          </cell>
          <cell r="I838">
            <v>0</v>
          </cell>
          <cell r="J838">
            <v>0</v>
          </cell>
          <cell r="K838">
            <v>0</v>
          </cell>
          <cell r="L838">
            <v>0</v>
          </cell>
          <cell r="M838">
            <v>0</v>
          </cell>
          <cell r="N838">
            <v>0</v>
          </cell>
          <cell r="O838">
            <v>0</v>
          </cell>
        </row>
        <row r="839">
          <cell r="B839">
            <v>0</v>
          </cell>
          <cell r="C839">
            <v>0</v>
          </cell>
          <cell r="D839">
            <v>0</v>
          </cell>
          <cell r="E839">
            <v>0</v>
          </cell>
          <cell r="G839">
            <v>0</v>
          </cell>
          <cell r="H839">
            <v>0</v>
          </cell>
          <cell r="I839">
            <v>0</v>
          </cell>
          <cell r="J839">
            <v>0</v>
          </cell>
          <cell r="K839">
            <v>0</v>
          </cell>
          <cell r="L839">
            <v>0</v>
          </cell>
          <cell r="M839">
            <v>0</v>
          </cell>
          <cell r="N839">
            <v>0</v>
          </cell>
          <cell r="O839">
            <v>0</v>
          </cell>
        </row>
        <row r="840">
          <cell r="B840">
            <v>0</v>
          </cell>
          <cell r="C840">
            <v>0</v>
          </cell>
          <cell r="D840">
            <v>0</v>
          </cell>
          <cell r="E840">
            <v>0</v>
          </cell>
          <cell r="G840">
            <v>0</v>
          </cell>
          <cell r="H840">
            <v>0</v>
          </cell>
          <cell r="I840">
            <v>0</v>
          </cell>
          <cell r="J840">
            <v>0</v>
          </cell>
          <cell r="K840">
            <v>0</v>
          </cell>
          <cell r="L840">
            <v>0</v>
          </cell>
          <cell r="M840">
            <v>0</v>
          </cell>
          <cell r="N840">
            <v>0</v>
          </cell>
          <cell r="O840">
            <v>0</v>
          </cell>
        </row>
        <row r="841">
          <cell r="B841">
            <v>0</v>
          </cell>
          <cell r="C841">
            <v>0</v>
          </cell>
          <cell r="D841">
            <v>0</v>
          </cell>
          <cell r="E841">
            <v>0</v>
          </cell>
          <cell r="G841">
            <v>0</v>
          </cell>
          <cell r="H841">
            <v>0</v>
          </cell>
          <cell r="I841">
            <v>0</v>
          </cell>
          <cell r="J841">
            <v>0</v>
          </cell>
          <cell r="K841">
            <v>0</v>
          </cell>
          <cell r="L841">
            <v>0</v>
          </cell>
          <cell r="M841">
            <v>0</v>
          </cell>
          <cell r="N841">
            <v>0</v>
          </cell>
          <cell r="O841">
            <v>0</v>
          </cell>
        </row>
        <row r="842">
          <cell r="B842">
            <v>0</v>
          </cell>
          <cell r="C842">
            <v>0</v>
          </cell>
          <cell r="D842">
            <v>0</v>
          </cell>
          <cell r="E842">
            <v>0</v>
          </cell>
          <cell r="G842">
            <v>0</v>
          </cell>
          <cell r="H842">
            <v>0</v>
          </cell>
          <cell r="I842">
            <v>0</v>
          </cell>
          <cell r="J842">
            <v>0</v>
          </cell>
          <cell r="K842">
            <v>0</v>
          </cell>
          <cell r="L842">
            <v>0</v>
          </cell>
          <cell r="M842">
            <v>0</v>
          </cell>
          <cell r="N842">
            <v>0</v>
          </cell>
          <cell r="O842">
            <v>0</v>
          </cell>
        </row>
        <row r="843">
          <cell r="B843">
            <v>0</v>
          </cell>
          <cell r="C843">
            <v>0</v>
          </cell>
          <cell r="D843">
            <v>0</v>
          </cell>
          <cell r="E843">
            <v>0</v>
          </cell>
          <cell r="G843">
            <v>0</v>
          </cell>
          <cell r="H843">
            <v>0</v>
          </cell>
          <cell r="I843">
            <v>0</v>
          </cell>
          <cell r="J843">
            <v>0</v>
          </cell>
          <cell r="K843">
            <v>0</v>
          </cell>
          <cell r="L843">
            <v>0</v>
          </cell>
          <cell r="M843">
            <v>0</v>
          </cell>
          <cell r="N843">
            <v>0</v>
          </cell>
          <cell r="O843">
            <v>0</v>
          </cell>
        </row>
        <row r="844">
          <cell r="B844">
            <v>0</v>
          </cell>
          <cell r="C844">
            <v>0</v>
          </cell>
          <cell r="D844">
            <v>0</v>
          </cell>
          <cell r="E844">
            <v>0</v>
          </cell>
          <cell r="G844">
            <v>0</v>
          </cell>
          <cell r="H844">
            <v>0</v>
          </cell>
          <cell r="I844">
            <v>0</v>
          </cell>
          <cell r="J844">
            <v>0</v>
          </cell>
          <cell r="K844">
            <v>0</v>
          </cell>
          <cell r="L844">
            <v>0</v>
          </cell>
          <cell r="M844">
            <v>0</v>
          </cell>
          <cell r="N844">
            <v>0</v>
          </cell>
          <cell r="O844">
            <v>0</v>
          </cell>
        </row>
        <row r="845">
          <cell r="B845">
            <v>0</v>
          </cell>
          <cell r="C845">
            <v>0</v>
          </cell>
          <cell r="D845">
            <v>0</v>
          </cell>
          <cell r="E845">
            <v>0</v>
          </cell>
          <cell r="G845">
            <v>0</v>
          </cell>
          <cell r="H845">
            <v>0</v>
          </cell>
          <cell r="I845">
            <v>0</v>
          </cell>
          <cell r="J845">
            <v>0</v>
          </cell>
          <cell r="K845">
            <v>0</v>
          </cell>
          <cell r="L845">
            <v>0</v>
          </cell>
          <cell r="M845">
            <v>0</v>
          </cell>
          <cell r="N845">
            <v>0</v>
          </cell>
          <cell r="O845">
            <v>0</v>
          </cell>
        </row>
        <row r="846">
          <cell r="B846">
            <v>0</v>
          </cell>
          <cell r="C846">
            <v>0</v>
          </cell>
          <cell r="D846">
            <v>0</v>
          </cell>
          <cell r="E846">
            <v>0</v>
          </cell>
          <cell r="G846">
            <v>0</v>
          </cell>
          <cell r="H846">
            <v>0</v>
          </cell>
          <cell r="I846">
            <v>0</v>
          </cell>
          <cell r="J846">
            <v>0</v>
          </cell>
          <cell r="K846">
            <v>0</v>
          </cell>
          <cell r="L846">
            <v>0</v>
          </cell>
          <cell r="M846">
            <v>0</v>
          </cell>
          <cell r="N846">
            <v>0</v>
          </cell>
          <cell r="O846">
            <v>0</v>
          </cell>
        </row>
        <row r="847">
          <cell r="B847">
            <v>0</v>
          </cell>
          <cell r="C847">
            <v>0</v>
          </cell>
          <cell r="D847">
            <v>0</v>
          </cell>
          <cell r="E847">
            <v>0</v>
          </cell>
          <cell r="G847">
            <v>0</v>
          </cell>
          <cell r="H847">
            <v>0</v>
          </cell>
          <cell r="I847">
            <v>0</v>
          </cell>
          <cell r="J847">
            <v>0</v>
          </cell>
          <cell r="K847">
            <v>0</v>
          </cell>
          <cell r="L847">
            <v>0</v>
          </cell>
          <cell r="M847">
            <v>0</v>
          </cell>
          <cell r="N847">
            <v>0</v>
          </cell>
          <cell r="O847">
            <v>0</v>
          </cell>
        </row>
        <row r="848">
          <cell r="B848">
            <v>0</v>
          </cell>
          <cell r="C848">
            <v>0</v>
          </cell>
          <cell r="D848">
            <v>0</v>
          </cell>
          <cell r="E848">
            <v>0</v>
          </cell>
          <cell r="G848">
            <v>0</v>
          </cell>
          <cell r="H848">
            <v>0</v>
          </cell>
          <cell r="I848">
            <v>0</v>
          </cell>
          <cell r="J848">
            <v>0</v>
          </cell>
          <cell r="K848">
            <v>0</v>
          </cell>
          <cell r="L848">
            <v>0</v>
          </cell>
          <cell r="M848">
            <v>0</v>
          </cell>
          <cell r="N848">
            <v>0</v>
          </cell>
          <cell r="O848">
            <v>0</v>
          </cell>
        </row>
        <row r="849">
          <cell r="B849">
            <v>0</v>
          </cell>
          <cell r="C849">
            <v>0</v>
          </cell>
          <cell r="D849">
            <v>0</v>
          </cell>
          <cell r="E849">
            <v>0</v>
          </cell>
          <cell r="G849">
            <v>0</v>
          </cell>
          <cell r="H849">
            <v>0</v>
          </cell>
          <cell r="I849">
            <v>0</v>
          </cell>
          <cell r="J849">
            <v>0</v>
          </cell>
          <cell r="K849">
            <v>0</v>
          </cell>
          <cell r="L849">
            <v>0</v>
          </cell>
          <cell r="M849">
            <v>0</v>
          </cell>
          <cell r="N849">
            <v>0</v>
          </cell>
          <cell r="O849">
            <v>0</v>
          </cell>
        </row>
        <row r="850">
          <cell r="B850">
            <v>0</v>
          </cell>
          <cell r="C850">
            <v>0</v>
          </cell>
          <cell r="D850">
            <v>0</v>
          </cell>
          <cell r="E850">
            <v>0</v>
          </cell>
          <cell r="G850">
            <v>0</v>
          </cell>
          <cell r="H850">
            <v>0</v>
          </cell>
          <cell r="I850">
            <v>0</v>
          </cell>
          <cell r="J850">
            <v>0</v>
          </cell>
          <cell r="K850">
            <v>0</v>
          </cell>
          <cell r="L850">
            <v>0</v>
          </cell>
          <cell r="M850">
            <v>0</v>
          </cell>
          <cell r="N850">
            <v>0</v>
          </cell>
          <cell r="O850">
            <v>0</v>
          </cell>
        </row>
        <row r="851">
          <cell r="B851">
            <v>0</v>
          </cell>
          <cell r="C851">
            <v>0</v>
          </cell>
          <cell r="D851">
            <v>0</v>
          </cell>
          <cell r="E851">
            <v>0</v>
          </cell>
          <cell r="G851">
            <v>0</v>
          </cell>
          <cell r="H851">
            <v>0</v>
          </cell>
          <cell r="I851">
            <v>0</v>
          </cell>
          <cell r="J851">
            <v>0</v>
          </cell>
          <cell r="K851">
            <v>0</v>
          </cell>
          <cell r="L851">
            <v>0</v>
          </cell>
          <cell r="M851">
            <v>0</v>
          </cell>
          <cell r="N851">
            <v>0</v>
          </cell>
          <cell r="O851">
            <v>0</v>
          </cell>
        </row>
        <row r="852">
          <cell r="B852">
            <v>0</v>
          </cell>
          <cell r="C852">
            <v>0</v>
          </cell>
          <cell r="D852">
            <v>0</v>
          </cell>
          <cell r="E852">
            <v>0</v>
          </cell>
          <cell r="G852">
            <v>0</v>
          </cell>
          <cell r="H852">
            <v>0</v>
          </cell>
          <cell r="I852">
            <v>0</v>
          </cell>
          <cell r="J852">
            <v>0</v>
          </cell>
          <cell r="K852">
            <v>0</v>
          </cell>
          <cell r="L852">
            <v>0</v>
          </cell>
          <cell r="M852">
            <v>0</v>
          </cell>
          <cell r="N852">
            <v>0</v>
          </cell>
          <cell r="O852">
            <v>0</v>
          </cell>
        </row>
        <row r="853">
          <cell r="B853">
            <v>0</v>
          </cell>
          <cell r="C853">
            <v>0</v>
          </cell>
          <cell r="D853">
            <v>0</v>
          </cell>
          <cell r="E853">
            <v>0</v>
          </cell>
          <cell r="G853">
            <v>0</v>
          </cell>
          <cell r="H853">
            <v>0</v>
          </cell>
          <cell r="I853">
            <v>0</v>
          </cell>
          <cell r="J853">
            <v>0</v>
          </cell>
          <cell r="K853">
            <v>0</v>
          </cell>
          <cell r="L853">
            <v>0</v>
          </cell>
          <cell r="M853">
            <v>0</v>
          </cell>
          <cell r="N853">
            <v>0</v>
          </cell>
          <cell r="O853">
            <v>0</v>
          </cell>
        </row>
        <row r="854">
          <cell r="B854">
            <v>0</v>
          </cell>
          <cell r="C854">
            <v>0</v>
          </cell>
          <cell r="D854">
            <v>0</v>
          </cell>
          <cell r="E854">
            <v>0</v>
          </cell>
          <cell r="G854">
            <v>0</v>
          </cell>
          <cell r="H854">
            <v>0</v>
          </cell>
          <cell r="I854">
            <v>0</v>
          </cell>
          <cell r="J854">
            <v>0</v>
          </cell>
          <cell r="K854">
            <v>0</v>
          </cell>
          <cell r="L854">
            <v>0</v>
          </cell>
          <cell r="M854">
            <v>0</v>
          </cell>
          <cell r="N854">
            <v>0</v>
          </cell>
          <cell r="O854">
            <v>0</v>
          </cell>
        </row>
        <row r="855">
          <cell r="B855">
            <v>0</v>
          </cell>
          <cell r="C855">
            <v>0</v>
          </cell>
          <cell r="D855">
            <v>0</v>
          </cell>
          <cell r="E855">
            <v>0</v>
          </cell>
          <cell r="G855">
            <v>0</v>
          </cell>
          <cell r="H855">
            <v>0</v>
          </cell>
          <cell r="I855">
            <v>0</v>
          </cell>
          <cell r="J855">
            <v>0</v>
          </cell>
          <cell r="K855">
            <v>0</v>
          </cell>
          <cell r="L855">
            <v>0</v>
          </cell>
          <cell r="M855">
            <v>0</v>
          </cell>
          <cell r="N855">
            <v>0</v>
          </cell>
          <cell r="O855">
            <v>0</v>
          </cell>
        </row>
        <row r="856">
          <cell r="B856">
            <v>0</v>
          </cell>
          <cell r="C856">
            <v>0</v>
          </cell>
          <cell r="D856">
            <v>0</v>
          </cell>
          <cell r="E856">
            <v>0</v>
          </cell>
          <cell r="G856">
            <v>0</v>
          </cell>
          <cell r="H856">
            <v>0</v>
          </cell>
          <cell r="I856">
            <v>0</v>
          </cell>
          <cell r="J856">
            <v>0</v>
          </cell>
          <cell r="K856">
            <v>0</v>
          </cell>
          <cell r="L856">
            <v>0</v>
          </cell>
          <cell r="M856">
            <v>0</v>
          </cell>
          <cell r="N856">
            <v>0</v>
          </cell>
          <cell r="O856">
            <v>0</v>
          </cell>
        </row>
        <row r="857">
          <cell r="B857">
            <v>0</v>
          </cell>
          <cell r="C857">
            <v>0</v>
          </cell>
          <cell r="D857">
            <v>0</v>
          </cell>
          <cell r="E857">
            <v>0</v>
          </cell>
          <cell r="G857">
            <v>0</v>
          </cell>
          <cell r="H857">
            <v>0</v>
          </cell>
          <cell r="I857">
            <v>0</v>
          </cell>
          <cell r="J857">
            <v>0</v>
          </cell>
          <cell r="K857">
            <v>0</v>
          </cell>
          <cell r="L857">
            <v>0</v>
          </cell>
          <cell r="M857">
            <v>0</v>
          </cell>
          <cell r="N857">
            <v>0</v>
          </cell>
          <cell r="O857">
            <v>0</v>
          </cell>
        </row>
        <row r="858">
          <cell r="B858">
            <v>0</v>
          </cell>
          <cell r="C858">
            <v>0</v>
          </cell>
          <cell r="D858">
            <v>0</v>
          </cell>
          <cell r="E858">
            <v>0</v>
          </cell>
          <cell r="G858">
            <v>0</v>
          </cell>
          <cell r="H858">
            <v>0</v>
          </cell>
          <cell r="I858">
            <v>0</v>
          </cell>
          <cell r="J858">
            <v>0</v>
          </cell>
          <cell r="K858">
            <v>0</v>
          </cell>
          <cell r="L858">
            <v>0</v>
          </cell>
          <cell r="M858">
            <v>0</v>
          </cell>
          <cell r="N858">
            <v>0</v>
          </cell>
          <cell r="O858">
            <v>0</v>
          </cell>
        </row>
        <row r="859">
          <cell r="B859">
            <v>0</v>
          </cell>
          <cell r="C859">
            <v>0</v>
          </cell>
          <cell r="D859">
            <v>0</v>
          </cell>
          <cell r="E859">
            <v>0</v>
          </cell>
          <cell r="G859">
            <v>0</v>
          </cell>
          <cell r="H859">
            <v>0</v>
          </cell>
          <cell r="I859">
            <v>0</v>
          </cell>
          <cell r="J859">
            <v>0</v>
          </cell>
          <cell r="K859">
            <v>0</v>
          </cell>
          <cell r="L859">
            <v>0</v>
          </cell>
          <cell r="M859">
            <v>0</v>
          </cell>
          <cell r="N859">
            <v>0</v>
          </cell>
          <cell r="O859">
            <v>0</v>
          </cell>
        </row>
        <row r="860">
          <cell r="B860">
            <v>0</v>
          </cell>
          <cell r="C860">
            <v>0</v>
          </cell>
          <cell r="D860">
            <v>0</v>
          </cell>
          <cell r="E860">
            <v>0</v>
          </cell>
          <cell r="G860">
            <v>0</v>
          </cell>
          <cell r="H860">
            <v>0</v>
          </cell>
          <cell r="I860">
            <v>0</v>
          </cell>
          <cell r="J860">
            <v>0</v>
          </cell>
          <cell r="K860">
            <v>0</v>
          </cell>
          <cell r="L860">
            <v>0</v>
          </cell>
          <cell r="M860">
            <v>0</v>
          </cell>
          <cell r="N860">
            <v>0</v>
          </cell>
          <cell r="O860">
            <v>0</v>
          </cell>
        </row>
        <row r="861">
          <cell r="B861">
            <v>0</v>
          </cell>
          <cell r="C861">
            <v>0</v>
          </cell>
          <cell r="D861">
            <v>0</v>
          </cell>
          <cell r="E861">
            <v>0</v>
          </cell>
          <cell r="G861">
            <v>0</v>
          </cell>
          <cell r="H861">
            <v>0</v>
          </cell>
          <cell r="I861">
            <v>0</v>
          </cell>
          <cell r="J861">
            <v>0</v>
          </cell>
          <cell r="K861">
            <v>0</v>
          </cell>
          <cell r="L861">
            <v>0</v>
          </cell>
          <cell r="M861">
            <v>0</v>
          </cell>
          <cell r="N861">
            <v>0</v>
          </cell>
          <cell r="O861">
            <v>0</v>
          </cell>
        </row>
        <row r="862">
          <cell r="B862">
            <v>0</v>
          </cell>
          <cell r="C862">
            <v>0</v>
          </cell>
          <cell r="D862">
            <v>0</v>
          </cell>
          <cell r="E862">
            <v>0</v>
          </cell>
          <cell r="G862">
            <v>0</v>
          </cell>
          <cell r="H862">
            <v>0</v>
          </cell>
          <cell r="I862">
            <v>0</v>
          </cell>
          <cell r="J862">
            <v>0</v>
          </cell>
          <cell r="K862">
            <v>0</v>
          </cell>
          <cell r="L862">
            <v>0</v>
          </cell>
          <cell r="M862">
            <v>0</v>
          </cell>
          <cell r="N862">
            <v>0</v>
          </cell>
          <cell r="O862">
            <v>0</v>
          </cell>
        </row>
        <row r="863">
          <cell r="B863">
            <v>0</v>
          </cell>
          <cell r="C863">
            <v>0</v>
          </cell>
          <cell r="D863">
            <v>0</v>
          </cell>
          <cell r="E863">
            <v>0</v>
          </cell>
          <cell r="G863">
            <v>0</v>
          </cell>
          <cell r="H863">
            <v>0</v>
          </cell>
          <cell r="I863">
            <v>0</v>
          </cell>
          <cell r="J863">
            <v>0</v>
          </cell>
          <cell r="K863">
            <v>0</v>
          </cell>
          <cell r="L863">
            <v>0</v>
          </cell>
          <cell r="M863">
            <v>0</v>
          </cell>
          <cell r="N863">
            <v>0</v>
          </cell>
          <cell r="O863">
            <v>0</v>
          </cell>
        </row>
        <row r="864">
          <cell r="B864">
            <v>0</v>
          </cell>
          <cell r="C864">
            <v>0</v>
          </cell>
          <cell r="D864">
            <v>0</v>
          </cell>
          <cell r="E864">
            <v>0</v>
          </cell>
          <cell r="G864">
            <v>0</v>
          </cell>
          <cell r="H864">
            <v>0</v>
          </cell>
          <cell r="I864">
            <v>0</v>
          </cell>
          <cell r="J864">
            <v>0</v>
          </cell>
          <cell r="K864">
            <v>0</v>
          </cell>
          <cell r="L864">
            <v>0</v>
          </cell>
          <cell r="M864">
            <v>0</v>
          </cell>
          <cell r="N864">
            <v>0</v>
          </cell>
          <cell r="O864">
            <v>0</v>
          </cell>
        </row>
        <row r="865">
          <cell r="B865">
            <v>0</v>
          </cell>
          <cell r="C865">
            <v>0</v>
          </cell>
          <cell r="D865">
            <v>0</v>
          </cell>
          <cell r="E865">
            <v>0</v>
          </cell>
          <cell r="G865">
            <v>0</v>
          </cell>
          <cell r="H865">
            <v>0</v>
          </cell>
          <cell r="I865">
            <v>0</v>
          </cell>
          <cell r="J865">
            <v>0</v>
          </cell>
          <cell r="K865">
            <v>0</v>
          </cell>
          <cell r="L865">
            <v>0</v>
          </cell>
          <cell r="M865">
            <v>0</v>
          </cell>
          <cell r="N865">
            <v>0</v>
          </cell>
          <cell r="O865">
            <v>0</v>
          </cell>
        </row>
        <row r="866">
          <cell r="B866">
            <v>0</v>
          </cell>
          <cell r="C866">
            <v>0</v>
          </cell>
          <cell r="D866">
            <v>0</v>
          </cell>
          <cell r="E866">
            <v>0</v>
          </cell>
          <cell r="G866">
            <v>0</v>
          </cell>
          <cell r="H866">
            <v>0</v>
          </cell>
          <cell r="I866">
            <v>0</v>
          </cell>
          <cell r="J866">
            <v>0</v>
          </cell>
          <cell r="K866">
            <v>0</v>
          </cell>
          <cell r="L866">
            <v>0</v>
          </cell>
          <cell r="M866">
            <v>0</v>
          </cell>
          <cell r="N866">
            <v>0</v>
          </cell>
          <cell r="O866">
            <v>0</v>
          </cell>
        </row>
        <row r="867">
          <cell r="B867">
            <v>0</v>
          </cell>
          <cell r="C867">
            <v>0</v>
          </cell>
          <cell r="D867">
            <v>0</v>
          </cell>
          <cell r="E867">
            <v>0</v>
          </cell>
          <cell r="G867">
            <v>0</v>
          </cell>
          <cell r="H867">
            <v>0</v>
          </cell>
          <cell r="I867">
            <v>0</v>
          </cell>
          <cell r="J867">
            <v>0</v>
          </cell>
          <cell r="K867">
            <v>0</v>
          </cell>
          <cell r="L867">
            <v>0</v>
          </cell>
          <cell r="M867">
            <v>0</v>
          </cell>
          <cell r="N867">
            <v>0</v>
          </cell>
          <cell r="O867">
            <v>0</v>
          </cell>
        </row>
        <row r="868">
          <cell r="B868">
            <v>0</v>
          </cell>
          <cell r="C868">
            <v>0</v>
          </cell>
          <cell r="D868">
            <v>0</v>
          </cell>
          <cell r="E868">
            <v>0</v>
          </cell>
          <cell r="G868">
            <v>0</v>
          </cell>
          <cell r="H868">
            <v>0</v>
          </cell>
          <cell r="I868">
            <v>0</v>
          </cell>
          <cell r="J868">
            <v>0</v>
          </cell>
          <cell r="K868">
            <v>0</v>
          </cell>
          <cell r="L868">
            <v>0</v>
          </cell>
          <cell r="M868">
            <v>0</v>
          </cell>
          <cell r="N868">
            <v>0</v>
          </cell>
          <cell r="O868">
            <v>0</v>
          </cell>
        </row>
        <row r="869">
          <cell r="B869">
            <v>0</v>
          </cell>
          <cell r="C869">
            <v>0</v>
          </cell>
          <cell r="D869">
            <v>0</v>
          </cell>
          <cell r="E869">
            <v>0</v>
          </cell>
          <cell r="G869">
            <v>0</v>
          </cell>
          <cell r="H869">
            <v>0</v>
          </cell>
          <cell r="I869">
            <v>0</v>
          </cell>
          <cell r="J869">
            <v>0</v>
          </cell>
          <cell r="K869">
            <v>0</v>
          </cell>
          <cell r="L869">
            <v>0</v>
          </cell>
          <cell r="M869">
            <v>0</v>
          </cell>
          <cell r="N869">
            <v>0</v>
          </cell>
          <cell r="O869">
            <v>0</v>
          </cell>
        </row>
        <row r="870">
          <cell r="B870">
            <v>0</v>
          </cell>
          <cell r="C870">
            <v>0</v>
          </cell>
          <cell r="D870">
            <v>0</v>
          </cell>
          <cell r="E870">
            <v>0</v>
          </cell>
          <cell r="G870">
            <v>0</v>
          </cell>
          <cell r="H870">
            <v>0</v>
          </cell>
          <cell r="I870">
            <v>0</v>
          </cell>
          <cell r="J870">
            <v>0</v>
          </cell>
          <cell r="K870">
            <v>0</v>
          </cell>
          <cell r="L870">
            <v>0</v>
          </cell>
          <cell r="M870">
            <v>0</v>
          </cell>
          <cell r="N870">
            <v>0</v>
          </cell>
          <cell r="O870">
            <v>0</v>
          </cell>
        </row>
        <row r="871">
          <cell r="B871">
            <v>0</v>
          </cell>
          <cell r="C871">
            <v>0</v>
          </cell>
          <cell r="D871">
            <v>0</v>
          </cell>
          <cell r="E871">
            <v>0</v>
          </cell>
          <cell r="G871">
            <v>0</v>
          </cell>
          <cell r="H871">
            <v>0</v>
          </cell>
          <cell r="I871">
            <v>0</v>
          </cell>
          <cell r="J871">
            <v>0</v>
          </cell>
          <cell r="K871">
            <v>0</v>
          </cell>
          <cell r="L871">
            <v>0</v>
          </cell>
          <cell r="M871">
            <v>0</v>
          </cell>
          <cell r="N871">
            <v>0</v>
          </cell>
          <cell r="O871">
            <v>0</v>
          </cell>
        </row>
        <row r="872">
          <cell r="B872">
            <v>0</v>
          </cell>
          <cell r="C872">
            <v>0</v>
          </cell>
          <cell r="D872">
            <v>0</v>
          </cell>
          <cell r="E872">
            <v>0</v>
          </cell>
          <cell r="G872">
            <v>0</v>
          </cell>
          <cell r="H872">
            <v>0</v>
          </cell>
          <cell r="I872">
            <v>0</v>
          </cell>
          <cell r="J872">
            <v>0</v>
          </cell>
          <cell r="K872">
            <v>0</v>
          </cell>
          <cell r="L872">
            <v>0</v>
          </cell>
          <cell r="M872">
            <v>0</v>
          </cell>
          <cell r="N872">
            <v>0</v>
          </cell>
          <cell r="O872">
            <v>0</v>
          </cell>
        </row>
        <row r="873">
          <cell r="B873">
            <v>0</v>
          </cell>
          <cell r="C873">
            <v>0</v>
          </cell>
          <cell r="D873">
            <v>0</v>
          </cell>
          <cell r="E873">
            <v>0</v>
          </cell>
          <cell r="G873">
            <v>0</v>
          </cell>
          <cell r="H873">
            <v>0</v>
          </cell>
          <cell r="I873">
            <v>0</v>
          </cell>
          <cell r="J873">
            <v>0</v>
          </cell>
          <cell r="K873">
            <v>0</v>
          </cell>
          <cell r="L873">
            <v>0</v>
          </cell>
          <cell r="M873">
            <v>0</v>
          </cell>
          <cell r="N873">
            <v>0</v>
          </cell>
          <cell r="O873">
            <v>0</v>
          </cell>
        </row>
        <row r="874">
          <cell r="B874">
            <v>0</v>
          </cell>
          <cell r="C874">
            <v>0</v>
          </cell>
          <cell r="D874">
            <v>0</v>
          </cell>
          <cell r="E874">
            <v>0</v>
          </cell>
          <cell r="G874">
            <v>0</v>
          </cell>
          <cell r="H874">
            <v>0</v>
          </cell>
          <cell r="I874">
            <v>0</v>
          </cell>
          <cell r="J874">
            <v>0</v>
          </cell>
          <cell r="K874">
            <v>0</v>
          </cell>
          <cell r="L874">
            <v>0</v>
          </cell>
          <cell r="M874">
            <v>0</v>
          </cell>
          <cell r="N874">
            <v>0</v>
          </cell>
          <cell r="O874">
            <v>0</v>
          </cell>
        </row>
        <row r="875">
          <cell r="B875">
            <v>0</v>
          </cell>
          <cell r="C875">
            <v>0</v>
          </cell>
          <cell r="D875">
            <v>0</v>
          </cell>
          <cell r="E875">
            <v>0</v>
          </cell>
          <cell r="G875">
            <v>0</v>
          </cell>
          <cell r="H875">
            <v>0</v>
          </cell>
          <cell r="I875">
            <v>0</v>
          </cell>
          <cell r="J875">
            <v>0</v>
          </cell>
          <cell r="K875">
            <v>0</v>
          </cell>
          <cell r="L875">
            <v>0</v>
          </cell>
          <cell r="M875">
            <v>0</v>
          </cell>
          <cell r="N875">
            <v>0</v>
          </cell>
          <cell r="O875">
            <v>0</v>
          </cell>
        </row>
        <row r="876">
          <cell r="B876">
            <v>0</v>
          </cell>
          <cell r="C876">
            <v>0</v>
          </cell>
          <cell r="D876">
            <v>0</v>
          </cell>
          <cell r="E876">
            <v>0</v>
          </cell>
          <cell r="G876">
            <v>0</v>
          </cell>
          <cell r="H876">
            <v>0</v>
          </cell>
          <cell r="I876">
            <v>0</v>
          </cell>
          <cell r="J876">
            <v>0</v>
          </cell>
          <cell r="K876">
            <v>0</v>
          </cell>
          <cell r="L876">
            <v>0</v>
          </cell>
          <cell r="M876">
            <v>0</v>
          </cell>
          <cell r="N876">
            <v>0</v>
          </cell>
          <cell r="O876">
            <v>0</v>
          </cell>
        </row>
        <row r="877">
          <cell r="B877">
            <v>0</v>
          </cell>
          <cell r="C877">
            <v>0</v>
          </cell>
          <cell r="D877">
            <v>0</v>
          </cell>
          <cell r="E877">
            <v>0</v>
          </cell>
          <cell r="G877">
            <v>0</v>
          </cell>
          <cell r="H877">
            <v>0</v>
          </cell>
          <cell r="I877">
            <v>0</v>
          </cell>
          <cell r="J877">
            <v>0</v>
          </cell>
          <cell r="K877">
            <v>0</v>
          </cell>
          <cell r="L877">
            <v>0</v>
          </cell>
          <cell r="M877">
            <v>0</v>
          </cell>
          <cell r="N877">
            <v>0</v>
          </cell>
          <cell r="O877">
            <v>0</v>
          </cell>
        </row>
        <row r="878">
          <cell r="B878">
            <v>0</v>
          </cell>
          <cell r="C878">
            <v>0</v>
          </cell>
          <cell r="D878">
            <v>0</v>
          </cell>
          <cell r="E878">
            <v>0</v>
          </cell>
          <cell r="G878">
            <v>0</v>
          </cell>
          <cell r="H878">
            <v>0</v>
          </cell>
          <cell r="I878">
            <v>0</v>
          </cell>
          <cell r="J878">
            <v>0</v>
          </cell>
          <cell r="K878">
            <v>0</v>
          </cell>
          <cell r="L878">
            <v>0</v>
          </cell>
          <cell r="M878">
            <v>0</v>
          </cell>
          <cell r="N878">
            <v>0</v>
          </cell>
          <cell r="O878">
            <v>0</v>
          </cell>
        </row>
        <row r="879">
          <cell r="B879">
            <v>0</v>
          </cell>
          <cell r="C879">
            <v>0</v>
          </cell>
          <cell r="D879">
            <v>0</v>
          </cell>
          <cell r="E879">
            <v>0</v>
          </cell>
          <cell r="G879">
            <v>0</v>
          </cell>
          <cell r="H879">
            <v>0</v>
          </cell>
          <cell r="I879">
            <v>0</v>
          </cell>
          <cell r="J879">
            <v>0</v>
          </cell>
          <cell r="K879">
            <v>0</v>
          </cell>
          <cell r="L879">
            <v>0</v>
          </cell>
          <cell r="M879">
            <v>0</v>
          </cell>
          <cell r="N879">
            <v>0</v>
          </cell>
          <cell r="O879">
            <v>0</v>
          </cell>
        </row>
        <row r="880">
          <cell r="B880">
            <v>0</v>
          </cell>
          <cell r="C880">
            <v>0</v>
          </cell>
          <cell r="D880">
            <v>0</v>
          </cell>
          <cell r="E880">
            <v>0</v>
          </cell>
          <cell r="G880">
            <v>0</v>
          </cell>
          <cell r="H880">
            <v>0</v>
          </cell>
          <cell r="I880">
            <v>0</v>
          </cell>
          <cell r="J880">
            <v>0</v>
          </cell>
          <cell r="K880">
            <v>0</v>
          </cell>
          <cell r="L880">
            <v>0</v>
          </cell>
          <cell r="M880">
            <v>0</v>
          </cell>
          <cell r="N880">
            <v>0</v>
          </cell>
          <cell r="O880">
            <v>0</v>
          </cell>
        </row>
        <row r="881">
          <cell r="B881">
            <v>0</v>
          </cell>
          <cell r="C881">
            <v>0</v>
          </cell>
          <cell r="D881">
            <v>0</v>
          </cell>
          <cell r="E881">
            <v>0</v>
          </cell>
          <cell r="G881">
            <v>0</v>
          </cell>
          <cell r="H881">
            <v>0</v>
          </cell>
          <cell r="I881">
            <v>0</v>
          </cell>
          <cell r="J881">
            <v>0</v>
          </cell>
          <cell r="K881">
            <v>0</v>
          </cell>
          <cell r="L881">
            <v>0</v>
          </cell>
          <cell r="M881">
            <v>0</v>
          </cell>
          <cell r="N881">
            <v>0</v>
          </cell>
          <cell r="O881">
            <v>0</v>
          </cell>
        </row>
        <row r="882">
          <cell r="B882">
            <v>0</v>
          </cell>
          <cell r="C882">
            <v>0</v>
          </cell>
          <cell r="D882">
            <v>0</v>
          </cell>
          <cell r="E882">
            <v>0</v>
          </cell>
          <cell r="G882">
            <v>0</v>
          </cell>
          <cell r="H882">
            <v>0</v>
          </cell>
          <cell r="I882">
            <v>0</v>
          </cell>
          <cell r="J882">
            <v>0</v>
          </cell>
          <cell r="K882">
            <v>0</v>
          </cell>
          <cell r="L882">
            <v>0</v>
          </cell>
          <cell r="M882">
            <v>0</v>
          </cell>
          <cell r="N882">
            <v>0</v>
          </cell>
          <cell r="O882">
            <v>0</v>
          </cell>
        </row>
        <row r="883">
          <cell r="B883">
            <v>0</v>
          </cell>
          <cell r="C883">
            <v>0</v>
          </cell>
          <cell r="D883">
            <v>0</v>
          </cell>
          <cell r="E883">
            <v>0</v>
          </cell>
          <cell r="G883">
            <v>0</v>
          </cell>
          <cell r="H883">
            <v>0</v>
          </cell>
          <cell r="I883">
            <v>0</v>
          </cell>
          <cell r="J883">
            <v>0</v>
          </cell>
          <cell r="K883">
            <v>0</v>
          </cell>
          <cell r="L883">
            <v>0</v>
          </cell>
          <cell r="M883">
            <v>0</v>
          </cell>
          <cell r="N883">
            <v>0</v>
          </cell>
          <cell r="O883">
            <v>0</v>
          </cell>
        </row>
        <row r="884">
          <cell r="B884">
            <v>0</v>
          </cell>
          <cell r="C884">
            <v>0</v>
          </cell>
          <cell r="D884">
            <v>0</v>
          </cell>
          <cell r="E884">
            <v>0</v>
          </cell>
          <cell r="G884">
            <v>0</v>
          </cell>
          <cell r="H884">
            <v>0</v>
          </cell>
          <cell r="I884">
            <v>0</v>
          </cell>
          <cell r="J884">
            <v>0</v>
          </cell>
          <cell r="K884">
            <v>0</v>
          </cell>
          <cell r="L884">
            <v>0</v>
          </cell>
          <cell r="M884">
            <v>0</v>
          </cell>
          <cell r="N884">
            <v>0</v>
          </cell>
          <cell r="O884">
            <v>0</v>
          </cell>
        </row>
        <row r="885">
          <cell r="B885">
            <v>0</v>
          </cell>
          <cell r="C885">
            <v>0</v>
          </cell>
          <cell r="D885">
            <v>0</v>
          </cell>
          <cell r="E885">
            <v>0</v>
          </cell>
          <cell r="G885">
            <v>0</v>
          </cell>
          <cell r="H885">
            <v>0</v>
          </cell>
          <cell r="I885">
            <v>0</v>
          </cell>
          <cell r="J885">
            <v>0</v>
          </cell>
          <cell r="K885">
            <v>0</v>
          </cell>
          <cell r="L885">
            <v>0</v>
          </cell>
          <cell r="M885">
            <v>0</v>
          </cell>
          <cell r="N885">
            <v>0</v>
          </cell>
          <cell r="O885">
            <v>0</v>
          </cell>
        </row>
        <row r="886">
          <cell r="B886">
            <v>0</v>
          </cell>
          <cell r="C886">
            <v>0</v>
          </cell>
          <cell r="D886">
            <v>0</v>
          </cell>
          <cell r="E886">
            <v>0</v>
          </cell>
          <cell r="G886">
            <v>0</v>
          </cell>
          <cell r="H886">
            <v>0</v>
          </cell>
          <cell r="I886">
            <v>0</v>
          </cell>
          <cell r="J886">
            <v>0</v>
          </cell>
          <cell r="K886">
            <v>0</v>
          </cell>
          <cell r="L886">
            <v>0</v>
          </cell>
          <cell r="M886">
            <v>0</v>
          </cell>
          <cell r="N886">
            <v>0</v>
          </cell>
          <cell r="O886">
            <v>0</v>
          </cell>
        </row>
        <row r="887">
          <cell r="B887">
            <v>0</v>
          </cell>
          <cell r="C887">
            <v>0</v>
          </cell>
          <cell r="D887">
            <v>0</v>
          </cell>
          <cell r="E887">
            <v>0</v>
          </cell>
          <cell r="G887">
            <v>0</v>
          </cell>
          <cell r="H887">
            <v>0</v>
          </cell>
          <cell r="I887">
            <v>0</v>
          </cell>
          <cell r="J887">
            <v>0</v>
          </cell>
          <cell r="K887">
            <v>0</v>
          </cell>
          <cell r="L887">
            <v>0</v>
          </cell>
          <cell r="M887">
            <v>0</v>
          </cell>
          <cell r="N887">
            <v>0</v>
          </cell>
          <cell r="O887">
            <v>0</v>
          </cell>
        </row>
        <row r="888">
          <cell r="B888">
            <v>0</v>
          </cell>
          <cell r="C888">
            <v>0</v>
          </cell>
          <cell r="D888">
            <v>0</v>
          </cell>
          <cell r="E888">
            <v>0</v>
          </cell>
          <cell r="G888">
            <v>0</v>
          </cell>
          <cell r="H888">
            <v>0</v>
          </cell>
          <cell r="I888">
            <v>0</v>
          </cell>
          <cell r="J888">
            <v>0</v>
          </cell>
          <cell r="K888">
            <v>0</v>
          </cell>
          <cell r="L888">
            <v>0</v>
          </cell>
          <cell r="M888">
            <v>0</v>
          </cell>
          <cell r="N888">
            <v>0</v>
          </cell>
          <cell r="O888">
            <v>0</v>
          </cell>
        </row>
        <row r="889">
          <cell r="B889">
            <v>0</v>
          </cell>
          <cell r="C889">
            <v>0</v>
          </cell>
          <cell r="D889">
            <v>0</v>
          </cell>
          <cell r="E889">
            <v>0</v>
          </cell>
          <cell r="G889">
            <v>0</v>
          </cell>
          <cell r="H889">
            <v>0</v>
          </cell>
          <cell r="I889">
            <v>0</v>
          </cell>
          <cell r="J889">
            <v>0</v>
          </cell>
          <cell r="K889">
            <v>0</v>
          </cell>
          <cell r="L889">
            <v>0</v>
          </cell>
          <cell r="M889">
            <v>0</v>
          </cell>
          <cell r="N889">
            <v>0</v>
          </cell>
          <cell r="O889">
            <v>0</v>
          </cell>
        </row>
        <row r="890">
          <cell r="B890">
            <v>0</v>
          </cell>
          <cell r="C890">
            <v>0</v>
          </cell>
          <cell r="D890">
            <v>0</v>
          </cell>
          <cell r="E890">
            <v>0</v>
          </cell>
          <cell r="G890">
            <v>0</v>
          </cell>
          <cell r="H890">
            <v>0</v>
          </cell>
          <cell r="I890">
            <v>0</v>
          </cell>
          <cell r="J890">
            <v>0</v>
          </cell>
          <cell r="K890">
            <v>0</v>
          </cell>
          <cell r="L890">
            <v>0</v>
          </cell>
          <cell r="M890">
            <v>0</v>
          </cell>
          <cell r="N890">
            <v>0</v>
          </cell>
          <cell r="O890">
            <v>0</v>
          </cell>
        </row>
        <row r="891">
          <cell r="B891">
            <v>0</v>
          </cell>
          <cell r="C891">
            <v>0</v>
          </cell>
          <cell r="D891">
            <v>0</v>
          </cell>
          <cell r="E891">
            <v>0</v>
          </cell>
          <cell r="G891">
            <v>0</v>
          </cell>
          <cell r="H891">
            <v>0</v>
          </cell>
          <cell r="I891">
            <v>0</v>
          </cell>
          <cell r="J891">
            <v>0</v>
          </cell>
          <cell r="K891">
            <v>0</v>
          </cell>
          <cell r="L891">
            <v>0</v>
          </cell>
          <cell r="M891">
            <v>0</v>
          </cell>
          <cell r="N891">
            <v>0</v>
          </cell>
          <cell r="O891">
            <v>0</v>
          </cell>
        </row>
        <row r="892">
          <cell r="B892">
            <v>0</v>
          </cell>
          <cell r="C892">
            <v>0</v>
          </cell>
          <cell r="D892">
            <v>0</v>
          </cell>
          <cell r="E892">
            <v>0</v>
          </cell>
          <cell r="G892">
            <v>0</v>
          </cell>
          <cell r="H892">
            <v>0</v>
          </cell>
          <cell r="I892">
            <v>0</v>
          </cell>
          <cell r="J892">
            <v>0</v>
          </cell>
          <cell r="K892">
            <v>0</v>
          </cell>
          <cell r="L892">
            <v>0</v>
          </cell>
          <cell r="M892">
            <v>0</v>
          </cell>
          <cell r="N892">
            <v>0</v>
          </cell>
          <cell r="O892">
            <v>0</v>
          </cell>
        </row>
        <row r="893">
          <cell r="B893">
            <v>0</v>
          </cell>
          <cell r="C893">
            <v>0</v>
          </cell>
          <cell r="D893">
            <v>0</v>
          </cell>
          <cell r="E893">
            <v>0</v>
          </cell>
          <cell r="G893">
            <v>0</v>
          </cell>
          <cell r="H893">
            <v>0</v>
          </cell>
          <cell r="I893">
            <v>0</v>
          </cell>
          <cell r="J893">
            <v>0</v>
          </cell>
          <cell r="K893">
            <v>0</v>
          </cell>
          <cell r="L893">
            <v>0</v>
          </cell>
          <cell r="M893">
            <v>0</v>
          </cell>
          <cell r="N893">
            <v>0</v>
          </cell>
          <cell r="O893">
            <v>0</v>
          </cell>
        </row>
        <row r="894">
          <cell r="B894">
            <v>0</v>
          </cell>
          <cell r="C894">
            <v>0</v>
          </cell>
          <cell r="D894">
            <v>0</v>
          </cell>
          <cell r="E894">
            <v>0</v>
          </cell>
          <cell r="G894">
            <v>0</v>
          </cell>
          <cell r="H894">
            <v>0</v>
          </cell>
          <cell r="I894">
            <v>0</v>
          </cell>
          <cell r="J894">
            <v>0</v>
          </cell>
          <cell r="K894">
            <v>0</v>
          </cell>
          <cell r="L894">
            <v>0</v>
          </cell>
          <cell r="M894">
            <v>0</v>
          </cell>
          <cell r="N894">
            <v>0</v>
          </cell>
          <cell r="O894">
            <v>0</v>
          </cell>
        </row>
        <row r="895">
          <cell r="B895">
            <v>0</v>
          </cell>
          <cell r="C895">
            <v>0</v>
          </cell>
          <cell r="D895">
            <v>0</v>
          </cell>
          <cell r="E895">
            <v>0</v>
          </cell>
          <cell r="G895">
            <v>0</v>
          </cell>
          <cell r="H895">
            <v>0</v>
          </cell>
          <cell r="I895">
            <v>0</v>
          </cell>
          <cell r="J895">
            <v>0</v>
          </cell>
          <cell r="K895">
            <v>0</v>
          </cell>
          <cell r="L895">
            <v>0</v>
          </cell>
          <cell r="M895">
            <v>0</v>
          </cell>
          <cell r="N895">
            <v>0</v>
          </cell>
          <cell r="O895">
            <v>0</v>
          </cell>
        </row>
        <row r="896">
          <cell r="B896">
            <v>0</v>
          </cell>
          <cell r="C896">
            <v>0</v>
          </cell>
          <cell r="D896">
            <v>0</v>
          </cell>
          <cell r="E896">
            <v>0</v>
          </cell>
          <cell r="G896">
            <v>0</v>
          </cell>
          <cell r="H896">
            <v>0</v>
          </cell>
          <cell r="I896">
            <v>0</v>
          </cell>
          <cell r="J896">
            <v>0</v>
          </cell>
          <cell r="K896">
            <v>0</v>
          </cell>
          <cell r="L896">
            <v>0</v>
          </cell>
          <cell r="M896">
            <v>0</v>
          </cell>
          <cell r="N896">
            <v>0</v>
          </cell>
          <cell r="O896">
            <v>0</v>
          </cell>
        </row>
        <row r="897">
          <cell r="B897">
            <v>0</v>
          </cell>
          <cell r="C897">
            <v>0</v>
          </cell>
          <cell r="D897">
            <v>0</v>
          </cell>
          <cell r="E897">
            <v>0</v>
          </cell>
          <cell r="G897">
            <v>0</v>
          </cell>
          <cell r="H897">
            <v>0</v>
          </cell>
          <cell r="I897">
            <v>0</v>
          </cell>
          <cell r="J897">
            <v>0</v>
          </cell>
          <cell r="K897">
            <v>0</v>
          </cell>
          <cell r="L897">
            <v>0</v>
          </cell>
          <cell r="M897">
            <v>0</v>
          </cell>
          <cell r="N897">
            <v>0</v>
          </cell>
          <cell r="O897">
            <v>0</v>
          </cell>
        </row>
        <row r="898">
          <cell r="B898">
            <v>0</v>
          </cell>
          <cell r="C898">
            <v>0</v>
          </cell>
          <cell r="D898">
            <v>0</v>
          </cell>
          <cell r="E898">
            <v>0</v>
          </cell>
          <cell r="G898">
            <v>0</v>
          </cell>
          <cell r="H898">
            <v>0</v>
          </cell>
          <cell r="I898">
            <v>0</v>
          </cell>
          <cell r="J898">
            <v>0</v>
          </cell>
          <cell r="K898">
            <v>0</v>
          </cell>
          <cell r="L898">
            <v>0</v>
          </cell>
          <cell r="M898">
            <v>0</v>
          </cell>
          <cell r="N898">
            <v>0</v>
          </cell>
          <cell r="O898">
            <v>0</v>
          </cell>
        </row>
        <row r="899">
          <cell r="B899">
            <v>0</v>
          </cell>
          <cell r="C899">
            <v>0</v>
          </cell>
          <cell r="D899">
            <v>0</v>
          </cell>
          <cell r="E899">
            <v>0</v>
          </cell>
          <cell r="G899">
            <v>0</v>
          </cell>
          <cell r="H899">
            <v>0</v>
          </cell>
          <cell r="I899">
            <v>0</v>
          </cell>
          <cell r="J899">
            <v>0</v>
          </cell>
          <cell r="K899">
            <v>0</v>
          </cell>
          <cell r="L899">
            <v>0</v>
          </cell>
          <cell r="M899">
            <v>0</v>
          </cell>
          <cell r="N899">
            <v>0</v>
          </cell>
          <cell r="O899">
            <v>0</v>
          </cell>
        </row>
        <row r="900">
          <cell r="B900">
            <v>0</v>
          </cell>
          <cell r="C900">
            <v>0</v>
          </cell>
          <cell r="D900">
            <v>0</v>
          </cell>
          <cell r="E900">
            <v>0</v>
          </cell>
          <cell r="G900">
            <v>0</v>
          </cell>
          <cell r="H900">
            <v>0</v>
          </cell>
          <cell r="I900">
            <v>0</v>
          </cell>
          <cell r="J900">
            <v>0</v>
          </cell>
          <cell r="K900">
            <v>0</v>
          </cell>
          <cell r="L900">
            <v>0</v>
          </cell>
          <cell r="M900">
            <v>0</v>
          </cell>
          <cell r="N900">
            <v>0</v>
          </cell>
          <cell r="O900">
            <v>0</v>
          </cell>
        </row>
        <row r="901">
          <cell r="B901">
            <v>0</v>
          </cell>
          <cell r="C901">
            <v>0</v>
          </cell>
          <cell r="D901">
            <v>0</v>
          </cell>
          <cell r="E901">
            <v>0</v>
          </cell>
          <cell r="G901">
            <v>0</v>
          </cell>
          <cell r="H901">
            <v>0</v>
          </cell>
          <cell r="I901">
            <v>0</v>
          </cell>
          <cell r="J901">
            <v>0</v>
          </cell>
          <cell r="K901">
            <v>0</v>
          </cell>
          <cell r="L901">
            <v>0</v>
          </cell>
          <cell r="M901">
            <v>0</v>
          </cell>
          <cell r="N901">
            <v>0</v>
          </cell>
          <cell r="O901">
            <v>0</v>
          </cell>
        </row>
        <row r="902">
          <cell r="B902">
            <v>0</v>
          </cell>
          <cell r="C902">
            <v>0</v>
          </cell>
          <cell r="D902">
            <v>0</v>
          </cell>
          <cell r="E902">
            <v>0</v>
          </cell>
          <cell r="G902">
            <v>0</v>
          </cell>
          <cell r="H902">
            <v>0</v>
          </cell>
          <cell r="I902">
            <v>0</v>
          </cell>
          <cell r="J902">
            <v>0</v>
          </cell>
          <cell r="K902">
            <v>0</v>
          </cell>
          <cell r="L902">
            <v>0</v>
          </cell>
          <cell r="M902">
            <v>0</v>
          </cell>
          <cell r="N902">
            <v>0</v>
          </cell>
          <cell r="O902">
            <v>0</v>
          </cell>
        </row>
        <row r="903">
          <cell r="B903">
            <v>0</v>
          </cell>
          <cell r="C903">
            <v>0</v>
          </cell>
          <cell r="D903">
            <v>0</v>
          </cell>
          <cell r="E903">
            <v>0</v>
          </cell>
          <cell r="G903">
            <v>0</v>
          </cell>
          <cell r="H903">
            <v>0</v>
          </cell>
          <cell r="I903">
            <v>0</v>
          </cell>
          <cell r="J903">
            <v>0</v>
          </cell>
          <cell r="K903">
            <v>0</v>
          </cell>
          <cell r="L903">
            <v>0</v>
          </cell>
          <cell r="M903">
            <v>0</v>
          </cell>
          <cell r="N903">
            <v>0</v>
          </cell>
          <cell r="O903">
            <v>0</v>
          </cell>
        </row>
        <row r="904">
          <cell r="B904">
            <v>0</v>
          </cell>
          <cell r="C904">
            <v>0</v>
          </cell>
          <cell r="D904">
            <v>0</v>
          </cell>
          <cell r="E904">
            <v>0</v>
          </cell>
          <cell r="G904">
            <v>0</v>
          </cell>
          <cell r="H904">
            <v>0</v>
          </cell>
          <cell r="I904">
            <v>0</v>
          </cell>
          <cell r="J904">
            <v>0</v>
          </cell>
          <cell r="K904">
            <v>0</v>
          </cell>
          <cell r="L904">
            <v>0</v>
          </cell>
          <cell r="M904">
            <v>0</v>
          </cell>
          <cell r="N904">
            <v>0</v>
          </cell>
          <cell r="O904">
            <v>0</v>
          </cell>
        </row>
        <row r="905">
          <cell r="B905">
            <v>0</v>
          </cell>
          <cell r="C905">
            <v>0</v>
          </cell>
          <cell r="D905">
            <v>0</v>
          </cell>
          <cell r="E905">
            <v>0</v>
          </cell>
          <cell r="G905">
            <v>0</v>
          </cell>
          <cell r="H905">
            <v>0</v>
          </cell>
          <cell r="I905">
            <v>0</v>
          </cell>
          <cell r="J905">
            <v>0</v>
          </cell>
          <cell r="K905">
            <v>0</v>
          </cell>
          <cell r="L905">
            <v>0</v>
          </cell>
          <cell r="M905">
            <v>0</v>
          </cell>
          <cell r="N905">
            <v>0</v>
          </cell>
          <cell r="O905">
            <v>0</v>
          </cell>
        </row>
        <row r="906">
          <cell r="B906">
            <v>0</v>
          </cell>
          <cell r="C906">
            <v>0</v>
          </cell>
          <cell r="D906">
            <v>0</v>
          </cell>
          <cell r="E906">
            <v>0</v>
          </cell>
          <cell r="G906">
            <v>0</v>
          </cell>
          <cell r="H906">
            <v>0</v>
          </cell>
          <cell r="I906">
            <v>0</v>
          </cell>
          <cell r="J906">
            <v>0</v>
          </cell>
          <cell r="K906">
            <v>0</v>
          </cell>
          <cell r="L906">
            <v>0</v>
          </cell>
          <cell r="M906">
            <v>0</v>
          </cell>
          <cell r="N906">
            <v>0</v>
          </cell>
          <cell r="O906">
            <v>0</v>
          </cell>
        </row>
        <row r="907">
          <cell r="B907">
            <v>0</v>
          </cell>
          <cell r="C907">
            <v>0</v>
          </cell>
          <cell r="D907">
            <v>0</v>
          </cell>
          <cell r="E907">
            <v>0</v>
          </cell>
          <cell r="G907">
            <v>0</v>
          </cell>
          <cell r="H907">
            <v>0</v>
          </cell>
          <cell r="I907">
            <v>0</v>
          </cell>
          <cell r="J907">
            <v>0</v>
          </cell>
          <cell r="K907">
            <v>0</v>
          </cell>
          <cell r="L907">
            <v>0</v>
          </cell>
          <cell r="M907">
            <v>0</v>
          </cell>
          <cell r="N907">
            <v>0</v>
          </cell>
          <cell r="O907">
            <v>0</v>
          </cell>
        </row>
        <row r="908">
          <cell r="B908">
            <v>0</v>
          </cell>
          <cell r="C908">
            <v>0</v>
          </cell>
          <cell r="D908">
            <v>0</v>
          </cell>
          <cell r="E908">
            <v>0</v>
          </cell>
          <cell r="G908">
            <v>0</v>
          </cell>
          <cell r="H908">
            <v>0</v>
          </cell>
          <cell r="I908">
            <v>0</v>
          </cell>
          <cell r="J908">
            <v>0</v>
          </cell>
          <cell r="K908">
            <v>0</v>
          </cell>
          <cell r="L908">
            <v>0</v>
          </cell>
          <cell r="M908">
            <v>0</v>
          </cell>
          <cell r="N908">
            <v>0</v>
          </cell>
          <cell r="O908">
            <v>0</v>
          </cell>
        </row>
        <row r="909">
          <cell r="B909">
            <v>0</v>
          </cell>
          <cell r="C909">
            <v>0</v>
          </cell>
          <cell r="D909">
            <v>0</v>
          </cell>
          <cell r="E909">
            <v>0</v>
          </cell>
          <cell r="G909">
            <v>0</v>
          </cell>
          <cell r="H909">
            <v>0</v>
          </cell>
          <cell r="I909">
            <v>0</v>
          </cell>
          <cell r="J909">
            <v>0</v>
          </cell>
          <cell r="K909">
            <v>0</v>
          </cell>
          <cell r="L909">
            <v>0</v>
          </cell>
          <cell r="M909">
            <v>0</v>
          </cell>
          <cell r="N909">
            <v>0</v>
          </cell>
          <cell r="O909">
            <v>0</v>
          </cell>
        </row>
        <row r="910">
          <cell r="B910">
            <v>0</v>
          </cell>
          <cell r="C910">
            <v>0</v>
          </cell>
          <cell r="D910">
            <v>0</v>
          </cell>
          <cell r="E910">
            <v>0</v>
          </cell>
          <cell r="G910">
            <v>0</v>
          </cell>
          <cell r="H910">
            <v>0</v>
          </cell>
          <cell r="I910">
            <v>0</v>
          </cell>
          <cell r="J910">
            <v>0</v>
          </cell>
          <cell r="K910">
            <v>0</v>
          </cell>
          <cell r="L910">
            <v>0</v>
          </cell>
          <cell r="M910">
            <v>0</v>
          </cell>
          <cell r="N910">
            <v>0</v>
          </cell>
          <cell r="O910">
            <v>0</v>
          </cell>
        </row>
        <row r="911">
          <cell r="B911">
            <v>0</v>
          </cell>
          <cell r="C911">
            <v>0</v>
          </cell>
          <cell r="D911">
            <v>0</v>
          </cell>
          <cell r="E911">
            <v>0</v>
          </cell>
          <cell r="G911">
            <v>0</v>
          </cell>
          <cell r="H911">
            <v>0</v>
          </cell>
          <cell r="I911">
            <v>0</v>
          </cell>
          <cell r="J911">
            <v>0</v>
          </cell>
          <cell r="K911">
            <v>0</v>
          </cell>
          <cell r="L911">
            <v>0</v>
          </cell>
          <cell r="M911">
            <v>0</v>
          </cell>
          <cell r="N911">
            <v>0</v>
          </cell>
          <cell r="O911">
            <v>0</v>
          </cell>
        </row>
        <row r="912">
          <cell r="B912">
            <v>0</v>
          </cell>
          <cell r="C912">
            <v>0</v>
          </cell>
          <cell r="D912">
            <v>0</v>
          </cell>
          <cell r="E912">
            <v>0</v>
          </cell>
          <cell r="G912">
            <v>0</v>
          </cell>
          <cell r="H912">
            <v>0</v>
          </cell>
          <cell r="I912">
            <v>0</v>
          </cell>
          <cell r="J912">
            <v>0</v>
          </cell>
          <cell r="K912">
            <v>0</v>
          </cell>
          <cell r="L912">
            <v>0</v>
          </cell>
          <cell r="M912">
            <v>0</v>
          </cell>
          <cell r="N912">
            <v>0</v>
          </cell>
          <cell r="O912">
            <v>0</v>
          </cell>
        </row>
        <row r="913">
          <cell r="B913">
            <v>0</v>
          </cell>
          <cell r="C913">
            <v>0</v>
          </cell>
          <cell r="D913">
            <v>0</v>
          </cell>
          <cell r="E913">
            <v>0</v>
          </cell>
          <cell r="G913">
            <v>0</v>
          </cell>
          <cell r="H913">
            <v>0</v>
          </cell>
          <cell r="I913">
            <v>0</v>
          </cell>
          <cell r="J913">
            <v>0</v>
          </cell>
          <cell r="K913">
            <v>0</v>
          </cell>
          <cell r="L913">
            <v>0</v>
          </cell>
          <cell r="M913">
            <v>0</v>
          </cell>
          <cell r="N913">
            <v>0</v>
          </cell>
          <cell r="O913">
            <v>0</v>
          </cell>
        </row>
        <row r="914">
          <cell r="B914">
            <v>0</v>
          </cell>
          <cell r="C914">
            <v>0</v>
          </cell>
          <cell r="D914">
            <v>0</v>
          </cell>
          <cell r="E914">
            <v>0</v>
          </cell>
          <cell r="G914">
            <v>0</v>
          </cell>
          <cell r="H914">
            <v>0</v>
          </cell>
          <cell r="I914">
            <v>0</v>
          </cell>
          <cell r="J914">
            <v>0</v>
          </cell>
          <cell r="K914">
            <v>0</v>
          </cell>
          <cell r="L914">
            <v>0</v>
          </cell>
          <cell r="M914">
            <v>0</v>
          </cell>
          <cell r="N914">
            <v>0</v>
          </cell>
          <cell r="O914">
            <v>0</v>
          </cell>
        </row>
        <row r="915">
          <cell r="B915">
            <v>0</v>
          </cell>
          <cell r="C915">
            <v>0</v>
          </cell>
          <cell r="D915">
            <v>0</v>
          </cell>
          <cell r="E915">
            <v>0</v>
          </cell>
          <cell r="G915">
            <v>0</v>
          </cell>
          <cell r="H915">
            <v>0</v>
          </cell>
          <cell r="I915">
            <v>0</v>
          </cell>
          <cell r="J915">
            <v>0</v>
          </cell>
          <cell r="K915">
            <v>0</v>
          </cell>
          <cell r="L915">
            <v>0</v>
          </cell>
          <cell r="M915">
            <v>0</v>
          </cell>
          <cell r="N915">
            <v>0</v>
          </cell>
          <cell r="O915">
            <v>0</v>
          </cell>
        </row>
        <row r="916">
          <cell r="B916">
            <v>0</v>
          </cell>
          <cell r="C916">
            <v>0</v>
          </cell>
          <cell r="D916">
            <v>0</v>
          </cell>
          <cell r="E916">
            <v>0</v>
          </cell>
          <cell r="G916">
            <v>0</v>
          </cell>
          <cell r="H916">
            <v>0</v>
          </cell>
          <cell r="I916">
            <v>0</v>
          </cell>
          <cell r="J916">
            <v>0</v>
          </cell>
          <cell r="K916">
            <v>0</v>
          </cell>
          <cell r="L916">
            <v>0</v>
          </cell>
          <cell r="M916">
            <v>0</v>
          </cell>
          <cell r="N916">
            <v>0</v>
          </cell>
          <cell r="O916">
            <v>0</v>
          </cell>
        </row>
        <row r="917">
          <cell r="B917">
            <v>0</v>
          </cell>
          <cell r="C917">
            <v>0</v>
          </cell>
          <cell r="D917">
            <v>0</v>
          </cell>
          <cell r="E917">
            <v>0</v>
          </cell>
          <cell r="G917">
            <v>0</v>
          </cell>
          <cell r="H917">
            <v>0</v>
          </cell>
          <cell r="I917">
            <v>0</v>
          </cell>
          <cell r="J917">
            <v>0</v>
          </cell>
          <cell r="K917">
            <v>0</v>
          </cell>
          <cell r="L917">
            <v>0</v>
          </cell>
          <cell r="M917">
            <v>0</v>
          </cell>
          <cell r="N917">
            <v>0</v>
          </cell>
          <cell r="O917">
            <v>0</v>
          </cell>
        </row>
        <row r="918">
          <cell r="B918">
            <v>0</v>
          </cell>
          <cell r="C918">
            <v>0</v>
          </cell>
          <cell r="D918">
            <v>0</v>
          </cell>
          <cell r="E918">
            <v>0</v>
          </cell>
          <cell r="G918">
            <v>0</v>
          </cell>
          <cell r="H918">
            <v>0</v>
          </cell>
          <cell r="I918">
            <v>0</v>
          </cell>
          <cell r="J918">
            <v>0</v>
          </cell>
          <cell r="K918">
            <v>0</v>
          </cell>
          <cell r="L918">
            <v>0</v>
          </cell>
          <cell r="M918">
            <v>0</v>
          </cell>
          <cell r="N918">
            <v>0</v>
          </cell>
          <cell r="O918">
            <v>0</v>
          </cell>
        </row>
        <row r="919">
          <cell r="B919">
            <v>0</v>
          </cell>
          <cell r="C919">
            <v>0</v>
          </cell>
          <cell r="D919">
            <v>0</v>
          </cell>
          <cell r="E919">
            <v>0</v>
          </cell>
          <cell r="G919">
            <v>0</v>
          </cell>
          <cell r="H919">
            <v>0</v>
          </cell>
          <cell r="I919">
            <v>0</v>
          </cell>
          <cell r="J919">
            <v>0</v>
          </cell>
          <cell r="K919">
            <v>0</v>
          </cell>
          <cell r="L919">
            <v>0</v>
          </cell>
          <cell r="M919">
            <v>0</v>
          </cell>
          <cell r="N919">
            <v>0</v>
          </cell>
          <cell r="O919">
            <v>0</v>
          </cell>
        </row>
        <row r="920">
          <cell r="B920">
            <v>0</v>
          </cell>
          <cell r="C920">
            <v>0</v>
          </cell>
          <cell r="D920">
            <v>0</v>
          </cell>
          <cell r="E920">
            <v>0</v>
          </cell>
          <cell r="G920">
            <v>0</v>
          </cell>
          <cell r="H920">
            <v>0</v>
          </cell>
          <cell r="I920">
            <v>0</v>
          </cell>
          <cell r="J920">
            <v>0</v>
          </cell>
          <cell r="K920">
            <v>0</v>
          </cell>
          <cell r="L920">
            <v>0</v>
          </cell>
          <cell r="M920">
            <v>0</v>
          </cell>
          <cell r="N920">
            <v>0</v>
          </cell>
          <cell r="O920">
            <v>0</v>
          </cell>
        </row>
        <row r="921">
          <cell r="B921">
            <v>0</v>
          </cell>
          <cell r="C921">
            <v>0</v>
          </cell>
          <cell r="D921">
            <v>0</v>
          </cell>
          <cell r="E921">
            <v>0</v>
          </cell>
          <cell r="G921">
            <v>0</v>
          </cell>
          <cell r="H921">
            <v>0</v>
          </cell>
          <cell r="I921">
            <v>0</v>
          </cell>
          <cell r="J921">
            <v>0</v>
          </cell>
          <cell r="K921">
            <v>0</v>
          </cell>
          <cell r="L921">
            <v>0</v>
          </cell>
          <cell r="M921">
            <v>0</v>
          </cell>
          <cell r="N921">
            <v>0</v>
          </cell>
          <cell r="O921">
            <v>0</v>
          </cell>
        </row>
        <row r="922">
          <cell r="B922">
            <v>0</v>
          </cell>
          <cell r="C922">
            <v>0</v>
          </cell>
          <cell r="D922">
            <v>0</v>
          </cell>
          <cell r="E922">
            <v>0</v>
          </cell>
          <cell r="G922">
            <v>0</v>
          </cell>
          <cell r="H922">
            <v>0</v>
          </cell>
          <cell r="I922">
            <v>0</v>
          </cell>
          <cell r="J922">
            <v>0</v>
          </cell>
          <cell r="K922">
            <v>0</v>
          </cell>
          <cell r="L922">
            <v>0</v>
          </cell>
          <cell r="M922">
            <v>0</v>
          </cell>
          <cell r="N922">
            <v>0</v>
          </cell>
          <cell r="O922">
            <v>0</v>
          </cell>
        </row>
        <row r="923">
          <cell r="B923">
            <v>0</v>
          </cell>
          <cell r="C923">
            <v>0</v>
          </cell>
          <cell r="D923">
            <v>0</v>
          </cell>
          <cell r="E923">
            <v>0</v>
          </cell>
          <cell r="G923">
            <v>0</v>
          </cell>
          <cell r="H923">
            <v>0</v>
          </cell>
          <cell r="I923">
            <v>0</v>
          </cell>
          <cell r="J923">
            <v>0</v>
          </cell>
          <cell r="K923">
            <v>0</v>
          </cell>
          <cell r="L923">
            <v>0</v>
          </cell>
          <cell r="M923">
            <v>0</v>
          </cell>
          <cell r="N923">
            <v>0</v>
          </cell>
          <cell r="O923">
            <v>0</v>
          </cell>
        </row>
        <row r="924">
          <cell r="B924">
            <v>0</v>
          </cell>
          <cell r="C924">
            <v>0</v>
          </cell>
          <cell r="D924">
            <v>0</v>
          </cell>
          <cell r="E924">
            <v>0</v>
          </cell>
          <cell r="G924">
            <v>0</v>
          </cell>
          <cell r="H924">
            <v>0</v>
          </cell>
          <cell r="I924">
            <v>0</v>
          </cell>
          <cell r="J924">
            <v>0</v>
          </cell>
          <cell r="K924">
            <v>0</v>
          </cell>
          <cell r="L924">
            <v>0</v>
          </cell>
          <cell r="M924">
            <v>0</v>
          </cell>
          <cell r="N924">
            <v>0</v>
          </cell>
          <cell r="O924">
            <v>0</v>
          </cell>
        </row>
        <row r="925">
          <cell r="B925">
            <v>0</v>
          </cell>
          <cell r="C925">
            <v>0</v>
          </cell>
          <cell r="D925">
            <v>0</v>
          </cell>
          <cell r="E925">
            <v>0</v>
          </cell>
          <cell r="G925">
            <v>0</v>
          </cell>
          <cell r="H925">
            <v>0</v>
          </cell>
          <cell r="I925">
            <v>0</v>
          </cell>
          <cell r="J925">
            <v>0</v>
          </cell>
          <cell r="K925">
            <v>0</v>
          </cell>
          <cell r="L925">
            <v>0</v>
          </cell>
          <cell r="M925">
            <v>0</v>
          </cell>
          <cell r="N925">
            <v>0</v>
          </cell>
          <cell r="O925">
            <v>0</v>
          </cell>
        </row>
        <row r="926">
          <cell r="B926">
            <v>0</v>
          </cell>
          <cell r="C926">
            <v>0</v>
          </cell>
          <cell r="D926">
            <v>0</v>
          </cell>
          <cell r="E926">
            <v>0</v>
          </cell>
          <cell r="G926">
            <v>0</v>
          </cell>
          <cell r="H926">
            <v>0</v>
          </cell>
          <cell r="I926">
            <v>0</v>
          </cell>
          <cell r="J926">
            <v>0</v>
          </cell>
          <cell r="K926">
            <v>0</v>
          </cell>
          <cell r="L926">
            <v>0</v>
          </cell>
          <cell r="M926">
            <v>0</v>
          </cell>
          <cell r="N926">
            <v>0</v>
          </cell>
          <cell r="O926">
            <v>0</v>
          </cell>
        </row>
        <row r="927">
          <cell r="B927">
            <v>0</v>
          </cell>
          <cell r="C927">
            <v>0</v>
          </cell>
          <cell r="D927">
            <v>0</v>
          </cell>
          <cell r="E927">
            <v>0</v>
          </cell>
          <cell r="G927">
            <v>0</v>
          </cell>
          <cell r="H927">
            <v>0</v>
          </cell>
          <cell r="I927">
            <v>0</v>
          </cell>
          <cell r="J927">
            <v>0</v>
          </cell>
          <cell r="K927">
            <v>0</v>
          </cell>
          <cell r="L927">
            <v>0</v>
          </cell>
          <cell r="M927">
            <v>0</v>
          </cell>
          <cell r="N927">
            <v>0</v>
          </cell>
          <cell r="O927">
            <v>0</v>
          </cell>
        </row>
        <row r="928">
          <cell r="B928">
            <v>0</v>
          </cell>
          <cell r="C928">
            <v>0</v>
          </cell>
          <cell r="D928">
            <v>0</v>
          </cell>
          <cell r="E928">
            <v>0</v>
          </cell>
          <cell r="G928">
            <v>0</v>
          </cell>
          <cell r="H928">
            <v>0</v>
          </cell>
          <cell r="I928">
            <v>0</v>
          </cell>
          <cell r="J928">
            <v>0</v>
          </cell>
          <cell r="K928">
            <v>0</v>
          </cell>
          <cell r="L928">
            <v>0</v>
          </cell>
          <cell r="M928">
            <v>0</v>
          </cell>
          <cell r="N928">
            <v>0</v>
          </cell>
          <cell r="O928">
            <v>0</v>
          </cell>
        </row>
        <row r="929">
          <cell r="B929">
            <v>0</v>
          </cell>
          <cell r="C929">
            <v>0</v>
          </cell>
          <cell r="D929">
            <v>0</v>
          </cell>
          <cell r="E929">
            <v>0</v>
          </cell>
          <cell r="G929">
            <v>0</v>
          </cell>
          <cell r="H929">
            <v>0</v>
          </cell>
          <cell r="I929">
            <v>0</v>
          </cell>
          <cell r="J929">
            <v>0</v>
          </cell>
          <cell r="K929">
            <v>0</v>
          </cell>
          <cell r="L929">
            <v>0</v>
          </cell>
          <cell r="M929">
            <v>0</v>
          </cell>
          <cell r="N929">
            <v>0</v>
          </cell>
          <cell r="O929">
            <v>0</v>
          </cell>
        </row>
        <row r="930">
          <cell r="B930">
            <v>0</v>
          </cell>
          <cell r="C930">
            <v>0</v>
          </cell>
          <cell r="D930">
            <v>0</v>
          </cell>
          <cell r="E930">
            <v>0</v>
          </cell>
          <cell r="G930">
            <v>0</v>
          </cell>
          <cell r="H930">
            <v>0</v>
          </cell>
          <cell r="I930">
            <v>0</v>
          </cell>
          <cell r="J930">
            <v>0</v>
          </cell>
          <cell r="K930">
            <v>0</v>
          </cell>
          <cell r="L930">
            <v>0</v>
          </cell>
          <cell r="M930">
            <v>0</v>
          </cell>
          <cell r="N930">
            <v>0</v>
          </cell>
          <cell r="O930">
            <v>0</v>
          </cell>
        </row>
        <row r="931">
          <cell r="B931">
            <v>0</v>
          </cell>
          <cell r="C931">
            <v>0</v>
          </cell>
          <cell r="D931">
            <v>0</v>
          </cell>
          <cell r="E931">
            <v>0</v>
          </cell>
          <cell r="G931">
            <v>0</v>
          </cell>
          <cell r="H931">
            <v>0</v>
          </cell>
          <cell r="I931">
            <v>0</v>
          </cell>
          <cell r="J931">
            <v>0</v>
          </cell>
          <cell r="K931">
            <v>0</v>
          </cell>
          <cell r="L931">
            <v>0</v>
          </cell>
          <cell r="M931">
            <v>0</v>
          </cell>
          <cell r="N931">
            <v>0</v>
          </cell>
          <cell r="O931">
            <v>0</v>
          </cell>
        </row>
        <row r="932">
          <cell r="B932">
            <v>0</v>
          </cell>
          <cell r="C932">
            <v>0</v>
          </cell>
          <cell r="D932">
            <v>0</v>
          </cell>
          <cell r="E932">
            <v>0</v>
          </cell>
          <cell r="G932">
            <v>0</v>
          </cell>
          <cell r="H932">
            <v>0</v>
          </cell>
          <cell r="I932">
            <v>0</v>
          </cell>
          <cell r="J932">
            <v>0</v>
          </cell>
          <cell r="K932">
            <v>0</v>
          </cell>
          <cell r="L932">
            <v>0</v>
          </cell>
          <cell r="M932">
            <v>0</v>
          </cell>
          <cell r="N932">
            <v>0</v>
          </cell>
          <cell r="O932">
            <v>0</v>
          </cell>
        </row>
        <row r="933">
          <cell r="B933">
            <v>0</v>
          </cell>
          <cell r="C933">
            <v>0</v>
          </cell>
          <cell r="D933">
            <v>0</v>
          </cell>
          <cell r="E933">
            <v>0</v>
          </cell>
          <cell r="G933">
            <v>0</v>
          </cell>
          <cell r="H933">
            <v>0</v>
          </cell>
          <cell r="I933">
            <v>0</v>
          </cell>
          <cell r="J933">
            <v>0</v>
          </cell>
          <cell r="K933">
            <v>0</v>
          </cell>
          <cell r="L933">
            <v>0</v>
          </cell>
          <cell r="M933">
            <v>0</v>
          </cell>
          <cell r="N933">
            <v>0</v>
          </cell>
          <cell r="O933">
            <v>0</v>
          </cell>
        </row>
        <row r="934">
          <cell r="B934">
            <v>0</v>
          </cell>
          <cell r="C934">
            <v>0</v>
          </cell>
          <cell r="D934">
            <v>0</v>
          </cell>
          <cell r="E934">
            <v>0</v>
          </cell>
          <cell r="G934">
            <v>0</v>
          </cell>
          <cell r="H934">
            <v>0</v>
          </cell>
          <cell r="I934">
            <v>0</v>
          </cell>
          <cell r="J934">
            <v>0</v>
          </cell>
          <cell r="K934">
            <v>0</v>
          </cell>
          <cell r="L934">
            <v>0</v>
          </cell>
          <cell r="M934">
            <v>0</v>
          </cell>
          <cell r="N934">
            <v>0</v>
          </cell>
          <cell r="O934">
            <v>0</v>
          </cell>
        </row>
        <row r="935">
          <cell r="B935">
            <v>0</v>
          </cell>
          <cell r="C935">
            <v>0</v>
          </cell>
          <cell r="D935">
            <v>0</v>
          </cell>
          <cell r="E935">
            <v>0</v>
          </cell>
          <cell r="G935">
            <v>0</v>
          </cell>
          <cell r="H935">
            <v>0</v>
          </cell>
          <cell r="I935">
            <v>0</v>
          </cell>
          <cell r="J935">
            <v>0</v>
          </cell>
          <cell r="K935">
            <v>0</v>
          </cell>
          <cell r="L935">
            <v>0</v>
          </cell>
          <cell r="M935">
            <v>0</v>
          </cell>
          <cell r="N935">
            <v>0</v>
          </cell>
          <cell r="O935">
            <v>0</v>
          </cell>
        </row>
        <row r="936">
          <cell r="B936">
            <v>0</v>
          </cell>
          <cell r="C936">
            <v>0</v>
          </cell>
          <cell r="D936">
            <v>0</v>
          </cell>
          <cell r="E936">
            <v>0</v>
          </cell>
          <cell r="G936">
            <v>0</v>
          </cell>
          <cell r="H936">
            <v>0</v>
          </cell>
          <cell r="I936">
            <v>0</v>
          </cell>
          <cell r="J936">
            <v>0</v>
          </cell>
          <cell r="K936">
            <v>0</v>
          </cell>
          <cell r="L936">
            <v>0</v>
          </cell>
          <cell r="M936">
            <v>0</v>
          </cell>
          <cell r="N936">
            <v>0</v>
          </cell>
          <cell r="O936">
            <v>0</v>
          </cell>
        </row>
        <row r="937">
          <cell r="B937">
            <v>0</v>
          </cell>
          <cell r="C937">
            <v>0</v>
          </cell>
          <cell r="D937">
            <v>0</v>
          </cell>
          <cell r="E937">
            <v>0</v>
          </cell>
          <cell r="G937">
            <v>0</v>
          </cell>
          <cell r="H937">
            <v>0</v>
          </cell>
          <cell r="I937">
            <v>0</v>
          </cell>
          <cell r="J937">
            <v>0</v>
          </cell>
          <cell r="K937">
            <v>0</v>
          </cell>
          <cell r="L937">
            <v>0</v>
          </cell>
          <cell r="M937">
            <v>0</v>
          </cell>
          <cell r="N937">
            <v>0</v>
          </cell>
          <cell r="O937">
            <v>0</v>
          </cell>
        </row>
        <row r="938">
          <cell r="B938">
            <v>0</v>
          </cell>
          <cell r="C938">
            <v>0</v>
          </cell>
          <cell r="D938">
            <v>0</v>
          </cell>
          <cell r="E938">
            <v>0</v>
          </cell>
          <cell r="G938">
            <v>0</v>
          </cell>
          <cell r="H938">
            <v>0</v>
          </cell>
          <cell r="I938">
            <v>0</v>
          </cell>
          <cell r="J938">
            <v>0</v>
          </cell>
          <cell r="K938">
            <v>0</v>
          </cell>
          <cell r="L938">
            <v>0</v>
          </cell>
          <cell r="M938">
            <v>0</v>
          </cell>
          <cell r="N938">
            <v>0</v>
          </cell>
          <cell r="O938">
            <v>0</v>
          </cell>
        </row>
        <row r="939">
          <cell r="B939">
            <v>0</v>
          </cell>
          <cell r="C939">
            <v>0</v>
          </cell>
          <cell r="D939">
            <v>0</v>
          </cell>
          <cell r="E939">
            <v>0</v>
          </cell>
          <cell r="G939">
            <v>0</v>
          </cell>
          <cell r="H939">
            <v>0</v>
          </cell>
          <cell r="I939">
            <v>0</v>
          </cell>
          <cell r="J939">
            <v>0</v>
          </cell>
          <cell r="K939">
            <v>0</v>
          </cell>
          <cell r="L939">
            <v>0</v>
          </cell>
          <cell r="M939">
            <v>0</v>
          </cell>
          <cell r="N939">
            <v>0</v>
          </cell>
          <cell r="O939">
            <v>0</v>
          </cell>
        </row>
        <row r="940">
          <cell r="B940">
            <v>0</v>
          </cell>
          <cell r="C940">
            <v>0</v>
          </cell>
          <cell r="D940">
            <v>0</v>
          </cell>
          <cell r="E940">
            <v>0</v>
          </cell>
          <cell r="G940">
            <v>0</v>
          </cell>
          <cell r="H940">
            <v>0</v>
          </cell>
          <cell r="I940">
            <v>0</v>
          </cell>
          <cell r="J940">
            <v>0</v>
          </cell>
          <cell r="K940">
            <v>0</v>
          </cell>
          <cell r="L940">
            <v>0</v>
          </cell>
          <cell r="M940">
            <v>0</v>
          </cell>
          <cell r="N940">
            <v>0</v>
          </cell>
          <cell r="O940">
            <v>0</v>
          </cell>
        </row>
        <row r="941">
          <cell r="B941">
            <v>0</v>
          </cell>
          <cell r="C941">
            <v>0</v>
          </cell>
          <cell r="D941">
            <v>0</v>
          </cell>
          <cell r="E941">
            <v>0</v>
          </cell>
          <cell r="G941">
            <v>0</v>
          </cell>
          <cell r="H941">
            <v>0</v>
          </cell>
          <cell r="I941">
            <v>0</v>
          </cell>
          <cell r="J941">
            <v>0</v>
          </cell>
          <cell r="K941">
            <v>0</v>
          </cell>
          <cell r="L941">
            <v>0</v>
          </cell>
          <cell r="M941">
            <v>0</v>
          </cell>
          <cell r="N941">
            <v>0</v>
          </cell>
          <cell r="O941">
            <v>0</v>
          </cell>
        </row>
        <row r="942">
          <cell r="B942">
            <v>0</v>
          </cell>
          <cell r="C942">
            <v>0</v>
          </cell>
          <cell r="D942">
            <v>0</v>
          </cell>
          <cell r="E942">
            <v>0</v>
          </cell>
          <cell r="G942">
            <v>0</v>
          </cell>
          <cell r="H942">
            <v>0</v>
          </cell>
          <cell r="I942">
            <v>0</v>
          </cell>
          <cell r="J942">
            <v>0</v>
          </cell>
          <cell r="K942">
            <v>0</v>
          </cell>
          <cell r="L942">
            <v>0</v>
          </cell>
          <cell r="M942">
            <v>0</v>
          </cell>
          <cell r="N942">
            <v>0</v>
          </cell>
          <cell r="O942">
            <v>0</v>
          </cell>
        </row>
        <row r="943">
          <cell r="B943">
            <v>0</v>
          </cell>
          <cell r="C943">
            <v>0</v>
          </cell>
          <cell r="D943">
            <v>0</v>
          </cell>
          <cell r="E943">
            <v>0</v>
          </cell>
          <cell r="G943">
            <v>0</v>
          </cell>
          <cell r="H943">
            <v>0</v>
          </cell>
          <cell r="I943">
            <v>0</v>
          </cell>
          <cell r="J943">
            <v>0</v>
          </cell>
          <cell r="K943">
            <v>0</v>
          </cell>
          <cell r="L943">
            <v>0</v>
          </cell>
          <cell r="M943">
            <v>0</v>
          </cell>
          <cell r="N943">
            <v>0</v>
          </cell>
          <cell r="O943">
            <v>0</v>
          </cell>
        </row>
        <row r="944">
          <cell r="B944">
            <v>0</v>
          </cell>
          <cell r="C944">
            <v>0</v>
          </cell>
          <cell r="D944">
            <v>0</v>
          </cell>
          <cell r="E944">
            <v>0</v>
          </cell>
          <cell r="G944">
            <v>0</v>
          </cell>
          <cell r="H944">
            <v>0</v>
          </cell>
          <cell r="I944">
            <v>0</v>
          </cell>
          <cell r="J944">
            <v>0</v>
          </cell>
          <cell r="K944">
            <v>0</v>
          </cell>
          <cell r="L944">
            <v>0</v>
          </cell>
          <cell r="M944">
            <v>0</v>
          </cell>
          <cell r="N944">
            <v>0</v>
          </cell>
          <cell r="O944">
            <v>0</v>
          </cell>
        </row>
        <row r="945">
          <cell r="B945">
            <v>0</v>
          </cell>
          <cell r="C945">
            <v>0</v>
          </cell>
          <cell r="D945">
            <v>0</v>
          </cell>
          <cell r="E945">
            <v>0</v>
          </cell>
          <cell r="G945">
            <v>0</v>
          </cell>
          <cell r="H945">
            <v>0</v>
          </cell>
          <cell r="I945">
            <v>0</v>
          </cell>
          <cell r="J945">
            <v>0</v>
          </cell>
          <cell r="K945">
            <v>0</v>
          </cell>
          <cell r="L945">
            <v>0</v>
          </cell>
          <cell r="M945">
            <v>0</v>
          </cell>
          <cell r="N945">
            <v>0</v>
          </cell>
          <cell r="O945">
            <v>0</v>
          </cell>
        </row>
        <row r="946">
          <cell r="B946">
            <v>0</v>
          </cell>
          <cell r="C946">
            <v>0</v>
          </cell>
          <cell r="D946">
            <v>0</v>
          </cell>
          <cell r="E946">
            <v>0</v>
          </cell>
          <cell r="G946">
            <v>0</v>
          </cell>
          <cell r="H946">
            <v>0</v>
          </cell>
          <cell r="I946">
            <v>0</v>
          </cell>
          <cell r="J946">
            <v>0</v>
          </cell>
          <cell r="K946">
            <v>0</v>
          </cell>
          <cell r="L946">
            <v>0</v>
          </cell>
          <cell r="M946">
            <v>0</v>
          </cell>
          <cell r="N946">
            <v>0</v>
          </cell>
          <cell r="O946">
            <v>0</v>
          </cell>
        </row>
        <row r="947">
          <cell r="B947">
            <v>0</v>
          </cell>
          <cell r="C947">
            <v>0</v>
          </cell>
          <cell r="D947">
            <v>0</v>
          </cell>
          <cell r="E947">
            <v>0</v>
          </cell>
          <cell r="G947">
            <v>0</v>
          </cell>
          <cell r="H947">
            <v>0</v>
          </cell>
          <cell r="I947">
            <v>0</v>
          </cell>
          <cell r="J947">
            <v>0</v>
          </cell>
          <cell r="K947">
            <v>0</v>
          </cell>
          <cell r="L947">
            <v>0</v>
          </cell>
          <cell r="M947">
            <v>0</v>
          </cell>
          <cell r="N947">
            <v>0</v>
          </cell>
          <cell r="O947">
            <v>0</v>
          </cell>
        </row>
        <row r="948">
          <cell r="B948">
            <v>0</v>
          </cell>
          <cell r="C948">
            <v>0</v>
          </cell>
          <cell r="D948">
            <v>0</v>
          </cell>
          <cell r="E948">
            <v>0</v>
          </cell>
          <cell r="G948">
            <v>0</v>
          </cell>
          <cell r="H948">
            <v>0</v>
          </cell>
          <cell r="I948">
            <v>0</v>
          </cell>
          <cell r="J948">
            <v>0</v>
          </cell>
          <cell r="K948">
            <v>0</v>
          </cell>
          <cell r="L948">
            <v>0</v>
          </cell>
          <cell r="M948">
            <v>0</v>
          </cell>
          <cell r="N948">
            <v>0</v>
          </cell>
          <cell r="O948">
            <v>0</v>
          </cell>
        </row>
        <row r="949">
          <cell r="B949">
            <v>0</v>
          </cell>
          <cell r="C949">
            <v>0</v>
          </cell>
          <cell r="D949">
            <v>0</v>
          </cell>
          <cell r="E949">
            <v>0</v>
          </cell>
          <cell r="G949">
            <v>0</v>
          </cell>
          <cell r="H949">
            <v>0</v>
          </cell>
          <cell r="I949">
            <v>0</v>
          </cell>
          <cell r="J949">
            <v>0</v>
          </cell>
          <cell r="K949">
            <v>0</v>
          </cell>
          <cell r="L949">
            <v>0</v>
          </cell>
          <cell r="M949">
            <v>0</v>
          </cell>
          <cell r="N949">
            <v>0</v>
          </cell>
          <cell r="O949">
            <v>0</v>
          </cell>
        </row>
        <row r="950">
          <cell r="B950">
            <v>0</v>
          </cell>
          <cell r="C950">
            <v>0</v>
          </cell>
          <cell r="D950">
            <v>0</v>
          </cell>
          <cell r="E950">
            <v>0</v>
          </cell>
          <cell r="G950">
            <v>0</v>
          </cell>
          <cell r="H950">
            <v>0</v>
          </cell>
          <cell r="I950">
            <v>0</v>
          </cell>
          <cell r="J950">
            <v>0</v>
          </cell>
          <cell r="K950">
            <v>0</v>
          </cell>
          <cell r="L950">
            <v>0</v>
          </cell>
          <cell r="M950">
            <v>0</v>
          </cell>
          <cell r="N950">
            <v>0</v>
          </cell>
          <cell r="O950">
            <v>0</v>
          </cell>
        </row>
        <row r="951">
          <cell r="B951">
            <v>0</v>
          </cell>
          <cell r="C951">
            <v>0</v>
          </cell>
          <cell r="D951">
            <v>0</v>
          </cell>
          <cell r="E951">
            <v>0</v>
          </cell>
          <cell r="G951">
            <v>0</v>
          </cell>
          <cell r="H951">
            <v>0</v>
          </cell>
          <cell r="I951">
            <v>0</v>
          </cell>
          <cell r="J951">
            <v>0</v>
          </cell>
          <cell r="K951">
            <v>0</v>
          </cell>
          <cell r="L951">
            <v>0</v>
          </cell>
          <cell r="M951">
            <v>0</v>
          </cell>
          <cell r="N951">
            <v>0</v>
          </cell>
          <cell r="O951">
            <v>0</v>
          </cell>
        </row>
        <row r="952">
          <cell r="B952">
            <v>0</v>
          </cell>
          <cell r="C952">
            <v>0</v>
          </cell>
          <cell r="D952">
            <v>0</v>
          </cell>
          <cell r="E952">
            <v>0</v>
          </cell>
          <cell r="G952">
            <v>0</v>
          </cell>
          <cell r="H952">
            <v>0</v>
          </cell>
          <cell r="I952">
            <v>0</v>
          </cell>
          <cell r="J952">
            <v>0</v>
          </cell>
          <cell r="K952">
            <v>0</v>
          </cell>
          <cell r="L952">
            <v>0</v>
          </cell>
          <cell r="M952">
            <v>0</v>
          </cell>
          <cell r="N952">
            <v>0</v>
          </cell>
          <cell r="O952">
            <v>0</v>
          </cell>
        </row>
        <row r="953">
          <cell r="B953">
            <v>0</v>
          </cell>
          <cell r="C953">
            <v>0</v>
          </cell>
          <cell r="D953">
            <v>0</v>
          </cell>
          <cell r="E953">
            <v>0</v>
          </cell>
          <cell r="G953">
            <v>0</v>
          </cell>
          <cell r="H953">
            <v>0</v>
          </cell>
          <cell r="I953">
            <v>0</v>
          </cell>
          <cell r="J953">
            <v>0</v>
          </cell>
          <cell r="K953">
            <v>0</v>
          </cell>
          <cell r="L953">
            <v>0</v>
          </cell>
          <cell r="M953">
            <v>0</v>
          </cell>
          <cell r="N953">
            <v>0</v>
          </cell>
          <cell r="O953">
            <v>0</v>
          </cell>
        </row>
        <row r="954">
          <cell r="B954">
            <v>0</v>
          </cell>
          <cell r="C954">
            <v>0</v>
          </cell>
          <cell r="D954">
            <v>0</v>
          </cell>
          <cell r="E954">
            <v>0</v>
          </cell>
          <cell r="G954">
            <v>0</v>
          </cell>
          <cell r="H954">
            <v>0</v>
          </cell>
          <cell r="I954">
            <v>0</v>
          </cell>
          <cell r="J954">
            <v>0</v>
          </cell>
          <cell r="K954">
            <v>0</v>
          </cell>
          <cell r="L954">
            <v>0</v>
          </cell>
          <cell r="M954">
            <v>0</v>
          </cell>
          <cell r="N954">
            <v>0</v>
          </cell>
          <cell r="O954">
            <v>0</v>
          </cell>
        </row>
        <row r="955">
          <cell r="B955">
            <v>0</v>
          </cell>
          <cell r="C955">
            <v>0</v>
          </cell>
          <cell r="D955">
            <v>0</v>
          </cell>
          <cell r="E955">
            <v>0</v>
          </cell>
          <cell r="G955">
            <v>0</v>
          </cell>
          <cell r="H955">
            <v>0</v>
          </cell>
          <cell r="I955">
            <v>0</v>
          </cell>
          <cell r="J955">
            <v>0</v>
          </cell>
          <cell r="K955">
            <v>0</v>
          </cell>
          <cell r="L955">
            <v>0</v>
          </cell>
          <cell r="M955">
            <v>0</v>
          </cell>
          <cell r="N955">
            <v>0</v>
          </cell>
          <cell r="O955">
            <v>0</v>
          </cell>
        </row>
        <row r="956">
          <cell r="B956">
            <v>0</v>
          </cell>
          <cell r="C956">
            <v>0</v>
          </cell>
          <cell r="D956">
            <v>0</v>
          </cell>
          <cell r="E956">
            <v>0</v>
          </cell>
          <cell r="G956">
            <v>0</v>
          </cell>
          <cell r="H956">
            <v>0</v>
          </cell>
          <cell r="I956">
            <v>0</v>
          </cell>
          <cell r="J956">
            <v>0</v>
          </cell>
          <cell r="K956">
            <v>0</v>
          </cell>
          <cell r="L956">
            <v>0</v>
          </cell>
          <cell r="M956">
            <v>0</v>
          </cell>
          <cell r="N956">
            <v>0</v>
          </cell>
          <cell r="O956">
            <v>0</v>
          </cell>
        </row>
        <row r="957">
          <cell r="B957">
            <v>0</v>
          </cell>
          <cell r="C957">
            <v>0</v>
          </cell>
          <cell r="D957">
            <v>0</v>
          </cell>
          <cell r="E957">
            <v>0</v>
          </cell>
          <cell r="G957">
            <v>0</v>
          </cell>
          <cell r="H957">
            <v>0</v>
          </cell>
          <cell r="I957">
            <v>0</v>
          </cell>
          <cell r="J957">
            <v>0</v>
          </cell>
          <cell r="K957">
            <v>0</v>
          </cell>
          <cell r="L957">
            <v>0</v>
          </cell>
          <cell r="M957">
            <v>0</v>
          </cell>
          <cell r="N957">
            <v>0</v>
          </cell>
          <cell r="O957">
            <v>0</v>
          </cell>
        </row>
        <row r="958">
          <cell r="B958">
            <v>0</v>
          </cell>
          <cell r="C958">
            <v>0</v>
          </cell>
          <cell r="D958">
            <v>0</v>
          </cell>
          <cell r="E958">
            <v>0</v>
          </cell>
          <cell r="G958">
            <v>0</v>
          </cell>
          <cell r="H958">
            <v>0</v>
          </cell>
          <cell r="I958">
            <v>0</v>
          </cell>
          <cell r="J958">
            <v>0</v>
          </cell>
          <cell r="K958">
            <v>0</v>
          </cell>
          <cell r="L958">
            <v>0</v>
          </cell>
          <cell r="M958">
            <v>0</v>
          </cell>
          <cell r="N958">
            <v>0</v>
          </cell>
          <cell r="O958">
            <v>0</v>
          </cell>
        </row>
        <row r="959">
          <cell r="B959">
            <v>0</v>
          </cell>
          <cell r="C959">
            <v>0</v>
          </cell>
          <cell r="D959">
            <v>0</v>
          </cell>
          <cell r="E959">
            <v>0</v>
          </cell>
          <cell r="G959">
            <v>0</v>
          </cell>
          <cell r="H959">
            <v>0</v>
          </cell>
          <cell r="I959">
            <v>0</v>
          </cell>
          <cell r="J959">
            <v>0</v>
          </cell>
          <cell r="K959">
            <v>0</v>
          </cell>
          <cell r="L959">
            <v>0</v>
          </cell>
          <cell r="M959">
            <v>0</v>
          </cell>
          <cell r="N959">
            <v>0</v>
          </cell>
          <cell r="O959">
            <v>0</v>
          </cell>
        </row>
        <row r="960">
          <cell r="B960">
            <v>0</v>
          </cell>
          <cell r="C960">
            <v>0</v>
          </cell>
          <cell r="D960">
            <v>0</v>
          </cell>
          <cell r="E960">
            <v>0</v>
          </cell>
          <cell r="G960">
            <v>0</v>
          </cell>
          <cell r="H960">
            <v>0</v>
          </cell>
          <cell r="I960">
            <v>0</v>
          </cell>
          <cell r="J960">
            <v>0</v>
          </cell>
          <cell r="K960">
            <v>0</v>
          </cell>
          <cell r="L960">
            <v>0</v>
          </cell>
          <cell r="M960">
            <v>0</v>
          </cell>
          <cell r="N960">
            <v>0</v>
          </cell>
          <cell r="O960">
            <v>0</v>
          </cell>
        </row>
        <row r="961">
          <cell r="B961">
            <v>0</v>
          </cell>
          <cell r="C961">
            <v>0</v>
          </cell>
          <cell r="D961">
            <v>0</v>
          </cell>
          <cell r="E961">
            <v>0</v>
          </cell>
          <cell r="G961">
            <v>0</v>
          </cell>
          <cell r="H961">
            <v>0</v>
          </cell>
          <cell r="I961">
            <v>0</v>
          </cell>
          <cell r="J961">
            <v>0</v>
          </cell>
          <cell r="K961">
            <v>0</v>
          </cell>
          <cell r="L961">
            <v>0</v>
          </cell>
          <cell r="M961">
            <v>0</v>
          </cell>
          <cell r="N961">
            <v>0</v>
          </cell>
          <cell r="O961">
            <v>0</v>
          </cell>
        </row>
        <row r="962">
          <cell r="B962">
            <v>0</v>
          </cell>
          <cell r="C962">
            <v>0</v>
          </cell>
          <cell r="D962">
            <v>0</v>
          </cell>
          <cell r="E962">
            <v>0</v>
          </cell>
          <cell r="G962">
            <v>0</v>
          </cell>
          <cell r="H962">
            <v>0</v>
          </cell>
          <cell r="I962">
            <v>0</v>
          </cell>
          <cell r="J962">
            <v>0</v>
          </cell>
          <cell r="K962">
            <v>0</v>
          </cell>
          <cell r="L962">
            <v>0</v>
          </cell>
          <cell r="M962">
            <v>0</v>
          </cell>
          <cell r="N962">
            <v>0</v>
          </cell>
          <cell r="O962">
            <v>0</v>
          </cell>
        </row>
        <row r="963">
          <cell r="B963">
            <v>0</v>
          </cell>
          <cell r="C963">
            <v>0</v>
          </cell>
          <cell r="D963">
            <v>0</v>
          </cell>
          <cell r="E963">
            <v>0</v>
          </cell>
          <cell r="G963">
            <v>0</v>
          </cell>
          <cell r="H963">
            <v>0</v>
          </cell>
          <cell r="I963">
            <v>0</v>
          </cell>
          <cell r="J963">
            <v>0</v>
          </cell>
          <cell r="K963">
            <v>0</v>
          </cell>
          <cell r="L963">
            <v>0</v>
          </cell>
          <cell r="M963">
            <v>0</v>
          </cell>
          <cell r="N963">
            <v>0</v>
          </cell>
          <cell r="O963">
            <v>0</v>
          </cell>
        </row>
        <row r="964">
          <cell r="B964">
            <v>0</v>
          </cell>
          <cell r="C964">
            <v>0</v>
          </cell>
          <cell r="D964">
            <v>0</v>
          </cell>
          <cell r="E964">
            <v>0</v>
          </cell>
          <cell r="G964">
            <v>0</v>
          </cell>
          <cell r="H964">
            <v>0</v>
          </cell>
          <cell r="I964">
            <v>0</v>
          </cell>
          <cell r="J964">
            <v>0</v>
          </cell>
          <cell r="K964">
            <v>0</v>
          </cell>
          <cell r="L964">
            <v>0</v>
          </cell>
          <cell r="M964">
            <v>0</v>
          </cell>
          <cell r="N964">
            <v>0</v>
          </cell>
          <cell r="O964">
            <v>0</v>
          </cell>
        </row>
        <row r="965">
          <cell r="B965">
            <v>0</v>
          </cell>
          <cell r="C965">
            <v>0</v>
          </cell>
          <cell r="D965">
            <v>0</v>
          </cell>
          <cell r="E965">
            <v>0</v>
          </cell>
          <cell r="G965">
            <v>0</v>
          </cell>
          <cell r="H965">
            <v>0</v>
          </cell>
          <cell r="I965">
            <v>0</v>
          </cell>
          <cell r="J965">
            <v>0</v>
          </cell>
          <cell r="K965">
            <v>0</v>
          </cell>
          <cell r="L965">
            <v>0</v>
          </cell>
          <cell r="M965">
            <v>0</v>
          </cell>
          <cell r="N965">
            <v>0</v>
          </cell>
          <cell r="O965">
            <v>0</v>
          </cell>
        </row>
        <row r="966">
          <cell r="B966">
            <v>0</v>
          </cell>
          <cell r="C966">
            <v>0</v>
          </cell>
          <cell r="D966">
            <v>0</v>
          </cell>
          <cell r="E966">
            <v>0</v>
          </cell>
          <cell r="G966">
            <v>0</v>
          </cell>
          <cell r="H966">
            <v>0</v>
          </cell>
          <cell r="I966">
            <v>0</v>
          </cell>
          <cell r="J966">
            <v>0</v>
          </cell>
          <cell r="K966">
            <v>0</v>
          </cell>
          <cell r="L966">
            <v>0</v>
          </cell>
          <cell r="M966">
            <v>0</v>
          </cell>
          <cell r="N966">
            <v>0</v>
          </cell>
          <cell r="O966">
            <v>0</v>
          </cell>
        </row>
        <row r="967">
          <cell r="B967">
            <v>0</v>
          </cell>
          <cell r="C967">
            <v>0</v>
          </cell>
          <cell r="D967">
            <v>0</v>
          </cell>
          <cell r="E967">
            <v>0</v>
          </cell>
          <cell r="G967">
            <v>0</v>
          </cell>
          <cell r="H967">
            <v>0</v>
          </cell>
          <cell r="I967">
            <v>0</v>
          </cell>
          <cell r="J967">
            <v>0</v>
          </cell>
          <cell r="K967">
            <v>0</v>
          </cell>
          <cell r="L967">
            <v>0</v>
          </cell>
          <cell r="M967">
            <v>0</v>
          </cell>
          <cell r="N967">
            <v>0</v>
          </cell>
          <cell r="O967">
            <v>0</v>
          </cell>
        </row>
        <row r="968">
          <cell r="B968">
            <v>0</v>
          </cell>
          <cell r="C968">
            <v>0</v>
          </cell>
          <cell r="D968">
            <v>0</v>
          </cell>
          <cell r="E968">
            <v>0</v>
          </cell>
          <cell r="G968">
            <v>0</v>
          </cell>
          <cell r="H968">
            <v>0</v>
          </cell>
          <cell r="I968">
            <v>0</v>
          </cell>
          <cell r="J968">
            <v>0</v>
          </cell>
          <cell r="K968">
            <v>0</v>
          </cell>
          <cell r="L968">
            <v>0</v>
          </cell>
          <cell r="M968">
            <v>0</v>
          </cell>
          <cell r="N968">
            <v>0</v>
          </cell>
          <cell r="O968">
            <v>0</v>
          </cell>
        </row>
        <row r="969">
          <cell r="B969">
            <v>0</v>
          </cell>
          <cell r="C969">
            <v>0</v>
          </cell>
          <cell r="D969">
            <v>0</v>
          </cell>
          <cell r="E969">
            <v>0</v>
          </cell>
          <cell r="G969">
            <v>0</v>
          </cell>
          <cell r="H969">
            <v>0</v>
          </cell>
          <cell r="I969">
            <v>0</v>
          </cell>
          <cell r="J969">
            <v>0</v>
          </cell>
          <cell r="K969">
            <v>0</v>
          </cell>
          <cell r="L969">
            <v>0</v>
          </cell>
          <cell r="M969">
            <v>0</v>
          </cell>
          <cell r="N969">
            <v>0</v>
          </cell>
          <cell r="O969">
            <v>0</v>
          </cell>
        </row>
        <row r="970">
          <cell r="B970">
            <v>0</v>
          </cell>
          <cell r="C970">
            <v>0</v>
          </cell>
          <cell r="D970">
            <v>0</v>
          </cell>
          <cell r="E970">
            <v>0</v>
          </cell>
          <cell r="G970">
            <v>0</v>
          </cell>
          <cell r="H970">
            <v>0</v>
          </cell>
          <cell r="I970">
            <v>0</v>
          </cell>
          <cell r="J970">
            <v>0</v>
          </cell>
          <cell r="K970">
            <v>0</v>
          </cell>
          <cell r="L970">
            <v>0</v>
          </cell>
          <cell r="M970">
            <v>0</v>
          </cell>
          <cell r="N970">
            <v>0</v>
          </cell>
          <cell r="O970">
            <v>0</v>
          </cell>
        </row>
        <row r="971">
          <cell r="B971">
            <v>0</v>
          </cell>
          <cell r="C971">
            <v>0</v>
          </cell>
          <cell r="D971">
            <v>0</v>
          </cell>
          <cell r="E971">
            <v>0</v>
          </cell>
          <cell r="G971">
            <v>0</v>
          </cell>
          <cell r="H971">
            <v>0</v>
          </cell>
          <cell r="I971">
            <v>0</v>
          </cell>
          <cell r="J971">
            <v>0</v>
          </cell>
          <cell r="K971">
            <v>0</v>
          </cell>
          <cell r="L971">
            <v>0</v>
          </cell>
          <cell r="M971">
            <v>0</v>
          </cell>
          <cell r="N971">
            <v>0</v>
          </cell>
          <cell r="O971">
            <v>0</v>
          </cell>
        </row>
        <row r="972">
          <cell r="B972">
            <v>0</v>
          </cell>
          <cell r="C972">
            <v>0</v>
          </cell>
          <cell r="D972">
            <v>0</v>
          </cell>
          <cell r="E972">
            <v>0</v>
          </cell>
          <cell r="G972">
            <v>0</v>
          </cell>
          <cell r="H972">
            <v>0</v>
          </cell>
          <cell r="I972">
            <v>0</v>
          </cell>
          <cell r="J972">
            <v>0</v>
          </cell>
          <cell r="K972">
            <v>0</v>
          </cell>
          <cell r="L972">
            <v>0</v>
          </cell>
          <cell r="M972">
            <v>0</v>
          </cell>
          <cell r="N972">
            <v>0</v>
          </cell>
          <cell r="O972">
            <v>0</v>
          </cell>
        </row>
        <row r="973">
          <cell r="B973">
            <v>0</v>
          </cell>
          <cell r="C973">
            <v>0</v>
          </cell>
          <cell r="D973">
            <v>0</v>
          </cell>
          <cell r="E973">
            <v>0</v>
          </cell>
          <cell r="G973">
            <v>0</v>
          </cell>
          <cell r="H973">
            <v>0</v>
          </cell>
          <cell r="I973">
            <v>0</v>
          </cell>
          <cell r="J973">
            <v>0</v>
          </cell>
          <cell r="K973">
            <v>0</v>
          </cell>
          <cell r="L973">
            <v>0</v>
          </cell>
          <cell r="M973">
            <v>0</v>
          </cell>
          <cell r="N973">
            <v>0</v>
          </cell>
          <cell r="O973">
            <v>0</v>
          </cell>
        </row>
        <row r="974">
          <cell r="B974">
            <v>0</v>
          </cell>
          <cell r="C974">
            <v>0</v>
          </cell>
          <cell r="D974">
            <v>0</v>
          </cell>
          <cell r="E974">
            <v>0</v>
          </cell>
          <cell r="G974">
            <v>0</v>
          </cell>
          <cell r="H974">
            <v>0</v>
          </cell>
          <cell r="I974">
            <v>0</v>
          </cell>
          <cell r="J974">
            <v>0</v>
          </cell>
          <cell r="K974">
            <v>0</v>
          </cell>
          <cell r="L974">
            <v>0</v>
          </cell>
          <cell r="M974">
            <v>0</v>
          </cell>
          <cell r="N974">
            <v>0</v>
          </cell>
          <cell r="O974">
            <v>0</v>
          </cell>
        </row>
        <row r="975">
          <cell r="B975">
            <v>0</v>
          </cell>
          <cell r="C975">
            <v>0</v>
          </cell>
          <cell r="D975">
            <v>0</v>
          </cell>
          <cell r="E975">
            <v>0</v>
          </cell>
          <cell r="G975">
            <v>0</v>
          </cell>
          <cell r="H975">
            <v>0</v>
          </cell>
          <cell r="I975">
            <v>0</v>
          </cell>
          <cell r="J975">
            <v>0</v>
          </cell>
          <cell r="K975">
            <v>0</v>
          </cell>
          <cell r="L975">
            <v>0</v>
          </cell>
          <cell r="M975">
            <v>0</v>
          </cell>
          <cell r="N975">
            <v>0</v>
          </cell>
          <cell r="O975">
            <v>0</v>
          </cell>
        </row>
        <row r="976">
          <cell r="B976">
            <v>0</v>
          </cell>
          <cell r="C976">
            <v>0</v>
          </cell>
          <cell r="D976">
            <v>0</v>
          </cell>
          <cell r="E976">
            <v>0</v>
          </cell>
          <cell r="G976">
            <v>0</v>
          </cell>
          <cell r="H976">
            <v>0</v>
          </cell>
          <cell r="I976">
            <v>0</v>
          </cell>
          <cell r="J976">
            <v>0</v>
          </cell>
          <cell r="K976">
            <v>0</v>
          </cell>
          <cell r="L976">
            <v>0</v>
          </cell>
          <cell r="M976">
            <v>0</v>
          </cell>
          <cell r="N976">
            <v>0</v>
          </cell>
          <cell r="O976">
            <v>0</v>
          </cell>
        </row>
        <row r="977">
          <cell r="B977">
            <v>0</v>
          </cell>
          <cell r="C977">
            <v>0</v>
          </cell>
          <cell r="D977">
            <v>0</v>
          </cell>
          <cell r="E977">
            <v>0</v>
          </cell>
          <cell r="G977">
            <v>0</v>
          </cell>
          <cell r="H977">
            <v>0</v>
          </cell>
          <cell r="I977">
            <v>0</v>
          </cell>
          <cell r="J977">
            <v>0</v>
          </cell>
          <cell r="K977">
            <v>0</v>
          </cell>
          <cell r="L977">
            <v>0</v>
          </cell>
          <cell r="M977">
            <v>0</v>
          </cell>
          <cell r="N977">
            <v>0</v>
          </cell>
          <cell r="O977">
            <v>0</v>
          </cell>
        </row>
        <row r="978">
          <cell r="B978">
            <v>0</v>
          </cell>
          <cell r="C978">
            <v>0</v>
          </cell>
          <cell r="D978">
            <v>0</v>
          </cell>
          <cell r="E978">
            <v>0</v>
          </cell>
          <cell r="G978">
            <v>0</v>
          </cell>
          <cell r="H978">
            <v>0</v>
          </cell>
          <cell r="I978">
            <v>0</v>
          </cell>
          <cell r="J978">
            <v>0</v>
          </cell>
          <cell r="K978">
            <v>0</v>
          </cell>
          <cell r="L978">
            <v>0</v>
          </cell>
          <cell r="M978">
            <v>0</v>
          </cell>
          <cell r="N978">
            <v>0</v>
          </cell>
          <cell r="O978">
            <v>0</v>
          </cell>
        </row>
        <row r="979">
          <cell r="B979">
            <v>0</v>
          </cell>
          <cell r="C979">
            <v>0</v>
          </cell>
          <cell r="D979">
            <v>0</v>
          </cell>
          <cell r="E979">
            <v>0</v>
          </cell>
          <cell r="G979">
            <v>0</v>
          </cell>
          <cell r="H979">
            <v>0</v>
          </cell>
          <cell r="I979">
            <v>0</v>
          </cell>
          <cell r="J979">
            <v>0</v>
          </cell>
          <cell r="K979">
            <v>0</v>
          </cell>
          <cell r="L979">
            <v>0</v>
          </cell>
          <cell r="M979">
            <v>0</v>
          </cell>
          <cell r="N979">
            <v>0</v>
          </cell>
          <cell r="O979">
            <v>0</v>
          </cell>
        </row>
        <row r="980">
          <cell r="B980">
            <v>0</v>
          </cell>
          <cell r="C980">
            <v>0</v>
          </cell>
          <cell r="D980">
            <v>0</v>
          </cell>
          <cell r="E980">
            <v>0</v>
          </cell>
          <cell r="G980">
            <v>0</v>
          </cell>
          <cell r="H980">
            <v>0</v>
          </cell>
          <cell r="I980">
            <v>0</v>
          </cell>
          <cell r="J980">
            <v>0</v>
          </cell>
          <cell r="K980">
            <v>0</v>
          </cell>
          <cell r="L980">
            <v>0</v>
          </cell>
          <cell r="M980">
            <v>0</v>
          </cell>
          <cell r="N980">
            <v>0</v>
          </cell>
          <cell r="O980">
            <v>0</v>
          </cell>
        </row>
        <row r="981">
          <cell r="B981">
            <v>0</v>
          </cell>
          <cell r="C981">
            <v>0</v>
          </cell>
          <cell r="D981">
            <v>0</v>
          </cell>
          <cell r="E981">
            <v>0</v>
          </cell>
          <cell r="G981">
            <v>0</v>
          </cell>
          <cell r="H981">
            <v>0</v>
          </cell>
          <cell r="I981">
            <v>0</v>
          </cell>
          <cell r="J981">
            <v>0</v>
          </cell>
          <cell r="K981">
            <v>0</v>
          </cell>
          <cell r="L981">
            <v>0</v>
          </cell>
          <cell r="M981">
            <v>0</v>
          </cell>
          <cell r="N981">
            <v>0</v>
          </cell>
          <cell r="O981">
            <v>0</v>
          </cell>
        </row>
        <row r="982">
          <cell r="B982">
            <v>0</v>
          </cell>
          <cell r="C982">
            <v>0</v>
          </cell>
          <cell r="D982">
            <v>0</v>
          </cell>
          <cell r="E982">
            <v>0</v>
          </cell>
          <cell r="G982">
            <v>0</v>
          </cell>
          <cell r="H982">
            <v>0</v>
          </cell>
          <cell r="I982">
            <v>0</v>
          </cell>
          <cell r="J982">
            <v>0</v>
          </cell>
          <cell r="K982">
            <v>0</v>
          </cell>
          <cell r="L982">
            <v>0</v>
          </cell>
          <cell r="M982">
            <v>0</v>
          </cell>
          <cell r="N982">
            <v>0</v>
          </cell>
          <cell r="O982">
            <v>0</v>
          </cell>
        </row>
        <row r="983">
          <cell r="B983">
            <v>0</v>
          </cell>
          <cell r="C983">
            <v>0</v>
          </cell>
          <cell r="D983">
            <v>0</v>
          </cell>
          <cell r="E983">
            <v>0</v>
          </cell>
          <cell r="G983">
            <v>0</v>
          </cell>
          <cell r="H983">
            <v>0</v>
          </cell>
          <cell r="I983">
            <v>0</v>
          </cell>
          <cell r="J983">
            <v>0</v>
          </cell>
          <cell r="K983">
            <v>0</v>
          </cell>
          <cell r="L983">
            <v>0</v>
          </cell>
          <cell r="M983">
            <v>0</v>
          </cell>
          <cell r="N983">
            <v>0</v>
          </cell>
          <cell r="O983">
            <v>0</v>
          </cell>
        </row>
        <row r="984">
          <cell r="B984">
            <v>0</v>
          </cell>
          <cell r="C984">
            <v>0</v>
          </cell>
          <cell r="D984">
            <v>0</v>
          </cell>
          <cell r="E984">
            <v>0</v>
          </cell>
          <cell r="G984">
            <v>0</v>
          </cell>
          <cell r="H984">
            <v>0</v>
          </cell>
          <cell r="I984">
            <v>0</v>
          </cell>
          <cell r="J984">
            <v>0</v>
          </cell>
          <cell r="K984">
            <v>0</v>
          </cell>
          <cell r="L984">
            <v>0</v>
          </cell>
          <cell r="M984">
            <v>0</v>
          </cell>
          <cell r="N984">
            <v>0</v>
          </cell>
          <cell r="O984">
            <v>0</v>
          </cell>
        </row>
        <row r="985">
          <cell r="B985">
            <v>0</v>
          </cell>
          <cell r="C985">
            <v>0</v>
          </cell>
          <cell r="D985">
            <v>0</v>
          </cell>
          <cell r="E985">
            <v>0</v>
          </cell>
          <cell r="G985">
            <v>0</v>
          </cell>
          <cell r="H985">
            <v>0</v>
          </cell>
          <cell r="I985">
            <v>0</v>
          </cell>
          <cell r="J985">
            <v>0</v>
          </cell>
          <cell r="K985">
            <v>0</v>
          </cell>
          <cell r="L985">
            <v>0</v>
          </cell>
          <cell r="M985">
            <v>0</v>
          </cell>
          <cell r="N985">
            <v>0</v>
          </cell>
          <cell r="O985">
            <v>0</v>
          </cell>
        </row>
        <row r="986">
          <cell r="B986">
            <v>0</v>
          </cell>
          <cell r="C986">
            <v>0</v>
          </cell>
          <cell r="D986">
            <v>0</v>
          </cell>
          <cell r="E986">
            <v>0</v>
          </cell>
          <cell r="G986">
            <v>0</v>
          </cell>
          <cell r="H986">
            <v>0</v>
          </cell>
          <cell r="I986">
            <v>0</v>
          </cell>
          <cell r="J986">
            <v>0</v>
          </cell>
          <cell r="K986">
            <v>0</v>
          </cell>
          <cell r="L986">
            <v>0</v>
          </cell>
          <cell r="M986">
            <v>0</v>
          </cell>
          <cell r="N986">
            <v>0</v>
          </cell>
          <cell r="O986">
            <v>0</v>
          </cell>
        </row>
        <row r="987">
          <cell r="B987">
            <v>0</v>
          </cell>
          <cell r="C987">
            <v>0</v>
          </cell>
          <cell r="D987">
            <v>0</v>
          </cell>
          <cell r="E987">
            <v>0</v>
          </cell>
          <cell r="G987">
            <v>0</v>
          </cell>
          <cell r="H987">
            <v>0</v>
          </cell>
          <cell r="I987">
            <v>0</v>
          </cell>
          <cell r="J987">
            <v>0</v>
          </cell>
          <cell r="K987">
            <v>0</v>
          </cell>
          <cell r="L987">
            <v>0</v>
          </cell>
          <cell r="M987">
            <v>0</v>
          </cell>
          <cell r="N987">
            <v>0</v>
          </cell>
          <cell r="O987">
            <v>0</v>
          </cell>
        </row>
        <row r="988">
          <cell r="B988">
            <v>0</v>
          </cell>
          <cell r="C988">
            <v>0</v>
          </cell>
          <cell r="D988">
            <v>0</v>
          </cell>
          <cell r="E988">
            <v>0</v>
          </cell>
          <cell r="G988">
            <v>0</v>
          </cell>
          <cell r="H988">
            <v>0</v>
          </cell>
          <cell r="I988">
            <v>0</v>
          </cell>
          <cell r="J988">
            <v>0</v>
          </cell>
          <cell r="K988">
            <v>0</v>
          </cell>
          <cell r="L988">
            <v>0</v>
          </cell>
          <cell r="M988">
            <v>0</v>
          </cell>
          <cell r="N988">
            <v>0</v>
          </cell>
          <cell r="O988">
            <v>0</v>
          </cell>
        </row>
        <row r="989">
          <cell r="B989">
            <v>0</v>
          </cell>
          <cell r="C989">
            <v>0</v>
          </cell>
          <cell r="D989">
            <v>0</v>
          </cell>
          <cell r="E989">
            <v>0</v>
          </cell>
          <cell r="G989">
            <v>0</v>
          </cell>
          <cell r="H989">
            <v>0</v>
          </cell>
          <cell r="I989">
            <v>0</v>
          </cell>
          <cell r="J989">
            <v>0</v>
          </cell>
          <cell r="K989">
            <v>0</v>
          </cell>
          <cell r="L989">
            <v>0</v>
          </cell>
          <cell r="M989">
            <v>0</v>
          </cell>
          <cell r="N989">
            <v>0</v>
          </cell>
          <cell r="O989">
            <v>0</v>
          </cell>
        </row>
        <row r="990">
          <cell r="B990">
            <v>0</v>
          </cell>
          <cell r="C990">
            <v>0</v>
          </cell>
          <cell r="D990">
            <v>0</v>
          </cell>
          <cell r="E990">
            <v>0</v>
          </cell>
          <cell r="G990">
            <v>0</v>
          </cell>
          <cell r="H990">
            <v>0</v>
          </cell>
          <cell r="I990">
            <v>0</v>
          </cell>
          <cell r="J990">
            <v>0</v>
          </cell>
          <cell r="K990">
            <v>0</v>
          </cell>
          <cell r="L990">
            <v>0</v>
          </cell>
          <cell r="M990">
            <v>0</v>
          </cell>
          <cell r="N990">
            <v>0</v>
          </cell>
          <cell r="O990">
            <v>0</v>
          </cell>
        </row>
        <row r="991">
          <cell r="B991">
            <v>0</v>
          </cell>
          <cell r="C991">
            <v>0</v>
          </cell>
          <cell r="D991">
            <v>0</v>
          </cell>
          <cell r="E991">
            <v>0</v>
          </cell>
          <cell r="G991">
            <v>0</v>
          </cell>
          <cell r="H991">
            <v>0</v>
          </cell>
          <cell r="I991">
            <v>0</v>
          </cell>
          <cell r="J991">
            <v>0</v>
          </cell>
          <cell r="K991">
            <v>0</v>
          </cell>
          <cell r="L991">
            <v>0</v>
          </cell>
          <cell r="M991">
            <v>0</v>
          </cell>
          <cell r="N991">
            <v>0</v>
          </cell>
          <cell r="O991">
            <v>0</v>
          </cell>
        </row>
        <row r="992">
          <cell r="B992">
            <v>0</v>
          </cell>
          <cell r="C992">
            <v>0</v>
          </cell>
          <cell r="D992">
            <v>0</v>
          </cell>
          <cell r="E992">
            <v>0</v>
          </cell>
          <cell r="G992">
            <v>0</v>
          </cell>
          <cell r="H992">
            <v>0</v>
          </cell>
          <cell r="I992">
            <v>0</v>
          </cell>
          <cell r="J992">
            <v>0</v>
          </cell>
          <cell r="K992">
            <v>0</v>
          </cell>
          <cell r="L992">
            <v>0</v>
          </cell>
          <cell r="M992">
            <v>0</v>
          </cell>
          <cell r="N992">
            <v>0</v>
          </cell>
          <cell r="O992">
            <v>0</v>
          </cell>
        </row>
        <row r="993">
          <cell r="B993">
            <v>0</v>
          </cell>
          <cell r="C993">
            <v>0</v>
          </cell>
          <cell r="D993">
            <v>0</v>
          </cell>
          <cell r="E993">
            <v>0</v>
          </cell>
          <cell r="G993">
            <v>0</v>
          </cell>
          <cell r="H993">
            <v>0</v>
          </cell>
          <cell r="I993">
            <v>0</v>
          </cell>
          <cell r="J993">
            <v>0</v>
          </cell>
          <cell r="K993">
            <v>0</v>
          </cell>
          <cell r="L993">
            <v>0</v>
          </cell>
          <cell r="M993">
            <v>0</v>
          </cell>
          <cell r="N993">
            <v>0</v>
          </cell>
          <cell r="O993">
            <v>0</v>
          </cell>
        </row>
        <row r="994">
          <cell r="B994">
            <v>0</v>
          </cell>
          <cell r="C994">
            <v>0</v>
          </cell>
          <cell r="D994">
            <v>0</v>
          </cell>
          <cell r="E994">
            <v>0</v>
          </cell>
          <cell r="G994">
            <v>0</v>
          </cell>
          <cell r="H994">
            <v>0</v>
          </cell>
          <cell r="I994">
            <v>0</v>
          </cell>
          <cell r="J994">
            <v>0</v>
          </cell>
          <cell r="K994">
            <v>0</v>
          </cell>
          <cell r="L994">
            <v>0</v>
          </cell>
          <cell r="M994">
            <v>0</v>
          </cell>
          <cell r="N994">
            <v>0</v>
          </cell>
          <cell r="O994">
            <v>0</v>
          </cell>
        </row>
        <row r="995">
          <cell r="B995">
            <v>0</v>
          </cell>
          <cell r="C995">
            <v>0</v>
          </cell>
          <cell r="D995">
            <v>0</v>
          </cell>
          <cell r="E995">
            <v>0</v>
          </cell>
          <cell r="G995">
            <v>0</v>
          </cell>
          <cell r="H995">
            <v>0</v>
          </cell>
          <cell r="I995">
            <v>0</v>
          </cell>
          <cell r="J995">
            <v>0</v>
          </cell>
          <cell r="K995">
            <v>0</v>
          </cell>
          <cell r="L995">
            <v>0</v>
          </cell>
          <cell r="M995">
            <v>0</v>
          </cell>
          <cell r="N995">
            <v>0</v>
          </cell>
          <cell r="O995">
            <v>0</v>
          </cell>
        </row>
        <row r="996">
          <cell r="B996">
            <v>0</v>
          </cell>
          <cell r="C996">
            <v>0</v>
          </cell>
          <cell r="D996">
            <v>0</v>
          </cell>
          <cell r="E996">
            <v>0</v>
          </cell>
          <cell r="G996">
            <v>0</v>
          </cell>
          <cell r="H996">
            <v>0</v>
          </cell>
          <cell r="I996">
            <v>0</v>
          </cell>
          <cell r="J996">
            <v>0</v>
          </cell>
          <cell r="K996">
            <v>0</v>
          </cell>
          <cell r="L996">
            <v>0</v>
          </cell>
          <cell r="M996">
            <v>0</v>
          </cell>
          <cell r="N996">
            <v>0</v>
          </cell>
          <cell r="O996">
            <v>0</v>
          </cell>
        </row>
        <row r="997">
          <cell r="B997">
            <v>0</v>
          </cell>
          <cell r="C997">
            <v>0</v>
          </cell>
          <cell r="D997">
            <v>0</v>
          </cell>
          <cell r="E997">
            <v>0</v>
          </cell>
          <cell r="G997">
            <v>0</v>
          </cell>
          <cell r="H997">
            <v>0</v>
          </cell>
          <cell r="I997">
            <v>0</v>
          </cell>
          <cell r="J997">
            <v>0</v>
          </cell>
          <cell r="K997">
            <v>0</v>
          </cell>
          <cell r="L997">
            <v>0</v>
          </cell>
          <cell r="M997">
            <v>0</v>
          </cell>
          <cell r="N997">
            <v>0</v>
          </cell>
          <cell r="O997">
            <v>0</v>
          </cell>
        </row>
        <row r="998">
          <cell r="B998">
            <v>0</v>
          </cell>
          <cell r="C998">
            <v>0</v>
          </cell>
          <cell r="D998">
            <v>0</v>
          </cell>
          <cell r="E998">
            <v>0</v>
          </cell>
          <cell r="G998">
            <v>0</v>
          </cell>
          <cell r="H998">
            <v>0</v>
          </cell>
          <cell r="I998">
            <v>0</v>
          </cell>
          <cell r="J998">
            <v>0</v>
          </cell>
          <cell r="K998">
            <v>0</v>
          </cell>
          <cell r="L998">
            <v>0</v>
          </cell>
          <cell r="M998">
            <v>0</v>
          </cell>
          <cell r="N998">
            <v>0</v>
          </cell>
          <cell r="O998">
            <v>0</v>
          </cell>
        </row>
        <row r="999">
          <cell r="B999">
            <v>0</v>
          </cell>
          <cell r="C999">
            <v>0</v>
          </cell>
          <cell r="D999">
            <v>0</v>
          </cell>
          <cell r="E999">
            <v>0</v>
          </cell>
          <cell r="G999">
            <v>0</v>
          </cell>
          <cell r="H999">
            <v>0</v>
          </cell>
          <cell r="I999">
            <v>0</v>
          </cell>
          <cell r="J999">
            <v>0</v>
          </cell>
          <cell r="K999">
            <v>0</v>
          </cell>
          <cell r="L999">
            <v>0</v>
          </cell>
          <cell r="M999">
            <v>0</v>
          </cell>
          <cell r="N999">
            <v>0</v>
          </cell>
          <cell r="O999">
            <v>0</v>
          </cell>
        </row>
        <row r="1000">
          <cell r="B1000">
            <v>0</v>
          </cell>
          <cell r="C1000">
            <v>0</v>
          </cell>
          <cell r="D1000">
            <v>0</v>
          </cell>
          <cell r="E1000">
            <v>0</v>
          </cell>
          <cell r="G1000">
            <v>0</v>
          </cell>
          <cell r="H1000">
            <v>0</v>
          </cell>
          <cell r="I1000">
            <v>0</v>
          </cell>
          <cell r="J1000">
            <v>0</v>
          </cell>
          <cell r="K1000">
            <v>0</v>
          </cell>
          <cell r="L1000">
            <v>0</v>
          </cell>
          <cell r="M1000">
            <v>0</v>
          </cell>
          <cell r="N1000">
            <v>0</v>
          </cell>
          <cell r="O1000">
            <v>0</v>
          </cell>
        </row>
        <row r="1001">
          <cell r="B1001">
            <v>0</v>
          </cell>
          <cell r="C1001">
            <v>0</v>
          </cell>
          <cell r="D1001">
            <v>0</v>
          </cell>
          <cell r="E1001">
            <v>0</v>
          </cell>
          <cell r="G1001">
            <v>0</v>
          </cell>
          <cell r="H1001">
            <v>0</v>
          </cell>
          <cell r="I1001">
            <v>0</v>
          </cell>
          <cell r="J1001">
            <v>0</v>
          </cell>
          <cell r="K1001">
            <v>0</v>
          </cell>
          <cell r="L1001">
            <v>0</v>
          </cell>
          <cell r="M1001">
            <v>0</v>
          </cell>
          <cell r="N1001">
            <v>0</v>
          </cell>
          <cell r="O1001">
            <v>0</v>
          </cell>
        </row>
        <row r="1002">
          <cell r="B1002">
            <v>0</v>
          </cell>
          <cell r="C1002">
            <v>0</v>
          </cell>
          <cell r="D1002">
            <v>0</v>
          </cell>
          <cell r="E1002">
            <v>0</v>
          </cell>
          <cell r="G1002">
            <v>0</v>
          </cell>
          <cell r="H1002">
            <v>0</v>
          </cell>
          <cell r="I1002">
            <v>0</v>
          </cell>
          <cell r="J1002">
            <v>0</v>
          </cell>
          <cell r="K1002">
            <v>0</v>
          </cell>
          <cell r="L1002">
            <v>0</v>
          </cell>
          <cell r="M1002">
            <v>0</v>
          </cell>
          <cell r="N1002">
            <v>0</v>
          </cell>
          <cell r="O1002">
            <v>0</v>
          </cell>
        </row>
        <row r="1003">
          <cell r="B1003">
            <v>0</v>
          </cell>
          <cell r="C1003">
            <v>0</v>
          </cell>
          <cell r="D1003">
            <v>0</v>
          </cell>
          <cell r="E1003">
            <v>0</v>
          </cell>
          <cell r="G1003">
            <v>0</v>
          </cell>
          <cell r="H1003">
            <v>0</v>
          </cell>
          <cell r="I1003">
            <v>0</v>
          </cell>
          <cell r="J1003">
            <v>0</v>
          </cell>
          <cell r="K1003">
            <v>0</v>
          </cell>
          <cell r="L1003">
            <v>0</v>
          </cell>
          <cell r="M1003">
            <v>0</v>
          </cell>
          <cell r="N1003">
            <v>0</v>
          </cell>
          <cell r="O1003">
            <v>0</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EFA FY15"/>
      <sheetName val="SEFA WP 2017"/>
      <sheetName val="CFDA Total Prep"/>
      <sheetName val="CFDA Total Linked"/>
      <sheetName val="SEFA WP 2019"/>
      <sheetName val="CFDA Total"/>
    </sheetNames>
    <sheetDataSet>
      <sheetData sheetId="0" refreshError="1"/>
      <sheetData sheetId="1" refreshError="1"/>
      <sheetData sheetId="2" refreshError="1"/>
      <sheetData sheetId="3" refreshError="1"/>
      <sheetData sheetId="4">
        <row r="16">
          <cell r="W16">
            <v>111028229</v>
          </cell>
        </row>
        <row r="17">
          <cell r="W17">
            <v>13841980</v>
          </cell>
        </row>
        <row r="19">
          <cell r="W19">
            <v>12847939</v>
          </cell>
        </row>
        <row r="21">
          <cell r="W21">
            <v>3035328</v>
          </cell>
        </row>
        <row r="23">
          <cell r="W23">
            <v>42430831</v>
          </cell>
        </row>
        <row r="24">
          <cell r="W24">
            <v>5152242</v>
          </cell>
        </row>
        <row r="28">
          <cell r="W28">
            <v>7897833</v>
          </cell>
        </row>
        <row r="29">
          <cell r="W29">
            <v>318986</v>
          </cell>
        </row>
        <row r="31">
          <cell r="W31">
            <v>139889</v>
          </cell>
        </row>
        <row r="32">
          <cell r="W32">
            <v>1600892</v>
          </cell>
        </row>
        <row r="38">
          <cell r="W38">
            <v>134283</v>
          </cell>
        </row>
        <row r="46">
          <cell r="W46">
            <v>140090</v>
          </cell>
        </row>
        <row r="47">
          <cell r="W47">
            <v>90272243</v>
          </cell>
        </row>
        <row r="49">
          <cell r="W49">
            <v>650897</v>
          </cell>
        </row>
        <row r="50">
          <cell r="W50">
            <v>1682989</v>
          </cell>
        </row>
        <row r="52">
          <cell r="W52">
            <v>-2497</v>
          </cell>
        </row>
        <row r="53">
          <cell r="W53">
            <v>1317723</v>
          </cell>
        </row>
        <row r="55">
          <cell r="W55">
            <v>51</v>
          </cell>
        </row>
        <row r="56">
          <cell r="W56">
            <v>396280</v>
          </cell>
        </row>
        <row r="60">
          <cell r="W60">
            <v>14154569</v>
          </cell>
          <cell r="Y60">
            <v>1093327</v>
          </cell>
        </row>
        <row r="61">
          <cell r="W61">
            <v>237863946</v>
          </cell>
          <cell r="Y61">
            <v>37098869</v>
          </cell>
        </row>
        <row r="63">
          <cell r="W63">
            <v>267522</v>
          </cell>
        </row>
        <row r="65">
          <cell r="W65">
            <v>648598</v>
          </cell>
        </row>
        <row r="66">
          <cell r="W66">
            <v>1510262</v>
          </cell>
          <cell r="Y66">
            <v>1510262</v>
          </cell>
        </row>
        <row r="67">
          <cell r="W67">
            <v>918186</v>
          </cell>
        </row>
        <row r="68">
          <cell r="W68">
            <v>1545267</v>
          </cell>
        </row>
        <row r="69">
          <cell r="W69">
            <v>949069</v>
          </cell>
        </row>
        <row r="70">
          <cell r="W70">
            <v>1602070</v>
          </cell>
        </row>
        <row r="71">
          <cell r="W71">
            <v>1225632</v>
          </cell>
        </row>
        <row r="72">
          <cell r="W72">
            <v>1448708</v>
          </cell>
        </row>
        <row r="73">
          <cell r="W73">
            <v>1035167</v>
          </cell>
        </row>
        <row r="74">
          <cell r="W74">
            <v>931936</v>
          </cell>
          <cell r="Y74">
            <v>280374</v>
          </cell>
        </row>
        <row r="76">
          <cell r="W76">
            <v>117065</v>
          </cell>
        </row>
        <row r="77">
          <cell r="W77">
            <v>458435</v>
          </cell>
        </row>
        <row r="79">
          <cell r="W79">
            <v>234663</v>
          </cell>
        </row>
        <row r="80">
          <cell r="W80">
            <v>779709</v>
          </cell>
        </row>
        <row r="82">
          <cell r="W82">
            <v>31636</v>
          </cell>
        </row>
        <row r="84">
          <cell r="W84">
            <v>1710980</v>
          </cell>
          <cell r="Y84">
            <v>41259</v>
          </cell>
        </row>
        <row r="85">
          <cell r="W85">
            <v>18765422</v>
          </cell>
          <cell r="Y85">
            <v>1434436</v>
          </cell>
        </row>
        <row r="87">
          <cell r="W87">
            <v>21062</v>
          </cell>
        </row>
        <row r="88">
          <cell r="W88">
            <v>4500</v>
          </cell>
        </row>
        <row r="90">
          <cell r="W90">
            <v>0</v>
          </cell>
        </row>
        <row r="91">
          <cell r="W91">
            <v>1080785</v>
          </cell>
          <cell r="Y91">
            <v>10765</v>
          </cell>
        </row>
        <row r="92">
          <cell r="W92">
            <v>8348174</v>
          </cell>
          <cell r="Y92">
            <v>442000</v>
          </cell>
        </row>
        <row r="94">
          <cell r="W94">
            <v>192774</v>
          </cell>
        </row>
        <row r="95">
          <cell r="W95">
            <v>241691</v>
          </cell>
        </row>
        <row r="97">
          <cell r="W97">
            <v>290737</v>
          </cell>
        </row>
        <row r="98">
          <cell r="W98">
            <v>9603768</v>
          </cell>
          <cell r="Y98">
            <v>1134038</v>
          </cell>
        </row>
        <row r="100">
          <cell r="W100">
            <v>754934</v>
          </cell>
        </row>
        <row r="101">
          <cell r="W101">
            <v>5247041</v>
          </cell>
          <cell r="Y101">
            <v>13999</v>
          </cell>
        </row>
        <row r="103">
          <cell r="W103">
            <v>295485</v>
          </cell>
        </row>
        <row r="104">
          <cell r="W104">
            <v>1265747</v>
          </cell>
        </row>
        <row r="105">
          <cell r="W105">
            <v>56314</v>
          </cell>
        </row>
        <row r="106">
          <cell r="W106">
            <v>1570983</v>
          </cell>
        </row>
        <row r="108">
          <cell r="W108">
            <v>534742</v>
          </cell>
        </row>
        <row r="109">
          <cell r="W109">
            <v>79389</v>
          </cell>
        </row>
        <row r="110">
          <cell r="W110">
            <v>114439</v>
          </cell>
        </row>
        <row r="111">
          <cell r="W111">
            <v>88771</v>
          </cell>
        </row>
        <row r="112">
          <cell r="W112">
            <v>54548</v>
          </cell>
        </row>
        <row r="113">
          <cell r="W113">
            <v>133018</v>
          </cell>
        </row>
        <row r="114">
          <cell r="W114">
            <v>58022</v>
          </cell>
        </row>
        <row r="115">
          <cell r="W115">
            <v>2718863</v>
          </cell>
        </row>
        <row r="116">
          <cell r="W116">
            <v>420029</v>
          </cell>
        </row>
        <row r="117">
          <cell r="W117">
            <v>406991</v>
          </cell>
        </row>
        <row r="118">
          <cell r="W118">
            <v>380372</v>
          </cell>
        </row>
        <row r="119">
          <cell r="W119">
            <v>376670</v>
          </cell>
        </row>
        <row r="120">
          <cell r="W120">
            <v>317285</v>
          </cell>
        </row>
        <row r="121">
          <cell r="W121">
            <v>388694</v>
          </cell>
        </row>
        <row r="122">
          <cell r="W122">
            <v>41520</v>
          </cell>
        </row>
        <row r="123">
          <cell r="W123">
            <v>88488</v>
          </cell>
        </row>
        <row r="124">
          <cell r="W124">
            <v>310096</v>
          </cell>
        </row>
        <row r="125">
          <cell r="W125">
            <v>293945</v>
          </cell>
        </row>
        <row r="126">
          <cell r="W126">
            <v>352310</v>
          </cell>
        </row>
        <row r="127">
          <cell r="W127">
            <v>257412</v>
          </cell>
        </row>
        <row r="128">
          <cell r="W128">
            <v>261959</v>
          </cell>
        </row>
        <row r="130">
          <cell r="W130">
            <v>-227</v>
          </cell>
        </row>
        <row r="131">
          <cell r="W131">
            <v>878119</v>
          </cell>
        </row>
        <row r="133">
          <cell r="W133">
            <v>-594</v>
          </cell>
        </row>
        <row r="134">
          <cell r="W134">
            <v>2675229</v>
          </cell>
        </row>
        <row r="142">
          <cell r="W142">
            <v>294612</v>
          </cell>
        </row>
        <row r="145">
          <cell r="W145">
            <v>102661</v>
          </cell>
        </row>
        <row r="147">
          <cell r="W147">
            <v>-13983</v>
          </cell>
        </row>
        <row r="148">
          <cell r="W148">
            <v>-2889</v>
          </cell>
        </row>
        <row r="149">
          <cell r="W149">
            <v>204003</v>
          </cell>
        </row>
        <row r="151">
          <cell r="W151">
            <v>2126615</v>
          </cell>
        </row>
        <row r="153">
          <cell r="W153">
            <v>45999</v>
          </cell>
        </row>
        <row r="154">
          <cell r="W154">
            <v>212479</v>
          </cell>
        </row>
        <row r="156">
          <cell r="W156">
            <v>104622</v>
          </cell>
        </row>
        <row r="157">
          <cell r="W157">
            <v>56094</v>
          </cell>
        </row>
        <row r="159">
          <cell r="W159">
            <v>226416</v>
          </cell>
        </row>
        <row r="161">
          <cell r="W161">
            <v>456542</v>
          </cell>
        </row>
        <row r="162">
          <cell r="W162">
            <v>1218220</v>
          </cell>
        </row>
        <row r="164">
          <cell r="W164">
            <v>-47691</v>
          </cell>
        </row>
        <row r="165">
          <cell r="W165">
            <v>42244</v>
          </cell>
        </row>
        <row r="166">
          <cell r="W166">
            <v>665451</v>
          </cell>
        </row>
        <row r="173">
          <cell r="W173">
            <v>258625</v>
          </cell>
        </row>
        <row r="176">
          <cell r="W176">
            <v>153815</v>
          </cell>
        </row>
        <row r="177">
          <cell r="W177">
            <v>135132</v>
          </cell>
        </row>
        <row r="178">
          <cell r="W178">
            <v>533822</v>
          </cell>
        </row>
        <row r="180">
          <cell r="W180">
            <v>8268</v>
          </cell>
        </row>
        <row r="181">
          <cell r="W181">
            <v>25265</v>
          </cell>
        </row>
        <row r="182">
          <cell r="W182">
            <v>0</v>
          </cell>
        </row>
        <row r="183">
          <cell r="W183">
            <v>-6979</v>
          </cell>
        </row>
        <row r="184">
          <cell r="W184">
            <v>14835</v>
          </cell>
        </row>
        <row r="191">
          <cell r="W191">
            <v>-1138</v>
          </cell>
        </row>
        <row r="192">
          <cell r="W192">
            <v>120911</v>
          </cell>
        </row>
        <row r="193">
          <cell r="W193">
            <v>-10415</v>
          </cell>
        </row>
        <row r="194">
          <cell r="W194">
            <v>34604</v>
          </cell>
        </row>
        <row r="203">
          <cell r="W203">
            <v>36075704</v>
          </cell>
        </row>
        <row r="206">
          <cell r="W206">
            <v>12630</v>
          </cell>
        </row>
        <row r="208">
          <cell r="W208">
            <v>-2992</v>
          </cell>
        </row>
        <row r="214">
          <cell r="W214">
            <v>57525</v>
          </cell>
        </row>
        <row r="219">
          <cell r="W219">
            <v>8256738</v>
          </cell>
        </row>
        <row r="225">
          <cell r="W225">
            <v>72300</v>
          </cell>
        </row>
        <row r="231">
          <cell r="W231">
            <v>60865</v>
          </cell>
        </row>
        <row r="237">
          <cell r="W237">
            <v>-47201</v>
          </cell>
        </row>
        <row r="243">
          <cell r="W243">
            <v>-41156</v>
          </cell>
        </row>
        <row r="244">
          <cell r="W244">
            <v>256838</v>
          </cell>
        </row>
        <row r="248">
          <cell r="W248">
            <v>-4224</v>
          </cell>
        </row>
        <row r="251">
          <cell r="W251">
            <v>427893</v>
          </cell>
        </row>
        <row r="256">
          <cell r="W256">
            <v>23064</v>
          </cell>
        </row>
        <row r="262">
          <cell r="W262">
            <v>177568</v>
          </cell>
        </row>
        <row r="263">
          <cell r="W263">
            <v>159435</v>
          </cell>
        </row>
        <row r="264">
          <cell r="W264">
            <v>14128</v>
          </cell>
        </row>
        <row r="265">
          <cell r="W265">
            <v>32832</v>
          </cell>
        </row>
        <row r="266">
          <cell r="W266">
            <v>0</v>
          </cell>
        </row>
        <row r="267">
          <cell r="W267">
            <v>18475</v>
          </cell>
        </row>
        <row r="272">
          <cell r="W272">
            <v>80891</v>
          </cell>
        </row>
        <row r="276">
          <cell r="W276">
            <v>6976</v>
          </cell>
        </row>
        <row r="277">
          <cell r="W277">
            <v>49052</v>
          </cell>
        </row>
        <row r="281">
          <cell r="W281">
            <v>1286</v>
          </cell>
        </row>
      </sheetData>
      <sheetData sheetId="5"/>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18" Type="http://schemas.openxmlformats.org/officeDocument/2006/relationships/oleObject" Target="../embeddings/Microsoft_Excel_97-2003_Worksheet.xls"/><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 Type="http://schemas.openxmlformats.org/officeDocument/2006/relationships/drawing" Target="../drawings/drawing3.xml"/><Relationship Id="rId16" Type="http://schemas.openxmlformats.org/officeDocument/2006/relationships/oleObject" Target="../embeddings/oleObject7.bin"/><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19" Type="http://schemas.openxmlformats.org/officeDocument/2006/relationships/image" Target="../media/image8.emf"/><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B48"/>
  <sheetViews>
    <sheetView showGridLines="0" tabSelected="1" zoomScale="110" zoomScaleNormal="110" workbookViewId="0">
      <selection activeCell="I21" sqref="I21:S21"/>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1967</v>
      </c>
      <c r="B1" s="45"/>
      <c r="C1" s="45"/>
      <c r="D1" s="46"/>
      <c r="I1" s="2053" t="s">
        <v>405</v>
      </c>
      <c r="J1" s="2054"/>
      <c r="K1" s="2054"/>
      <c r="L1" s="2054"/>
      <c r="M1" s="2054"/>
      <c r="N1" s="2054"/>
      <c r="O1" s="2054"/>
      <c r="P1" s="2054"/>
      <c r="Q1" s="2054"/>
      <c r="R1" s="2054"/>
      <c r="S1" s="2054"/>
    </row>
    <row r="2" spans="1:28" ht="12" customHeight="1" x14ac:dyDescent="0.2">
      <c r="A2" s="47" t="s">
        <v>1968</v>
      </c>
      <c r="D2" s="48"/>
      <c r="I2" s="2055" t="s">
        <v>979</v>
      </c>
      <c r="J2" s="2054"/>
      <c r="K2" s="2054"/>
      <c r="L2" s="2054"/>
      <c r="M2" s="2054"/>
      <c r="N2" s="2054"/>
      <c r="O2" s="2054"/>
      <c r="P2" s="2054"/>
      <c r="Q2" s="2054"/>
      <c r="R2" s="2054"/>
      <c r="S2" s="2054"/>
    </row>
    <row r="3" spans="1:28" ht="12" customHeight="1" x14ac:dyDescent="0.2">
      <c r="A3" s="155" t="s">
        <v>1920</v>
      </c>
      <c r="B3" s="156"/>
      <c r="C3" s="156"/>
      <c r="D3" s="157"/>
      <c r="I3" s="2055" t="s">
        <v>52</v>
      </c>
      <c r="J3" s="2054"/>
      <c r="K3" s="2054"/>
      <c r="L3" s="2054"/>
      <c r="M3" s="2054"/>
      <c r="N3" s="2054"/>
      <c r="O3" s="2054"/>
      <c r="P3" s="2054"/>
      <c r="Q3" s="2054"/>
      <c r="R3" s="2054"/>
      <c r="S3" s="2054"/>
    </row>
    <row r="4" spans="1:28" ht="12" customHeight="1" x14ac:dyDescent="0.2">
      <c r="A4" s="37"/>
      <c r="I4" s="2055" t="s">
        <v>524</v>
      </c>
      <c r="J4" s="2054"/>
      <c r="K4" s="2054"/>
      <c r="L4" s="2054"/>
      <c r="M4" s="2054"/>
      <c r="N4" s="2054"/>
      <c r="O4" s="2054"/>
      <c r="P4" s="2054"/>
      <c r="Q4" s="2054"/>
      <c r="R4" s="2054"/>
      <c r="S4" s="2054"/>
    </row>
    <row r="5" spans="1:28" ht="14.1" customHeight="1" x14ac:dyDescent="0.2">
      <c r="B5" s="104" t="s">
        <v>2042</v>
      </c>
      <c r="C5" s="26" t="s">
        <v>910</v>
      </c>
      <c r="D5" s="84"/>
      <c r="E5" s="84"/>
      <c r="H5" s="38"/>
      <c r="I5" s="2062" t="s">
        <v>680</v>
      </c>
      <c r="J5" s="2007"/>
      <c r="K5" s="2007"/>
      <c r="L5" s="2007"/>
      <c r="M5" s="2007"/>
      <c r="N5" s="2007"/>
      <c r="O5" s="2007"/>
      <c r="P5" s="2007"/>
      <c r="Q5" s="2007"/>
      <c r="R5" s="2007"/>
      <c r="S5" s="2007"/>
    </row>
    <row r="6" spans="1:28" ht="14.1" customHeight="1" x14ac:dyDescent="0.2">
      <c r="B6" s="104"/>
      <c r="C6" s="26" t="s">
        <v>911</v>
      </c>
      <c r="D6" s="84"/>
      <c r="E6" s="84"/>
      <c r="I6" s="2061" t="s">
        <v>883</v>
      </c>
      <c r="J6" s="2007"/>
      <c r="K6" s="2007"/>
      <c r="L6" s="2007"/>
      <c r="M6" s="2007"/>
      <c r="N6" s="2007"/>
      <c r="O6" s="2007"/>
      <c r="P6" s="2007"/>
      <c r="Q6" s="2007"/>
      <c r="R6" s="2007"/>
      <c r="S6" s="2007"/>
    </row>
    <row r="7" spans="1:28" ht="12.2" customHeight="1" x14ac:dyDescent="0.2">
      <c r="I7" s="2056">
        <v>43646</v>
      </c>
      <c r="J7" s="2057"/>
      <c r="K7" s="2057"/>
      <c r="L7" s="2057"/>
      <c r="M7" s="2057"/>
      <c r="N7" s="2057"/>
      <c r="O7" s="2057"/>
      <c r="P7" s="2057"/>
      <c r="Q7" s="2057"/>
      <c r="R7" s="2057"/>
      <c r="S7" s="2057"/>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58" t="s">
        <v>674</v>
      </c>
      <c r="J9" s="2059"/>
      <c r="K9" s="2059"/>
      <c r="L9" s="2059"/>
      <c r="M9" s="2059"/>
      <c r="N9" s="2059"/>
      <c r="O9" s="2059"/>
      <c r="P9" s="2059"/>
      <c r="Q9" s="2059"/>
      <c r="R9" s="2059"/>
      <c r="S9" s="2060"/>
      <c r="T9" s="2003" t="s">
        <v>533</v>
      </c>
      <c r="U9" s="2004"/>
      <c r="V9" s="2004"/>
      <c r="W9" s="2004"/>
      <c r="X9" s="2004"/>
      <c r="Y9" s="2004"/>
      <c r="Z9" s="2004"/>
      <c r="AA9" s="2005"/>
    </row>
    <row r="10" spans="1:28" ht="13.5" customHeight="1" x14ac:dyDescent="0.2">
      <c r="A10" s="2012" t="s">
        <v>675</v>
      </c>
      <c r="B10" s="2013"/>
      <c r="C10" s="2013"/>
      <c r="D10" s="2013"/>
      <c r="E10" s="2013"/>
      <c r="F10" s="2013"/>
      <c r="G10" s="2013"/>
      <c r="H10" s="2014"/>
      <c r="I10" s="29"/>
      <c r="J10" s="30"/>
      <c r="K10" s="28"/>
      <c r="R10" s="30"/>
      <c r="S10" s="30"/>
      <c r="T10" s="2006"/>
      <c r="U10" s="2007"/>
      <c r="V10" s="2007"/>
      <c r="W10" s="2007"/>
      <c r="X10" s="2007"/>
      <c r="Y10" s="2007"/>
      <c r="Z10" s="2007"/>
      <c r="AA10" s="2008"/>
    </row>
    <row r="11" spans="1:28" ht="14.25" customHeight="1" x14ac:dyDescent="0.2">
      <c r="A11" s="2015" t="s">
        <v>955</v>
      </c>
      <c r="B11" s="2016"/>
      <c r="C11" s="2016"/>
      <c r="D11" s="2016"/>
      <c r="E11" s="2016"/>
      <c r="F11" s="2016"/>
      <c r="G11" s="2016"/>
      <c r="H11" s="2017"/>
      <c r="I11" s="27"/>
      <c r="J11" s="74"/>
      <c r="K11" s="27"/>
      <c r="O11" s="148"/>
      <c r="P11" s="100" t="s">
        <v>201</v>
      </c>
      <c r="Q11" s="30"/>
      <c r="R11" s="28"/>
      <c r="S11" s="27"/>
      <c r="T11" s="2009"/>
      <c r="U11" s="2010"/>
      <c r="V11" s="2010"/>
      <c r="W11" s="2010"/>
      <c r="X11" s="2010"/>
      <c r="Y11" s="2010"/>
      <c r="Z11" s="2010"/>
      <c r="AA11" s="2011"/>
    </row>
    <row r="12" spans="1:28" ht="13.5" customHeight="1" x14ac:dyDescent="0.2">
      <c r="A12" s="85" t="s">
        <v>925</v>
      </c>
      <c r="B12" s="76"/>
      <c r="C12" s="76"/>
      <c r="D12" s="76"/>
      <c r="E12" s="76"/>
      <c r="F12" s="76"/>
      <c r="G12" s="76"/>
      <c r="H12" s="53"/>
      <c r="I12" s="29"/>
      <c r="J12" s="30"/>
      <c r="K12" s="28"/>
      <c r="O12" s="149" t="s">
        <v>2042</v>
      </c>
      <c r="P12" s="100" t="s">
        <v>202</v>
      </c>
      <c r="Q12" s="74"/>
      <c r="R12" s="30"/>
      <c r="S12" s="30"/>
      <c r="T12" s="85" t="s">
        <v>265</v>
      </c>
      <c r="U12" s="51"/>
      <c r="V12" s="51"/>
      <c r="W12" s="51"/>
      <c r="X12" s="51"/>
      <c r="Y12" s="45"/>
      <c r="Z12" s="45"/>
      <c r="AA12" s="46"/>
    </row>
    <row r="13" spans="1:28" ht="13.5" customHeight="1" x14ac:dyDescent="0.2">
      <c r="A13" s="2023">
        <v>15016299025</v>
      </c>
      <c r="B13" s="2024"/>
      <c r="C13" s="2024"/>
      <c r="D13" s="2024"/>
      <c r="E13" s="2024"/>
      <c r="F13" s="2024"/>
      <c r="G13" s="2024"/>
      <c r="H13" s="2025"/>
      <c r="I13" s="31"/>
      <c r="J13" s="30"/>
      <c r="K13" s="28"/>
      <c r="L13" s="30"/>
      <c r="M13" s="30"/>
      <c r="N13" s="30"/>
      <c r="O13" s="30"/>
      <c r="P13" s="30"/>
      <c r="Q13" s="30"/>
      <c r="R13" s="30"/>
      <c r="S13" s="30"/>
      <c r="T13" s="2028" t="s">
        <v>2049</v>
      </c>
      <c r="U13" s="2029"/>
      <c r="V13" s="2029"/>
      <c r="W13" s="2029"/>
      <c r="X13" s="2029"/>
      <c r="Y13" s="2030"/>
      <c r="Z13" s="2030"/>
      <c r="AA13" s="2031"/>
    </row>
    <row r="14" spans="1:28" ht="14.1" customHeight="1" x14ac:dyDescent="0.2">
      <c r="A14" s="85" t="s">
        <v>713</v>
      </c>
      <c r="B14" s="76"/>
      <c r="C14" s="76"/>
      <c r="D14" s="76"/>
      <c r="E14" s="76"/>
      <c r="F14" s="76"/>
      <c r="G14" s="76"/>
      <c r="H14" s="53"/>
      <c r="I14" s="116"/>
      <c r="S14" s="48"/>
      <c r="T14" s="85" t="s">
        <v>1324</v>
      </c>
      <c r="U14" s="51"/>
      <c r="V14" s="51"/>
      <c r="W14" s="51"/>
      <c r="X14" s="51"/>
      <c r="Y14" s="45"/>
      <c r="Z14" s="45"/>
      <c r="AA14" s="46"/>
    </row>
    <row r="15" spans="1:28" ht="13.5" customHeight="1" x14ac:dyDescent="0.2">
      <c r="A15" s="2021" t="s">
        <v>2044</v>
      </c>
      <c r="B15" s="2026"/>
      <c r="C15" s="2026"/>
      <c r="D15" s="2026"/>
      <c r="E15" s="2026"/>
      <c r="F15" s="2026"/>
      <c r="G15" s="2026"/>
      <c r="H15" s="2027"/>
      <c r="T15" s="1989" t="s">
        <v>2050</v>
      </c>
      <c r="U15" s="1990"/>
      <c r="V15" s="1990"/>
      <c r="W15" s="1990"/>
      <c r="X15" s="1990"/>
      <c r="Y15" s="2032"/>
      <c r="Z15" s="2032"/>
      <c r="AA15" s="2033"/>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81" t="s">
        <v>2459</v>
      </c>
      <c r="B17" s="2051"/>
      <c r="C17" s="2051"/>
      <c r="D17" s="2051"/>
      <c r="E17" s="2051"/>
      <c r="F17" s="2051"/>
      <c r="G17" s="2051"/>
      <c r="H17" s="2052"/>
      <c r="T17" s="2038" t="s">
        <v>2051</v>
      </c>
      <c r="U17" s="2039"/>
      <c r="V17" s="2039"/>
      <c r="W17" s="2039"/>
      <c r="X17" s="2039"/>
      <c r="Y17" s="2039"/>
      <c r="Z17" s="2039"/>
      <c r="AA17" s="2040"/>
    </row>
    <row r="18" spans="1:27" ht="13.5" customHeight="1" x14ac:dyDescent="0.2">
      <c r="A18" s="85" t="s">
        <v>530</v>
      </c>
      <c r="B18" s="76"/>
      <c r="C18" s="72"/>
      <c r="D18" s="76"/>
      <c r="E18" s="76"/>
      <c r="F18" s="76"/>
      <c r="G18" s="76"/>
      <c r="H18" s="56"/>
      <c r="I18" s="2048" t="s">
        <v>676</v>
      </c>
      <c r="J18" s="2049"/>
      <c r="K18" s="2049"/>
      <c r="L18" s="2049"/>
      <c r="M18" s="2049"/>
      <c r="N18" s="2049"/>
      <c r="O18" s="2049"/>
      <c r="P18" s="2049"/>
      <c r="Q18" s="2049"/>
      <c r="R18" s="2049"/>
      <c r="S18" s="2050"/>
      <c r="T18" s="85" t="s">
        <v>711</v>
      </c>
      <c r="U18" s="51"/>
      <c r="V18" s="72"/>
      <c r="W18" s="50"/>
      <c r="X18" s="85" t="s">
        <v>266</v>
      </c>
      <c r="Y18" s="81"/>
      <c r="Z18" s="159" t="s">
        <v>677</v>
      </c>
      <c r="AA18" s="46"/>
    </row>
    <row r="19" spans="1:27" ht="13.5" customHeight="1" x14ac:dyDescent="0.2">
      <c r="A19" s="2021" t="s">
        <v>2046</v>
      </c>
      <c r="B19" s="2022"/>
      <c r="C19" s="2022"/>
      <c r="D19" s="2022"/>
      <c r="E19" s="2022"/>
      <c r="F19" s="2022"/>
      <c r="G19" s="2022"/>
      <c r="H19" s="2020"/>
      <c r="I19" s="30"/>
      <c r="J19" s="99"/>
      <c r="K19" s="40"/>
      <c r="L19" s="38"/>
      <c r="M19" s="112" t="s">
        <v>315</v>
      </c>
      <c r="P19" s="27"/>
      <c r="Q19" s="27"/>
      <c r="R19" s="27"/>
      <c r="S19" s="31"/>
      <c r="T19" s="2021" t="s">
        <v>2047</v>
      </c>
      <c r="U19" s="2019"/>
      <c r="V19" s="2019"/>
      <c r="W19" s="2020"/>
      <c r="X19" s="2036" t="s">
        <v>2052</v>
      </c>
      <c r="Y19" s="2037"/>
      <c r="Z19" s="2034">
        <v>60601</v>
      </c>
      <c r="AA19" s="2035"/>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2018" t="s">
        <v>2047</v>
      </c>
      <c r="B21" s="2019"/>
      <c r="C21" s="2019"/>
      <c r="D21" s="2019"/>
      <c r="E21" s="2019"/>
      <c r="F21" s="2019"/>
      <c r="G21" s="2019"/>
      <c r="H21" s="2020"/>
      <c r="I21" s="2044" t="s">
        <v>678</v>
      </c>
      <c r="J21" s="2007"/>
      <c r="K21" s="2007"/>
      <c r="L21" s="2007"/>
      <c r="M21" s="2007"/>
      <c r="N21" s="2007"/>
      <c r="O21" s="2007"/>
      <c r="P21" s="2007"/>
      <c r="Q21" s="2007"/>
      <c r="R21" s="2007"/>
      <c r="S21" s="2008"/>
      <c r="T21" s="1986" t="s">
        <v>2053</v>
      </c>
      <c r="U21" s="1987"/>
      <c r="V21" s="1987"/>
      <c r="W21" s="1987"/>
      <c r="X21" s="2000"/>
      <c r="Y21" s="2001"/>
      <c r="Z21" s="2001"/>
      <c r="AA21" s="2002"/>
    </row>
    <row r="22" spans="1:27" ht="13.5" customHeight="1" x14ac:dyDescent="0.2">
      <c r="A22" s="87" t="s">
        <v>531</v>
      </c>
      <c r="B22" s="59"/>
      <c r="C22" s="59"/>
      <c r="D22" s="59"/>
      <c r="E22" s="59"/>
      <c r="F22" s="59"/>
      <c r="G22" s="59"/>
      <c r="H22" s="60"/>
      <c r="I22" s="2045" t="s">
        <v>1424</v>
      </c>
      <c r="J22" s="2046"/>
      <c r="K22" s="2046"/>
      <c r="L22" s="2046"/>
      <c r="M22" s="2046"/>
      <c r="N22" s="2046"/>
      <c r="O22" s="2046"/>
      <c r="P22" s="2046"/>
      <c r="Q22" s="2046"/>
      <c r="R22" s="2046"/>
      <c r="S22" s="2047"/>
      <c r="T22" s="85" t="s">
        <v>1511</v>
      </c>
      <c r="U22" s="51"/>
      <c r="V22" s="72"/>
      <c r="W22" s="51"/>
      <c r="X22" s="160" t="s">
        <v>1313</v>
      </c>
      <c r="Z22" s="45"/>
      <c r="AA22" s="46"/>
    </row>
    <row r="23" spans="1:27" ht="13.5" customHeight="1" x14ac:dyDescent="0.2">
      <c r="A23" s="2041" t="s">
        <v>2048</v>
      </c>
      <c r="B23" s="2042"/>
      <c r="C23" s="2042"/>
      <c r="D23" s="2042"/>
      <c r="E23" s="2042"/>
      <c r="F23" s="2042"/>
      <c r="G23" s="2042"/>
      <c r="H23" s="2043"/>
      <c r="T23" s="1981" t="s">
        <v>2054</v>
      </c>
      <c r="U23" s="1982"/>
      <c r="V23" s="1982"/>
      <c r="W23" s="1982"/>
      <c r="X23" s="1997" t="s">
        <v>2055</v>
      </c>
      <c r="Y23" s="1998"/>
      <c r="Z23" s="1998"/>
      <c r="AA23" s="1999"/>
    </row>
    <row r="24" spans="1:27" ht="14.1" customHeight="1" x14ac:dyDescent="0.2">
      <c r="A24" s="88" t="s">
        <v>677</v>
      </c>
      <c r="B24" s="49"/>
      <c r="C24" s="49"/>
      <c r="D24" s="49"/>
      <c r="E24" s="49"/>
      <c r="F24" s="49"/>
      <c r="G24" s="49"/>
      <c r="H24" s="61"/>
      <c r="J24" s="2083">
        <f>IF(B5="x",IF(AUDITCHECK!D29="AFR form Incomplete.","",IF(AUDITCHECK!D29="Deficit reduction plan is required.","School District must complete a deficit reduction plan in the 2019-2020 Budget",)),"")</f>
        <v>0</v>
      </c>
      <c r="K24" s="2083"/>
      <c r="L24" s="2083"/>
      <c r="M24" s="2083"/>
      <c r="N24" s="2083"/>
      <c r="O24" s="2083"/>
      <c r="P24" s="2083"/>
      <c r="Q24" s="2083"/>
      <c r="R24" s="2083"/>
      <c r="S24" s="2084"/>
      <c r="T24" s="105" t="s">
        <v>531</v>
      </c>
      <c r="U24" s="106"/>
      <c r="V24" s="106"/>
      <c r="W24" s="106"/>
      <c r="X24" s="107"/>
      <c r="Y24" s="107"/>
      <c r="Z24" s="107"/>
      <c r="AA24" s="108"/>
    </row>
    <row r="25" spans="1:27" ht="14.1" customHeight="1" x14ac:dyDescent="0.2">
      <c r="A25" s="2018">
        <v>60602</v>
      </c>
      <c r="B25" s="2019"/>
      <c r="C25" s="2019"/>
      <c r="D25" s="2019"/>
      <c r="E25" s="2019"/>
      <c r="F25" s="2019"/>
      <c r="G25" s="2019"/>
      <c r="H25" s="2020"/>
      <c r="I25" s="113"/>
      <c r="J25" s="2085"/>
      <c r="K25" s="2085"/>
      <c r="L25" s="2085"/>
      <c r="M25" s="2085"/>
      <c r="N25" s="2085"/>
      <c r="O25" s="2085"/>
      <c r="P25" s="2085"/>
      <c r="Q25" s="2085"/>
      <c r="R25" s="2085"/>
      <c r="S25" s="2086"/>
      <c r="T25" s="1978" t="s">
        <v>2056</v>
      </c>
      <c r="U25" s="1979"/>
      <c r="V25" s="1979"/>
      <c r="W25" s="1979"/>
      <c r="X25" s="1979"/>
      <c r="Y25" s="1979"/>
      <c r="Z25" s="1979"/>
      <c r="AA25" s="1980"/>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76" t="s">
        <v>1506</v>
      </c>
      <c r="J27" s="2049"/>
      <c r="K27" s="2049"/>
      <c r="L27" s="2049"/>
      <c r="M27" s="2049"/>
      <c r="N27" s="2049"/>
      <c r="O27" s="2049"/>
      <c r="P27" s="2049"/>
      <c r="Q27" s="2049"/>
      <c r="R27" s="2049"/>
      <c r="S27" s="2050"/>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t="s">
        <v>2042</v>
      </c>
      <c r="F29" s="141" t="s">
        <v>1311</v>
      </c>
      <c r="G29" s="114"/>
      <c r="I29" s="54"/>
      <c r="J29" s="148" t="s">
        <v>2042</v>
      </c>
      <c r="K29" s="28" t="s">
        <v>576</v>
      </c>
      <c r="L29" s="102"/>
      <c r="M29" s="40" t="s">
        <v>99</v>
      </c>
      <c r="N29" s="32" t="s">
        <v>1518</v>
      </c>
      <c r="O29" s="32"/>
      <c r="P29" s="32"/>
      <c r="Q29" s="32"/>
      <c r="R29" s="32"/>
      <c r="S29" s="123"/>
      <c r="T29" s="6"/>
      <c r="U29" s="6"/>
      <c r="V29" s="6"/>
      <c r="W29" s="6"/>
      <c r="X29" s="6"/>
      <c r="Y29" s="6"/>
      <c r="Z29" s="6"/>
      <c r="AA29" s="132"/>
    </row>
    <row r="30" spans="1:27" ht="13.5" customHeight="1" x14ac:dyDescent="0.2">
      <c r="A30" s="153"/>
      <c r="B30" s="136"/>
      <c r="C30" s="124" t="s">
        <v>1164</v>
      </c>
      <c r="D30" s="28"/>
      <c r="E30" s="28"/>
      <c r="F30" s="140"/>
      <c r="G30" s="114"/>
      <c r="H30" s="114"/>
      <c r="I30" s="54"/>
      <c r="J30" s="148" t="s">
        <v>2042</v>
      </c>
      <c r="K30" s="28" t="s">
        <v>576</v>
      </c>
      <c r="L30" s="102"/>
      <c r="M30" s="40" t="s">
        <v>99</v>
      </c>
      <c r="N30" s="32" t="s">
        <v>1507</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t="s">
        <v>2042</v>
      </c>
      <c r="K31" s="40" t="s">
        <v>885</v>
      </c>
      <c r="L31" s="102"/>
      <c r="M31" s="40" t="s">
        <v>99</v>
      </c>
      <c r="N31" s="32" t="s">
        <v>1589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2042</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2022"/>
      <c r="Q35" s="2019"/>
      <c r="R35" s="2019"/>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81" t="s">
        <v>2455</v>
      </c>
      <c r="B38" s="2051"/>
      <c r="C38" s="2051"/>
      <c r="D38" s="2051"/>
      <c r="E38" s="2051"/>
      <c r="F38" s="2019"/>
      <c r="G38" s="2019"/>
      <c r="H38" s="2020"/>
      <c r="I38" s="2070"/>
      <c r="J38" s="1990"/>
      <c r="K38" s="1990"/>
      <c r="L38" s="1990"/>
      <c r="M38" s="1990"/>
      <c r="N38" s="1990"/>
      <c r="O38" s="1990"/>
      <c r="P38" s="1991"/>
      <c r="Q38" s="1991"/>
      <c r="R38" s="1991"/>
      <c r="S38" s="1992"/>
      <c r="T38" s="1989"/>
      <c r="U38" s="1990"/>
      <c r="V38" s="1990"/>
      <c r="W38" s="1990"/>
      <c r="X38" s="1991"/>
      <c r="Y38" s="1991"/>
      <c r="Z38" s="1991"/>
      <c r="AA38" s="1992"/>
    </row>
    <row r="39" spans="1:27" ht="12" customHeight="1" x14ac:dyDescent="0.2">
      <c r="A39" s="2074" t="s">
        <v>531</v>
      </c>
      <c r="B39" s="2075"/>
      <c r="C39" s="72"/>
      <c r="D39" s="69"/>
      <c r="E39" s="69"/>
      <c r="F39" s="79"/>
      <c r="G39" s="69"/>
      <c r="H39" s="56"/>
      <c r="I39" s="2074" t="s">
        <v>531</v>
      </c>
      <c r="J39" s="2075"/>
      <c r="K39" s="2075"/>
      <c r="L39" s="2075"/>
      <c r="M39" s="2075"/>
      <c r="N39" s="67"/>
      <c r="O39" s="72"/>
      <c r="P39" s="72"/>
      <c r="Q39" s="78"/>
      <c r="R39" s="72"/>
      <c r="S39" s="56"/>
      <c r="T39" s="72" t="s">
        <v>531</v>
      </c>
      <c r="U39" s="51"/>
      <c r="V39" s="72"/>
      <c r="W39" s="50"/>
      <c r="X39" s="78"/>
      <c r="Y39" s="45"/>
      <c r="Z39" s="45"/>
      <c r="AA39" s="46"/>
    </row>
    <row r="40" spans="1:27" ht="13.5" customHeight="1" x14ac:dyDescent="0.2">
      <c r="A40" s="2077" t="s">
        <v>2456</v>
      </c>
      <c r="B40" s="2078"/>
      <c r="C40" s="2079"/>
      <c r="D40" s="2079"/>
      <c r="E40" s="2079"/>
      <c r="F40" s="2080"/>
      <c r="G40" s="2080"/>
      <c r="H40" s="2081"/>
      <c r="I40" s="1993"/>
      <c r="J40" s="1995"/>
      <c r="K40" s="1995"/>
      <c r="L40" s="1995"/>
      <c r="M40" s="1995"/>
      <c r="N40" s="1995"/>
      <c r="O40" s="1995"/>
      <c r="P40" s="1995"/>
      <c r="Q40" s="1995"/>
      <c r="R40" s="1995"/>
      <c r="S40" s="1996"/>
      <c r="T40" s="1993"/>
      <c r="U40" s="1994"/>
      <c r="V40" s="1995"/>
      <c r="W40" s="1995"/>
      <c r="X40" s="1995"/>
      <c r="Y40" s="1995"/>
      <c r="Z40" s="1995"/>
      <c r="AA40" s="1996"/>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67" t="s">
        <v>2458</v>
      </c>
      <c r="B42" s="2068"/>
      <c r="C42" s="2069"/>
      <c r="D42" s="2082" t="s">
        <v>2457</v>
      </c>
      <c r="E42" s="2068"/>
      <c r="F42" s="2068"/>
      <c r="G42" s="2068"/>
      <c r="H42" s="2069"/>
      <c r="I42" s="1988"/>
      <c r="J42" s="1984"/>
      <c r="K42" s="1984"/>
      <c r="L42" s="1984"/>
      <c r="M42" s="1984"/>
      <c r="N42" s="1984"/>
      <c r="O42" s="1985"/>
      <c r="P42" s="1983"/>
      <c r="Q42" s="1984"/>
      <c r="R42" s="1984"/>
      <c r="S42" s="1985"/>
      <c r="T42" s="1988"/>
      <c r="U42" s="1984"/>
      <c r="V42" s="1984"/>
      <c r="W42" s="1985"/>
      <c r="X42" s="1983"/>
      <c r="Y42" s="1984"/>
      <c r="Z42" s="1984"/>
      <c r="AA42" s="1985"/>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71"/>
      <c r="B44" s="2072"/>
      <c r="C44" s="2072"/>
      <c r="D44" s="2072"/>
      <c r="E44" s="2072"/>
      <c r="F44" s="2072"/>
      <c r="G44" s="2072"/>
      <c r="H44" s="2073"/>
      <c r="I44" s="2063"/>
      <c r="J44" s="2065"/>
      <c r="K44" s="2065"/>
      <c r="L44" s="2065"/>
      <c r="M44" s="2065"/>
      <c r="N44" s="2065"/>
      <c r="O44" s="2065"/>
      <c r="P44" s="2065"/>
      <c r="Q44" s="2065"/>
      <c r="R44" s="2065"/>
      <c r="S44" s="2066"/>
      <c r="T44" s="2063"/>
      <c r="U44" s="2064"/>
      <c r="V44" s="2064"/>
      <c r="W44" s="2064"/>
      <c r="X44" s="2064"/>
      <c r="Y44" s="2064"/>
      <c r="Z44" s="2065"/>
      <c r="AA44" s="2066"/>
    </row>
    <row r="45" spans="1:27" ht="13.5" customHeight="1" x14ac:dyDescent="0.2">
      <c r="A45" s="41" t="s">
        <v>186</v>
      </c>
      <c r="Q45" s="41" t="s">
        <v>1414</v>
      </c>
      <c r="R45" s="41"/>
      <c r="S45" s="41"/>
      <c r="T45" s="147"/>
      <c r="U45" s="41"/>
      <c r="V45" s="41"/>
      <c r="W45" s="41"/>
      <c r="X45" s="41"/>
      <c r="Y45" s="41"/>
      <c r="Z45" s="41"/>
      <c r="AA45" s="41"/>
    </row>
    <row r="46" spans="1:27" ht="10.5" customHeight="1" x14ac:dyDescent="0.2">
      <c r="A46" s="42" t="s">
        <v>1919</v>
      </c>
      <c r="D46" s="41"/>
      <c r="E46" s="41"/>
      <c r="F46" s="41"/>
      <c r="G46" s="41"/>
      <c r="Q46" s="29" t="s">
        <v>1415</v>
      </c>
      <c r="R46" s="41"/>
      <c r="S46" s="41"/>
      <c r="T46" s="41"/>
      <c r="U46" s="41"/>
      <c r="V46" s="41"/>
      <c r="W46" s="41"/>
      <c r="X46" s="41"/>
      <c r="Y46" s="41"/>
      <c r="Z46" s="41"/>
      <c r="AA46" s="41"/>
    </row>
    <row r="47" spans="1:27" x14ac:dyDescent="0.2">
      <c r="A47" s="137"/>
      <c r="Q47" s="41" t="s">
        <v>1902</v>
      </c>
      <c r="R47" s="41"/>
      <c r="S47" s="41"/>
      <c r="T47" s="41"/>
      <c r="U47" s="41"/>
      <c r="V47" s="41"/>
      <c r="W47" s="41"/>
      <c r="X47" s="41"/>
      <c r="Y47" s="41"/>
      <c r="Z47" s="41"/>
      <c r="AA47" s="41"/>
    </row>
    <row r="48" spans="1:27" x14ac:dyDescent="0.2">
      <c r="Q48" s="41" t="s">
        <v>1903</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pageSetUpPr fitToPage="1"/>
  </sheetPr>
  <dimension ref="A1:I84"/>
  <sheetViews>
    <sheetView showGridLines="0" topLeftCell="A40" zoomScale="110" zoomScaleNormal="110" workbookViewId="0">
      <selection activeCell="G54" sqref="G54"/>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1835</v>
      </c>
      <c r="C4" s="162" t="s">
        <v>1169</v>
      </c>
      <c r="D4" s="169" t="s">
        <v>10</v>
      </c>
      <c r="E4" s="170" t="s">
        <v>22</v>
      </c>
    </row>
    <row r="5" spans="1:5" x14ac:dyDescent="0.2">
      <c r="A5" s="168" t="s">
        <v>1837</v>
      </c>
      <c r="C5" s="162" t="s">
        <v>1169</v>
      </c>
      <c r="D5" s="169" t="s">
        <v>10</v>
      </c>
      <c r="E5" s="170" t="s">
        <v>22</v>
      </c>
    </row>
    <row r="6" spans="1:5" x14ac:dyDescent="0.2">
      <c r="A6" s="168" t="s">
        <v>1836</v>
      </c>
      <c r="C6" s="162" t="s">
        <v>1169</v>
      </c>
      <c r="D6" s="167" t="s">
        <v>11</v>
      </c>
      <c r="E6" s="170" t="s">
        <v>941</v>
      </c>
    </row>
    <row r="7" spans="1:5" x14ac:dyDescent="0.2">
      <c r="A7" s="168" t="s">
        <v>1838</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1839</v>
      </c>
      <c r="C11" s="162" t="s">
        <v>1169</v>
      </c>
      <c r="D11" s="169" t="s">
        <v>14</v>
      </c>
      <c r="E11" s="170" t="s">
        <v>1156</v>
      </c>
    </row>
    <row r="12" spans="1:5" x14ac:dyDescent="0.2">
      <c r="B12" s="169" t="s">
        <v>1840</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1841</v>
      </c>
      <c r="C15" s="162" t="s">
        <v>1169</v>
      </c>
      <c r="D15" s="169" t="s">
        <v>17</v>
      </c>
      <c r="E15" s="170" t="s">
        <v>636</v>
      </c>
    </row>
    <row r="16" spans="1:5" x14ac:dyDescent="0.2">
      <c r="A16" s="172"/>
      <c r="B16" s="162" t="s">
        <v>1842</v>
      </c>
      <c r="C16" s="162" t="s">
        <v>1169</v>
      </c>
      <c r="D16" s="169" t="s">
        <v>681</v>
      </c>
      <c r="E16" s="170" t="s">
        <v>1040</v>
      </c>
    </row>
    <row r="17" spans="1:5" x14ac:dyDescent="0.2">
      <c r="B17" s="167" t="s">
        <v>988</v>
      </c>
      <c r="C17" s="162" t="s">
        <v>1169</v>
      </c>
    </row>
    <row r="18" spans="1:5" x14ac:dyDescent="0.2">
      <c r="B18" s="167" t="s">
        <v>1848</v>
      </c>
      <c r="D18" s="169" t="s">
        <v>18</v>
      </c>
      <c r="E18" s="170" t="s">
        <v>1041</v>
      </c>
    </row>
    <row r="19" spans="1:5" x14ac:dyDescent="0.2">
      <c r="A19" s="168" t="s">
        <v>1099</v>
      </c>
      <c r="C19" s="162" t="s">
        <v>1169</v>
      </c>
      <c r="D19" s="169"/>
      <c r="E19" s="171"/>
    </row>
    <row r="20" spans="1:5" x14ac:dyDescent="0.2">
      <c r="B20" s="167" t="s">
        <v>1843</v>
      </c>
      <c r="C20" s="162" t="s">
        <v>1169</v>
      </c>
      <c r="D20" s="169" t="s">
        <v>19</v>
      </c>
      <c r="E20" s="170" t="s">
        <v>51</v>
      </c>
    </row>
    <row r="21" spans="1:5" x14ac:dyDescent="0.2">
      <c r="B21" s="167" t="s">
        <v>1844</v>
      </c>
      <c r="C21" s="162" t="s">
        <v>1169</v>
      </c>
      <c r="D21" s="169" t="s">
        <v>20</v>
      </c>
      <c r="E21" s="170" t="s">
        <v>1599</v>
      </c>
    </row>
    <row r="22" spans="1:5" x14ac:dyDescent="0.2">
      <c r="A22" s="168"/>
      <c r="B22" s="162" t="s">
        <v>1832</v>
      </c>
      <c r="C22" s="162" t="s">
        <v>1169</v>
      </c>
      <c r="D22" s="167" t="s">
        <v>1834</v>
      </c>
      <c r="E22" s="1768" t="s">
        <v>1600</v>
      </c>
    </row>
    <row r="23" spans="1:5" x14ac:dyDescent="0.2">
      <c r="A23" s="168"/>
      <c r="B23" s="162" t="s">
        <v>1833</v>
      </c>
      <c r="D23" s="167" t="s">
        <v>637</v>
      </c>
      <c r="E23" s="1768" t="s">
        <v>959</v>
      </c>
    </row>
    <row r="24" spans="1:5" x14ac:dyDescent="0.2">
      <c r="A24" s="168" t="s">
        <v>1598</v>
      </c>
      <c r="C24" s="162" t="s">
        <v>1169</v>
      </c>
      <c r="D24" s="167" t="s">
        <v>1388</v>
      </c>
      <c r="E24" s="170" t="s">
        <v>960</v>
      </c>
    </row>
    <row r="25" spans="1:5" x14ac:dyDescent="0.2">
      <c r="A25" s="168" t="s">
        <v>1845</v>
      </c>
      <c r="C25" s="162" t="s">
        <v>1169</v>
      </c>
      <c r="D25" s="169" t="s">
        <v>21</v>
      </c>
      <c r="E25" s="170" t="s">
        <v>1042</v>
      </c>
    </row>
    <row r="26" spans="1:5" x14ac:dyDescent="0.2">
      <c r="A26" s="168" t="s">
        <v>1846</v>
      </c>
      <c r="C26" s="162" t="s">
        <v>1169</v>
      </c>
      <c r="D26" s="169" t="s">
        <v>563</v>
      </c>
      <c r="E26" s="170" t="s">
        <v>1043</v>
      </c>
    </row>
    <row r="27" spans="1:5" x14ac:dyDescent="0.2">
      <c r="A27" s="168" t="s">
        <v>1847</v>
      </c>
      <c r="C27" s="162" t="s">
        <v>1169</v>
      </c>
      <c r="D27" s="169" t="s">
        <v>557</v>
      </c>
      <c r="E27" s="170" t="s">
        <v>683</v>
      </c>
    </row>
    <row r="28" spans="1:5" x14ac:dyDescent="0.2">
      <c r="A28" s="168" t="s">
        <v>1849</v>
      </c>
      <c r="D28" s="169" t="s">
        <v>684</v>
      </c>
      <c r="E28" s="170" t="s">
        <v>1361</v>
      </c>
    </row>
    <row r="29" spans="1:5" x14ac:dyDescent="0.2">
      <c r="A29" s="168" t="s">
        <v>1850</v>
      </c>
      <c r="D29" s="169" t="s">
        <v>1389</v>
      </c>
      <c r="E29" s="170" t="s">
        <v>1370</v>
      </c>
    </row>
    <row r="30" spans="1:5" x14ac:dyDescent="0.2">
      <c r="A30" s="173" t="s">
        <v>1851</v>
      </c>
      <c r="C30" s="162" t="s">
        <v>1169</v>
      </c>
      <c r="D30" s="169" t="s">
        <v>40</v>
      </c>
      <c r="E30" s="170" t="s">
        <v>982</v>
      </c>
    </row>
    <row r="31" spans="1:5" x14ac:dyDescent="0.2">
      <c r="A31" s="168" t="s">
        <v>1516</v>
      </c>
      <c r="C31" s="162" t="s">
        <v>1169</v>
      </c>
      <c r="D31" s="167"/>
      <c r="E31" s="171"/>
    </row>
    <row r="32" spans="1:5" x14ac:dyDescent="0.2">
      <c r="B32" s="167" t="s">
        <v>1852</v>
      </c>
      <c r="C32" s="162" t="s">
        <v>1169</v>
      </c>
      <c r="D32" s="169" t="s">
        <v>1517</v>
      </c>
      <c r="E32" s="170" t="s">
        <v>1390</v>
      </c>
    </row>
    <row r="33" spans="1:5" x14ac:dyDescent="0.2">
      <c r="A33" s="172"/>
      <c r="D33" s="169"/>
      <c r="E33" s="171"/>
    </row>
    <row r="34" spans="1:5" x14ac:dyDescent="0.2">
      <c r="A34" s="172"/>
      <c r="D34" s="169"/>
      <c r="E34" s="171"/>
    </row>
    <row r="35" spans="1:5" ht="15.75" customHeight="1" thickBot="1" x14ac:dyDescent="0.25">
      <c r="A35" s="2090" t="s">
        <v>1065</v>
      </c>
      <c r="B35" s="2090"/>
      <c r="C35" s="2090"/>
      <c r="D35" s="2090"/>
      <c r="E35" s="2090"/>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87" t="s">
        <v>691</v>
      </c>
      <c r="B40" s="2087"/>
      <c r="C40" s="2087"/>
      <c r="D40" s="2087"/>
      <c r="E40" s="2087"/>
    </row>
    <row r="41" spans="1:5" x14ac:dyDescent="0.2">
      <c r="A41" s="2088" t="s">
        <v>1597</v>
      </c>
      <c r="B41" s="2088"/>
      <c r="C41" s="2088"/>
      <c r="D41" s="2088"/>
      <c r="E41" s="2088"/>
    </row>
    <row r="42" spans="1:5" ht="12.75" customHeight="1" x14ac:dyDescent="0.2">
      <c r="A42" s="2089" t="s">
        <v>1022</v>
      </c>
      <c r="B42" s="2089"/>
      <c r="C42" s="2089"/>
      <c r="D42" s="2089"/>
      <c r="E42" s="2089"/>
    </row>
    <row r="43" spans="1:5" ht="6.75" customHeight="1" x14ac:dyDescent="0.2">
      <c r="A43" s="167"/>
      <c r="B43" s="176"/>
    </row>
    <row r="44" spans="1:5" x14ac:dyDescent="0.2">
      <c r="A44" s="185" t="s">
        <v>983</v>
      </c>
      <c r="B44" s="186" t="s">
        <v>1878</v>
      </c>
    </row>
    <row r="45" spans="1:5" ht="6.75" customHeight="1" x14ac:dyDescent="0.2">
      <c r="A45" s="187"/>
      <c r="B45" s="186"/>
    </row>
    <row r="46" spans="1:5" x14ac:dyDescent="0.2">
      <c r="A46" s="185" t="s">
        <v>984</v>
      </c>
      <c r="B46" s="169" t="s">
        <v>1602</v>
      </c>
    </row>
    <row r="47" spans="1:5" ht="9.75" customHeight="1" x14ac:dyDescent="0.2">
      <c r="A47" s="189"/>
      <c r="B47" s="188"/>
    </row>
    <row r="48" spans="1:5" x14ac:dyDescent="0.2">
      <c r="A48" s="169" t="s">
        <v>1601</v>
      </c>
      <c r="B48" s="169" t="s">
        <v>1606</v>
      </c>
      <c r="C48" s="177"/>
    </row>
    <row r="49" spans="1:3" ht="9.75" customHeight="1" x14ac:dyDescent="0.2">
      <c r="A49" s="188"/>
      <c r="B49" s="188"/>
      <c r="C49" s="177"/>
    </row>
    <row r="50" spans="1:3" x14ac:dyDescent="0.2">
      <c r="A50" s="200" t="s">
        <v>1603</v>
      </c>
      <c r="B50" s="198" t="s">
        <v>1607</v>
      </c>
    </row>
    <row r="51" spans="1:3" x14ac:dyDescent="0.2">
      <c r="B51" s="169" t="s">
        <v>1749</v>
      </c>
    </row>
    <row r="52" spans="1:3" x14ac:dyDescent="0.2">
      <c r="A52" s="190"/>
      <c r="B52" s="188" t="s">
        <v>1769</v>
      </c>
    </row>
    <row r="53" spans="1:3" ht="4.5" customHeight="1" x14ac:dyDescent="0.2">
      <c r="A53" s="190"/>
      <c r="B53" s="190"/>
    </row>
    <row r="54" spans="1:3" x14ac:dyDescent="0.2">
      <c r="A54" s="190"/>
      <c r="B54" s="201" t="s">
        <v>1604</v>
      </c>
    </row>
    <row r="55" spans="1:3" ht="8.25" customHeight="1" x14ac:dyDescent="0.2">
      <c r="A55" s="190"/>
      <c r="B55" s="191"/>
    </row>
    <row r="56" spans="1:3" x14ac:dyDescent="0.2">
      <c r="A56" s="192"/>
      <c r="B56" s="169" t="s">
        <v>1750</v>
      </c>
    </row>
    <row r="57" spans="1:3" x14ac:dyDescent="0.2">
      <c r="A57" s="193"/>
      <c r="B57" s="190" t="s">
        <v>1752</v>
      </c>
    </row>
    <row r="58" spans="1:3" x14ac:dyDescent="0.2">
      <c r="A58" s="194"/>
      <c r="B58" s="190" t="s">
        <v>1753</v>
      </c>
    </row>
    <row r="59" spans="1:3" x14ac:dyDescent="0.2">
      <c r="A59" s="195"/>
      <c r="B59" s="1418" t="s">
        <v>1754</v>
      </c>
    </row>
    <row r="60" spans="1:3" x14ac:dyDescent="0.2">
      <c r="A60" s="196"/>
      <c r="B60" s="1418" t="s">
        <v>1755</v>
      </c>
    </row>
    <row r="61" spans="1:3" ht="6" customHeight="1" x14ac:dyDescent="0.2">
      <c r="A61" s="197"/>
      <c r="B61" s="189"/>
    </row>
    <row r="62" spans="1:3" x14ac:dyDescent="0.2">
      <c r="A62" s="169" t="s">
        <v>1605</v>
      </c>
      <c r="B62" s="198" t="s">
        <v>1751</v>
      </c>
    </row>
    <row r="63" spans="1:3" x14ac:dyDescent="0.2">
      <c r="A63" s="188"/>
      <c r="B63" s="169" t="s">
        <v>1766</v>
      </c>
    </row>
    <row r="64" spans="1:3" x14ac:dyDescent="0.2">
      <c r="A64" s="195"/>
      <c r="B64" s="1420" t="s">
        <v>1756</v>
      </c>
    </row>
    <row r="65" spans="1:9" x14ac:dyDescent="0.2">
      <c r="A65" s="188"/>
      <c r="B65" s="169" t="s">
        <v>1767</v>
      </c>
    </row>
    <row r="66" spans="1:9" x14ac:dyDescent="0.2">
      <c r="A66" s="190"/>
      <c r="B66" s="190" t="s">
        <v>1757</v>
      </c>
    </row>
    <row r="67" spans="1:9" ht="12" customHeight="1" x14ac:dyDescent="0.2">
      <c r="A67" s="188"/>
      <c r="B67" s="169" t="s">
        <v>1768</v>
      </c>
    </row>
    <row r="68" spans="1:9" x14ac:dyDescent="0.2">
      <c r="A68" s="189"/>
      <c r="B68" s="190" t="s">
        <v>1758</v>
      </c>
    </row>
    <row r="69" spans="1:9" x14ac:dyDescent="0.2">
      <c r="A69" s="190"/>
      <c r="B69" s="188" t="s">
        <v>1759</v>
      </c>
    </row>
    <row r="70" spans="1:9" ht="13.5" customHeight="1" x14ac:dyDescent="0.2">
      <c r="A70" s="190"/>
      <c r="B70" s="188" t="s">
        <v>1760</v>
      </c>
    </row>
    <row r="71" spans="1:9" ht="12" customHeight="1" x14ac:dyDescent="0.2">
      <c r="A71" s="192"/>
      <c r="B71" s="1419" t="s">
        <v>1608</v>
      </c>
    </row>
    <row r="72" spans="1:9" ht="9" customHeight="1" x14ac:dyDescent="0.2">
      <c r="A72" s="192"/>
      <c r="B72" s="199"/>
    </row>
    <row r="73" spans="1:9" x14ac:dyDescent="0.2">
      <c r="A73" s="189" t="s">
        <v>1609</v>
      </c>
      <c r="B73" s="169" t="s">
        <v>1762</v>
      </c>
    </row>
    <row r="74" spans="1:9" x14ac:dyDescent="0.2">
      <c r="A74" s="189"/>
      <c r="B74" s="169" t="s">
        <v>1761</v>
      </c>
    </row>
    <row r="75" spans="1:9" ht="8.25" customHeight="1" x14ac:dyDescent="0.2">
      <c r="A75" s="189"/>
      <c r="B75" s="189"/>
    </row>
    <row r="76" spans="1:9" ht="12.2" customHeight="1" x14ac:dyDescent="0.2">
      <c r="A76" s="189" t="s">
        <v>1610</v>
      </c>
      <c r="B76" s="198" t="s">
        <v>1763</v>
      </c>
    </row>
    <row r="77" spans="1:9" ht="12.2" customHeight="1" x14ac:dyDescent="0.2">
      <c r="A77" s="190"/>
      <c r="B77" s="169" t="s">
        <v>1611</v>
      </c>
      <c r="C77" s="179"/>
      <c r="D77" s="180"/>
      <c r="E77" s="181"/>
      <c r="F77" s="181"/>
      <c r="G77" s="181"/>
      <c r="H77" s="181"/>
      <c r="I77" s="181"/>
    </row>
    <row r="78" spans="1:9" ht="11.25" customHeight="1" x14ac:dyDescent="0.2">
      <c r="A78" s="190"/>
      <c r="B78" s="190" t="s">
        <v>1765</v>
      </c>
      <c r="C78" s="179"/>
      <c r="D78" s="182"/>
      <c r="E78" s="182"/>
      <c r="F78" s="182"/>
      <c r="G78" s="182"/>
      <c r="H78" s="182"/>
      <c r="I78" s="181"/>
    </row>
    <row r="79" spans="1:9" ht="12.2" customHeight="1" x14ac:dyDescent="0.2">
      <c r="A79" s="190"/>
      <c r="B79" s="169" t="s">
        <v>1612</v>
      </c>
      <c r="C79" s="179"/>
      <c r="D79" s="182"/>
      <c r="E79" s="182"/>
      <c r="F79" s="182"/>
      <c r="G79" s="182"/>
      <c r="H79" s="182"/>
      <c r="I79" s="181"/>
    </row>
    <row r="80" spans="1:9" ht="11.25" customHeight="1" x14ac:dyDescent="0.2">
      <c r="A80" s="189"/>
      <c r="B80" s="190" t="s">
        <v>1764</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2D050"/>
  </sheetPr>
  <dimension ref="A1:K143"/>
  <sheetViews>
    <sheetView showGridLines="0" defaultGridColor="0" topLeftCell="A92" colorId="8" zoomScale="110" zoomScaleNormal="110" workbookViewId="0">
      <selection activeCell="J117" sqref="J117"/>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91" t="s">
        <v>1168</v>
      </c>
      <c r="B2" s="2091"/>
      <c r="C2" s="2091"/>
      <c r="D2" s="2091"/>
      <c r="E2" s="2091"/>
      <c r="F2" s="2091"/>
      <c r="G2" s="2091"/>
      <c r="H2" s="2091"/>
      <c r="I2" s="2091"/>
      <c r="J2" s="2091"/>
    </row>
    <row r="3" spans="1:11" s="181" customFormat="1" ht="17.25" customHeight="1" x14ac:dyDescent="0.2">
      <c r="A3" s="207"/>
      <c r="B3" s="207"/>
      <c r="C3" s="208"/>
      <c r="D3" s="209"/>
      <c r="E3" s="210"/>
    </row>
    <row r="4" spans="1:11" x14ac:dyDescent="0.2">
      <c r="A4" s="344" t="s">
        <v>1626</v>
      </c>
      <c r="B4" s="344"/>
      <c r="C4" s="344"/>
      <c r="D4" s="344"/>
      <c r="E4" s="344"/>
      <c r="F4" s="344"/>
      <c r="G4" s="344"/>
      <c r="H4" s="344"/>
      <c r="I4" s="344"/>
      <c r="J4" s="344"/>
      <c r="K4" s="344"/>
    </row>
    <row r="5" spans="1:11" x14ac:dyDescent="0.2">
      <c r="A5" s="237" t="s">
        <v>1627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1553</v>
      </c>
    </row>
    <row r="10" spans="1:11" s="181" customFormat="1" x14ac:dyDescent="0.2">
      <c r="A10" s="222"/>
      <c r="B10" s="223"/>
      <c r="C10" s="224"/>
      <c r="D10" s="225" t="s">
        <v>1613</v>
      </c>
    </row>
    <row r="11" spans="1:11" s="181" customFormat="1" x14ac:dyDescent="0.2">
      <c r="A11" s="219"/>
      <c r="B11" s="226"/>
      <c r="C11" s="227">
        <v>2</v>
      </c>
      <c r="D11" s="228" t="s">
        <v>1614</v>
      </c>
    </row>
    <row r="12" spans="1:11" s="181" customFormat="1" hidden="1" x14ac:dyDescent="0.2">
      <c r="A12" s="219"/>
      <c r="B12" s="229"/>
      <c r="C12" s="227"/>
      <c r="D12" s="230"/>
    </row>
    <row r="13" spans="1:11" s="181" customFormat="1" x14ac:dyDescent="0.2">
      <c r="A13" s="219"/>
      <c r="B13" s="226"/>
      <c r="C13" s="227">
        <v>3</v>
      </c>
      <c r="D13" s="228" t="s">
        <v>1615</v>
      </c>
    </row>
    <row r="14" spans="1:11" s="181" customFormat="1" x14ac:dyDescent="0.2">
      <c r="A14" s="219"/>
      <c r="B14" s="226"/>
      <c r="C14" s="227">
        <v>4</v>
      </c>
      <c r="D14" s="228" t="s">
        <v>1616</v>
      </c>
    </row>
    <row r="15" spans="1:11" s="181" customFormat="1" x14ac:dyDescent="0.2">
      <c r="A15" s="219"/>
      <c r="B15" s="226"/>
      <c r="C15" s="227">
        <v>5</v>
      </c>
      <c r="D15" s="231" t="s">
        <v>969</v>
      </c>
    </row>
    <row r="16" spans="1:11" s="181" customFormat="1" x14ac:dyDescent="0.2">
      <c r="A16" s="219"/>
      <c r="B16" s="226"/>
      <c r="C16" s="227">
        <v>6</v>
      </c>
      <c r="D16" s="231" t="s">
        <v>1454</v>
      </c>
    </row>
    <row r="17" spans="1:4" s="181" customFormat="1" ht="6" hidden="1" customHeight="1" x14ac:dyDescent="0.2">
      <c r="A17" s="219"/>
      <c r="B17" s="229"/>
      <c r="C17" s="227"/>
      <c r="D17" s="232"/>
    </row>
    <row r="18" spans="1:4" s="181" customFormat="1" ht="12" customHeight="1" x14ac:dyDescent="0.2">
      <c r="A18" s="219"/>
      <c r="B18" s="226"/>
      <c r="C18" s="227">
        <v>7</v>
      </c>
      <c r="D18" s="231" t="s">
        <v>1453</v>
      </c>
    </row>
    <row r="19" spans="1:4" s="181" customFormat="1" hidden="1" x14ac:dyDescent="0.2">
      <c r="A19" s="219"/>
      <c r="B19" s="229"/>
      <c r="C19" s="227"/>
      <c r="D19" s="232"/>
    </row>
    <row r="20" spans="1:4" s="181" customFormat="1" x14ac:dyDescent="0.2">
      <c r="A20" s="219"/>
      <c r="B20" s="226"/>
      <c r="C20" s="227">
        <v>8</v>
      </c>
      <c r="D20" s="231" t="s">
        <v>1617</v>
      </c>
    </row>
    <row r="21" spans="1:4" s="181" customFormat="1" x14ac:dyDescent="0.2">
      <c r="A21" s="219"/>
      <c r="B21" s="229"/>
      <c r="C21" s="227"/>
      <c r="D21" s="233" t="s">
        <v>1550</v>
      </c>
    </row>
    <row r="22" spans="1:4" s="181" customFormat="1" x14ac:dyDescent="0.2">
      <c r="A22" s="219"/>
      <c r="B22" s="226"/>
      <c r="C22" s="227">
        <v>9</v>
      </c>
      <c r="D22" s="231" t="s">
        <v>1618</v>
      </c>
    </row>
    <row r="23" spans="1:4" s="181" customFormat="1" x14ac:dyDescent="0.2">
      <c r="A23" s="219"/>
      <c r="B23" s="234"/>
      <c r="C23" s="227"/>
      <c r="D23" s="235" t="s">
        <v>1551</v>
      </c>
    </row>
    <row r="24" spans="1:4" s="181" customFormat="1" x14ac:dyDescent="0.2">
      <c r="A24" s="219"/>
      <c r="B24" s="226"/>
      <c r="C24" s="227">
        <v>10</v>
      </c>
      <c r="D24" s="231" t="s">
        <v>1619</v>
      </c>
    </row>
    <row r="25" spans="1:4" s="181" customFormat="1" x14ac:dyDescent="0.2">
      <c r="A25" s="219"/>
      <c r="B25" s="226"/>
      <c r="C25" s="227">
        <v>11</v>
      </c>
      <c r="D25" s="231" t="s">
        <v>1620</v>
      </c>
    </row>
    <row r="26" spans="1:4" s="181" customFormat="1" x14ac:dyDescent="0.2">
      <c r="A26" s="219"/>
      <c r="B26" s="234"/>
      <c r="C26" s="227"/>
      <c r="D26" s="235" t="s">
        <v>1552</v>
      </c>
    </row>
    <row r="27" spans="1:4" s="181" customFormat="1" x14ac:dyDescent="0.2">
      <c r="A27" s="219"/>
      <c r="B27" s="226"/>
      <c r="C27" s="227">
        <v>12</v>
      </c>
      <c r="D27" s="231" t="s">
        <v>1554</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1621</v>
      </c>
    </row>
    <row r="31" spans="1:4" s="181" customFormat="1" x14ac:dyDescent="0.2">
      <c r="A31" s="219"/>
      <c r="B31" s="226"/>
      <c r="C31" s="227">
        <v>14</v>
      </c>
      <c r="D31" s="231" t="s">
        <v>1921</v>
      </c>
    </row>
    <row r="32" spans="1:4" s="181" customFormat="1" x14ac:dyDescent="0.2">
      <c r="A32" s="219"/>
      <c r="B32" s="236"/>
      <c r="C32" s="227"/>
      <c r="D32" s="237" t="s">
        <v>1771</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105" t="s">
        <v>1622</v>
      </c>
      <c r="B35" s="2106"/>
      <c r="C35" s="2106"/>
      <c r="D35" s="2106"/>
      <c r="E35" s="2107"/>
      <c r="F35" s="2107"/>
      <c r="G35" s="2107"/>
      <c r="H35" s="2107"/>
      <c r="I35" s="2107"/>
    </row>
    <row r="36" spans="1:9" s="181" customFormat="1" x14ac:dyDescent="0.2">
      <c r="A36" s="219"/>
      <c r="B36" s="229"/>
      <c r="C36" s="227"/>
      <c r="D36" s="239"/>
    </row>
    <row r="37" spans="1:9" s="181" customFormat="1" x14ac:dyDescent="0.2">
      <c r="A37" s="219"/>
      <c r="B37" s="226" t="s">
        <v>2042</v>
      </c>
      <c r="C37" s="227">
        <v>15</v>
      </c>
      <c r="D37" s="231" t="s">
        <v>362</v>
      </c>
    </row>
    <row r="38" spans="1:9" s="181" customFormat="1" x14ac:dyDescent="0.2">
      <c r="A38" s="219"/>
      <c r="B38" s="229"/>
      <c r="C38" s="227"/>
      <c r="D38" s="240" t="s">
        <v>1623</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1624</v>
      </c>
    </row>
    <row r="43" spans="1:9" s="181" customFormat="1" x14ac:dyDescent="0.2">
      <c r="A43" s="219"/>
      <c r="B43" s="229"/>
      <c r="C43" s="227"/>
      <c r="D43" s="240" t="s">
        <v>1625</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05" t="s">
        <v>313</v>
      </c>
      <c r="B47" s="2108"/>
      <c r="C47" s="2108"/>
      <c r="D47" s="2108"/>
      <c r="E47" s="2109"/>
      <c r="F47" s="2109"/>
      <c r="G47" s="2109"/>
      <c r="H47" s="2109"/>
      <c r="I47" s="2109"/>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1628</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t="s">
        <v>2042</v>
      </c>
      <c r="C53" s="179">
        <v>22</v>
      </c>
      <c r="D53" s="247" t="s">
        <v>1457</v>
      </c>
      <c r="E53" s="248"/>
      <c r="F53" s="249"/>
      <c r="G53" s="249" t="s">
        <v>1456</v>
      </c>
      <c r="H53" s="250">
        <v>34335</v>
      </c>
      <c r="I53" s="237" t="s">
        <v>1478</v>
      </c>
    </row>
    <row r="54" spans="1:10" s="181" customFormat="1" x14ac:dyDescent="0.2">
      <c r="A54" s="219"/>
      <c r="B54" s="220"/>
      <c r="C54" s="179">
        <v>23</v>
      </c>
      <c r="D54" s="243" t="s">
        <v>1357</v>
      </c>
      <c r="E54" s="248"/>
      <c r="F54" s="249"/>
    </row>
    <row r="55" spans="1:10" s="181" customFormat="1" x14ac:dyDescent="0.2">
      <c r="A55" s="214"/>
      <c r="B55" s="251"/>
      <c r="C55" s="251"/>
      <c r="D55" s="231" t="s">
        <v>1770</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12"/>
      <c r="C57" s="2113"/>
      <c r="D57" s="2113"/>
      <c r="E57" s="2113"/>
      <c r="F57" s="2113"/>
      <c r="G57" s="2113"/>
      <c r="H57" s="2113"/>
      <c r="I57" s="2113"/>
      <c r="J57" s="2114"/>
    </row>
    <row r="58" spans="1:10" s="181" customFormat="1" x14ac:dyDescent="0.2">
      <c r="A58" s="253"/>
      <c r="B58" s="2115"/>
      <c r="C58" s="2116"/>
      <c r="D58" s="2116"/>
      <c r="E58" s="2116"/>
      <c r="F58" s="2116"/>
      <c r="G58" s="2116"/>
      <c r="H58" s="2116"/>
      <c r="I58" s="2116"/>
      <c r="J58" s="2117"/>
    </row>
    <row r="59" spans="1:10" s="181" customFormat="1" x14ac:dyDescent="0.2">
      <c r="A59" s="253"/>
      <c r="B59" s="2115"/>
      <c r="C59" s="2116"/>
      <c r="D59" s="2116"/>
      <c r="E59" s="2116"/>
      <c r="F59" s="2116"/>
      <c r="G59" s="2116"/>
      <c r="H59" s="2116"/>
      <c r="I59" s="2116"/>
      <c r="J59" s="2117"/>
    </row>
    <row r="60" spans="1:10" s="181" customFormat="1" x14ac:dyDescent="0.2">
      <c r="A60" s="253"/>
      <c r="B60" s="2115"/>
      <c r="C60" s="2116"/>
      <c r="D60" s="2116"/>
      <c r="E60" s="2116"/>
      <c r="F60" s="2116"/>
      <c r="G60" s="2116"/>
      <c r="H60" s="2116"/>
      <c r="I60" s="2116"/>
      <c r="J60" s="2117"/>
    </row>
    <row r="61" spans="1:10" s="181" customFormat="1" x14ac:dyDescent="0.2">
      <c r="A61" s="253"/>
      <c r="B61" s="2115"/>
      <c r="C61" s="2116"/>
      <c r="D61" s="2116"/>
      <c r="E61" s="2116"/>
      <c r="F61" s="2116"/>
      <c r="G61" s="2116"/>
      <c r="H61" s="2116"/>
      <c r="I61" s="2116"/>
      <c r="J61" s="2117"/>
    </row>
    <row r="62" spans="1:10" s="181" customFormat="1" x14ac:dyDescent="0.2">
      <c r="A62" s="253"/>
      <c r="B62" s="2115"/>
      <c r="C62" s="2116"/>
      <c r="D62" s="2116"/>
      <c r="E62" s="2116"/>
      <c r="F62" s="2116"/>
      <c r="G62" s="2116"/>
      <c r="H62" s="2116"/>
      <c r="I62" s="2116"/>
      <c r="J62" s="2117"/>
    </row>
    <row r="63" spans="1:10" s="181" customFormat="1" x14ac:dyDescent="0.2">
      <c r="A63" s="253"/>
      <c r="B63" s="2115"/>
      <c r="C63" s="2116"/>
      <c r="D63" s="2116"/>
      <c r="E63" s="2116"/>
      <c r="F63" s="2116"/>
      <c r="G63" s="2116"/>
      <c r="H63" s="2116"/>
      <c r="I63" s="2116"/>
      <c r="J63" s="2117"/>
    </row>
    <row r="64" spans="1:10" s="181" customFormat="1" x14ac:dyDescent="0.2">
      <c r="A64" s="253"/>
      <c r="B64" s="2115"/>
      <c r="C64" s="2116"/>
      <c r="D64" s="2116"/>
      <c r="E64" s="2116"/>
      <c r="F64" s="2116"/>
      <c r="G64" s="2116"/>
      <c r="H64" s="2116"/>
      <c r="I64" s="2116"/>
      <c r="J64" s="2117"/>
    </row>
    <row r="65" spans="1:10" s="181" customFormat="1" x14ac:dyDescent="0.2">
      <c r="A65" s="253"/>
      <c r="B65" s="2115"/>
      <c r="C65" s="2116"/>
      <c r="D65" s="2116"/>
      <c r="E65" s="2116"/>
      <c r="F65" s="2116"/>
      <c r="G65" s="2116"/>
      <c r="H65" s="2116"/>
      <c r="I65" s="2116"/>
      <c r="J65" s="2117"/>
    </row>
    <row r="66" spans="1:10" s="181" customFormat="1" x14ac:dyDescent="0.2">
      <c r="A66" s="253"/>
      <c r="B66" s="2115"/>
      <c r="C66" s="2116"/>
      <c r="D66" s="2116"/>
      <c r="E66" s="2116"/>
      <c r="F66" s="2116"/>
      <c r="G66" s="2116"/>
      <c r="H66" s="2116"/>
      <c r="I66" s="2116"/>
      <c r="J66" s="2117"/>
    </row>
    <row r="67" spans="1:10" s="181" customFormat="1" ht="9" customHeight="1" x14ac:dyDescent="0.2">
      <c r="A67" s="254"/>
      <c r="B67" s="2118"/>
      <c r="C67" s="2119"/>
      <c r="D67" s="2119"/>
      <c r="E67" s="2119"/>
      <c r="F67" s="2119"/>
      <c r="G67" s="2119"/>
      <c r="H67" s="2119"/>
      <c r="I67" s="2119"/>
      <c r="J67" s="2120"/>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05" t="s">
        <v>1318</v>
      </c>
      <c r="B70" s="2108"/>
      <c r="C70" s="2108"/>
      <c r="D70" s="2108"/>
      <c r="E70" s="2109"/>
      <c r="F70" s="2109"/>
      <c r="G70" s="2109"/>
      <c r="H70" s="2109"/>
      <c r="I70" s="2109"/>
    </row>
    <row r="71" spans="1:10" s="181" customFormat="1" x14ac:dyDescent="0.2">
      <c r="A71" s="219"/>
      <c r="C71" s="257"/>
      <c r="D71" s="258" t="s">
        <v>1317</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1906</v>
      </c>
      <c r="B73" s="255"/>
      <c r="C73" s="256"/>
      <c r="D73" s="256"/>
      <c r="E73" s="256"/>
      <c r="F73" s="256"/>
      <c r="G73" s="256"/>
      <c r="H73" s="256"/>
    </row>
    <row r="74" spans="1:10" s="181" customFormat="1" x14ac:dyDescent="0.2">
      <c r="A74" s="259" t="s">
        <v>1420</v>
      </c>
      <c r="B74" s="255"/>
      <c r="C74" s="256"/>
      <c r="D74" s="256"/>
      <c r="E74" s="256"/>
      <c r="F74" s="256"/>
      <c r="G74" s="256"/>
      <c r="H74" s="256"/>
    </row>
    <row r="75" spans="1:10" s="181" customFormat="1" x14ac:dyDescent="0.2">
      <c r="A75" s="259" t="s">
        <v>1922</v>
      </c>
      <c r="B75" s="255"/>
      <c r="C75" s="256"/>
      <c r="D75" s="256"/>
      <c r="E75" s="256"/>
      <c r="F75" s="256"/>
      <c r="G75" s="256"/>
      <c r="H75" s="256"/>
    </row>
    <row r="76" spans="1:10" s="181" customFormat="1" ht="18.75" customHeight="1" x14ac:dyDescent="0.2">
      <c r="A76" s="239" t="s">
        <v>1421</v>
      </c>
      <c r="B76" s="255"/>
      <c r="C76" s="256"/>
      <c r="D76" s="256"/>
      <c r="E76" s="256"/>
      <c r="F76" s="256"/>
      <c r="G76" s="256"/>
      <c r="H76" s="256"/>
    </row>
    <row r="77" spans="1:10" s="181" customFormat="1" x14ac:dyDescent="0.2">
      <c r="C77" s="179">
        <v>24</v>
      </c>
      <c r="D77" s="247" t="s">
        <v>1636</v>
      </c>
      <c r="G77" s="297" t="s">
        <v>1881</v>
      </c>
      <c r="I77" s="1770"/>
      <c r="J77" s="261">
        <v>43706</v>
      </c>
    </row>
    <row r="78" spans="1:10" s="181" customFormat="1" ht="6" customHeight="1" x14ac:dyDescent="0.2">
      <c r="A78" s="219"/>
      <c r="B78" s="262"/>
      <c r="C78" s="179"/>
      <c r="D78" s="247"/>
      <c r="E78" s="248"/>
      <c r="F78" s="249"/>
    </row>
    <row r="79" spans="1:10" s="181" customFormat="1" x14ac:dyDescent="0.2">
      <c r="A79" s="219"/>
      <c r="B79" s="262"/>
      <c r="C79" s="179">
        <v>25</v>
      </c>
      <c r="D79" s="247" t="s">
        <v>1634</v>
      </c>
      <c r="E79" s="248"/>
      <c r="F79" s="249"/>
    </row>
    <row r="80" spans="1:10" s="181" customFormat="1" x14ac:dyDescent="0.2">
      <c r="A80" s="219"/>
      <c r="B80" s="262"/>
      <c r="C80" s="179"/>
      <c r="D80" s="247" t="s">
        <v>1635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10" t="s">
        <v>1315</v>
      </c>
      <c r="B83" s="2110"/>
      <c r="C83" s="2110"/>
      <c r="D83" s="2111"/>
      <c r="E83" s="263" t="s">
        <v>1352</v>
      </c>
      <c r="F83" s="263" t="s">
        <v>1353</v>
      </c>
      <c r="G83" s="263" t="s">
        <v>1354</v>
      </c>
      <c r="H83" s="263" t="s">
        <v>1355</v>
      </c>
      <c r="I83" s="263" t="s">
        <v>1356</v>
      </c>
      <c r="J83" s="264" t="s">
        <v>156</v>
      </c>
    </row>
    <row r="84" spans="1:10" s="181" customFormat="1" ht="13.5" customHeight="1" thickTop="1" x14ac:dyDescent="0.2">
      <c r="A84" s="265" t="s">
        <v>1439</v>
      </c>
      <c r="B84" s="266"/>
      <c r="C84" s="267"/>
      <c r="D84" s="268"/>
      <c r="E84" s="269"/>
      <c r="F84" s="269"/>
      <c r="G84" s="269"/>
      <c r="H84" s="269"/>
      <c r="I84" s="269"/>
      <c r="J84" s="270"/>
    </row>
    <row r="85" spans="1:10" s="181" customFormat="1" ht="13.5" customHeight="1" x14ac:dyDescent="0.2">
      <c r="A85" s="271" t="s">
        <v>1904</v>
      </c>
      <c r="B85" s="272"/>
      <c r="C85" s="273"/>
      <c r="D85" s="274"/>
      <c r="E85" s="275">
        <v>5690066</v>
      </c>
      <c r="F85" s="276">
        <f>75661+244</f>
        <v>75905</v>
      </c>
      <c r="G85" s="276">
        <v>15730824</v>
      </c>
      <c r="H85" s="276">
        <v>2765205</v>
      </c>
      <c r="I85" s="276">
        <v>2008586</v>
      </c>
      <c r="J85" s="277">
        <f>SUM(E85:I85)</f>
        <v>26270586</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1316</v>
      </c>
      <c r="B87" s="283"/>
      <c r="C87" s="284"/>
      <c r="D87" s="281"/>
      <c r="E87" s="269"/>
      <c r="F87" s="269"/>
      <c r="G87" s="269"/>
      <c r="H87" s="269"/>
      <c r="I87" s="269"/>
      <c r="J87" s="270"/>
    </row>
    <row r="88" spans="1:10" s="181" customFormat="1" ht="13.5" customHeight="1" x14ac:dyDescent="0.2">
      <c r="A88" s="285" t="s">
        <v>1904</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26270586</v>
      </c>
    </row>
    <row r="91" spans="1:10" s="181" customFormat="1" x14ac:dyDescent="0.2">
      <c r="A91" s="219"/>
      <c r="B91" s="262"/>
      <c r="C91" s="179"/>
      <c r="E91" s="260"/>
      <c r="F91" s="296"/>
      <c r="H91" s="297"/>
    </row>
    <row r="92" spans="1:10" s="181" customFormat="1" x14ac:dyDescent="0.2">
      <c r="A92" s="219"/>
      <c r="B92" s="247" t="s">
        <v>1629</v>
      </c>
      <c r="C92" s="179"/>
      <c r="E92" s="260"/>
      <c r="F92" s="296"/>
      <c r="H92" s="297"/>
    </row>
    <row r="93" spans="1:10" s="181" customFormat="1" ht="16.5" customHeight="1" x14ac:dyDescent="0.2">
      <c r="A93" s="219"/>
      <c r="B93" s="298" t="s">
        <v>1905</v>
      </c>
      <c r="C93" s="179"/>
      <c r="E93" s="260"/>
      <c r="F93" s="296"/>
      <c r="H93" s="297"/>
    </row>
    <row r="94" spans="1:10" s="181" customFormat="1" x14ac:dyDescent="0.2">
      <c r="A94" s="299" t="s">
        <v>1326</v>
      </c>
      <c r="B94" s="300"/>
      <c r="C94" s="300"/>
      <c r="D94" s="301"/>
      <c r="E94" s="302"/>
      <c r="F94" s="303"/>
      <c r="G94" s="304"/>
      <c r="H94" s="305"/>
      <c r="I94" s="306"/>
    </row>
    <row r="95" spans="1:10" s="181" customFormat="1" x14ac:dyDescent="0.2">
      <c r="A95" s="307"/>
      <c r="B95" s="308" t="s">
        <v>1630</v>
      </c>
      <c r="C95" s="309"/>
      <c r="D95" s="310"/>
      <c r="E95" s="304"/>
      <c r="F95" s="304"/>
      <c r="G95" s="304"/>
      <c r="H95" s="304"/>
      <c r="I95" s="304"/>
    </row>
    <row r="96" spans="1:10" s="181" customFormat="1" x14ac:dyDescent="0.2">
      <c r="A96" s="307" t="s">
        <v>1169</v>
      </c>
      <c r="B96" s="345" t="s">
        <v>1632</v>
      </c>
      <c r="C96" s="309"/>
      <c r="D96" s="311"/>
      <c r="E96" s="311"/>
      <c r="F96" s="311"/>
      <c r="G96" s="311"/>
      <c r="H96" s="311"/>
      <c r="I96" s="304"/>
    </row>
    <row r="97" spans="1:9" s="181" customFormat="1" x14ac:dyDescent="0.2">
      <c r="A97" s="307"/>
      <c r="B97" s="308" t="s">
        <v>1631</v>
      </c>
      <c r="C97" s="309"/>
      <c r="D97" s="311"/>
      <c r="E97" s="311"/>
      <c r="F97" s="311"/>
      <c r="G97" s="311"/>
      <c r="H97" s="311"/>
      <c r="I97" s="304"/>
    </row>
    <row r="98" spans="1:9" s="181" customFormat="1" x14ac:dyDescent="0.2">
      <c r="A98" s="308"/>
      <c r="B98" s="312" t="s">
        <v>1633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92"/>
      <c r="C102" s="2093"/>
      <c r="D102" s="2093"/>
      <c r="E102" s="2093"/>
      <c r="F102" s="2093"/>
      <c r="G102" s="2093"/>
      <c r="H102" s="2093"/>
      <c r="I102" s="2094"/>
    </row>
    <row r="103" spans="1:9" s="181" customFormat="1" ht="11.25" customHeight="1" x14ac:dyDescent="0.2">
      <c r="A103" s="316"/>
      <c r="B103" s="2095"/>
      <c r="C103" s="2096"/>
      <c r="D103" s="2096"/>
      <c r="E103" s="2096"/>
      <c r="F103" s="2096"/>
      <c r="G103" s="2096"/>
      <c r="H103" s="2096"/>
      <c r="I103" s="2097"/>
    </row>
    <row r="104" spans="1:9" s="181" customFormat="1" ht="11.25" customHeight="1" x14ac:dyDescent="0.2">
      <c r="A104" s="316"/>
      <c r="B104" s="2095"/>
      <c r="C104" s="2096"/>
      <c r="D104" s="2096"/>
      <c r="E104" s="2096"/>
      <c r="F104" s="2096"/>
      <c r="G104" s="2096"/>
      <c r="H104" s="2096"/>
      <c r="I104" s="2097"/>
    </row>
    <row r="105" spans="1:9" s="181" customFormat="1" x14ac:dyDescent="0.2">
      <c r="A105" s="316"/>
      <c r="B105" s="2095"/>
      <c r="C105" s="2096"/>
      <c r="D105" s="2096"/>
      <c r="E105" s="2096"/>
      <c r="F105" s="2096"/>
      <c r="G105" s="2096"/>
      <c r="H105" s="2096"/>
      <c r="I105" s="2097"/>
    </row>
    <row r="106" spans="1:9" s="181" customFormat="1" ht="11.25" customHeight="1" x14ac:dyDescent="0.2">
      <c r="A106" s="316"/>
      <c r="B106" s="2095"/>
      <c r="C106" s="2096"/>
      <c r="D106" s="2096"/>
      <c r="E106" s="2096"/>
      <c r="F106" s="2096"/>
      <c r="G106" s="2096"/>
      <c r="H106" s="2096"/>
      <c r="I106" s="2097"/>
    </row>
    <row r="107" spans="1:9" s="181" customFormat="1" ht="11.25" customHeight="1" x14ac:dyDescent="0.2">
      <c r="A107" s="316"/>
      <c r="B107" s="2095"/>
      <c r="C107" s="2096"/>
      <c r="D107" s="2096"/>
      <c r="E107" s="2096"/>
      <c r="F107" s="2096"/>
      <c r="G107" s="2096"/>
      <c r="H107" s="2096"/>
      <c r="I107" s="2097"/>
    </row>
    <row r="108" spans="1:9" s="181" customFormat="1" ht="11.25" customHeight="1" x14ac:dyDescent="0.2">
      <c r="A108" s="316"/>
      <c r="B108" s="2095"/>
      <c r="C108" s="2096"/>
      <c r="D108" s="2096"/>
      <c r="E108" s="2096"/>
      <c r="F108" s="2096"/>
      <c r="G108" s="2096"/>
      <c r="H108" s="2096"/>
      <c r="I108" s="2097"/>
    </row>
    <row r="109" spans="1:9" s="181" customFormat="1" ht="11.25" customHeight="1" x14ac:dyDescent="0.2">
      <c r="A109" s="316"/>
      <c r="B109" s="2095"/>
      <c r="C109" s="2096"/>
      <c r="D109" s="2096"/>
      <c r="E109" s="2096"/>
      <c r="F109" s="2096"/>
      <c r="G109" s="2096"/>
      <c r="H109" s="2096"/>
      <c r="I109" s="2097"/>
    </row>
    <row r="110" spans="1:9" s="181" customFormat="1" ht="11.25" customHeight="1" x14ac:dyDescent="0.2">
      <c r="A110" s="316"/>
      <c r="B110" s="2095"/>
      <c r="C110" s="2096"/>
      <c r="D110" s="2096"/>
      <c r="E110" s="2096"/>
      <c r="F110" s="2096"/>
      <c r="G110" s="2096"/>
      <c r="H110" s="2096"/>
      <c r="I110" s="2097"/>
    </row>
    <row r="111" spans="1:9" s="181" customFormat="1" ht="11.25" customHeight="1" x14ac:dyDescent="0.2">
      <c r="A111" s="316"/>
      <c r="B111" s="2095"/>
      <c r="C111" s="2096"/>
      <c r="D111" s="2096"/>
      <c r="E111" s="2096"/>
      <c r="F111" s="2096"/>
      <c r="G111" s="2096"/>
      <c r="H111" s="2096"/>
      <c r="I111" s="2097"/>
    </row>
    <row r="112" spans="1:9" s="181" customFormat="1" ht="11.25" customHeight="1" x14ac:dyDescent="0.2">
      <c r="A112" s="316"/>
      <c r="B112" s="2098"/>
      <c r="C112" s="2099"/>
      <c r="D112" s="2099"/>
      <c r="E112" s="2099"/>
      <c r="F112" s="2099"/>
      <c r="G112" s="2099"/>
      <c r="H112" s="2099"/>
      <c r="I112" s="2100"/>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01" t="s">
        <v>2453</v>
      </c>
      <c r="D114" s="2101"/>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02" t="s">
        <v>1325</v>
      </c>
      <c r="D117" s="2103"/>
      <c r="E117" s="2104"/>
      <c r="F117" s="2104"/>
      <c r="G117" s="2104"/>
      <c r="H117" s="2104"/>
      <c r="I117" s="304"/>
    </row>
    <row r="118" spans="1:9" s="181" customFormat="1" ht="24" customHeight="1" x14ac:dyDescent="0.2">
      <c r="A118" s="316"/>
      <c r="B118" s="316"/>
      <c r="C118" s="316"/>
      <c r="D118" s="323" t="s">
        <v>2454</v>
      </c>
      <c r="E118" s="322"/>
      <c r="F118" s="324"/>
      <c r="G118" s="1772"/>
      <c r="H118" s="322"/>
      <c r="I118" s="304"/>
    </row>
    <row r="119" spans="1:9" s="181" customFormat="1" ht="11.25" customHeight="1" x14ac:dyDescent="0.2">
      <c r="A119" s="325"/>
      <c r="B119" s="325"/>
      <c r="C119" s="326"/>
      <c r="D119" s="327" t="s">
        <v>361</v>
      </c>
      <c r="E119" s="310"/>
      <c r="F119" s="1771" t="s">
        <v>1882</v>
      </c>
      <c r="G119" s="328"/>
      <c r="H119" s="328"/>
      <c r="I119" s="304"/>
    </row>
    <row r="120" spans="1:9" x14ac:dyDescent="0.2">
      <c r="A120" s="329"/>
      <c r="B120" s="180"/>
      <c r="C120" s="330"/>
      <c r="D120" s="256"/>
      <c r="E120" s="256"/>
      <c r="F120" s="256"/>
      <c r="G120" s="256"/>
      <c r="H120" s="256"/>
      <c r="I120" s="304"/>
    </row>
    <row r="121" spans="1:9" x14ac:dyDescent="0.2">
      <c r="A121" s="329"/>
      <c r="B121" s="1421" t="s">
        <v>1590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2D050"/>
  </sheetPr>
  <dimension ref="A1:N72"/>
  <sheetViews>
    <sheetView showGridLines="0" defaultGridColor="0" topLeftCell="A16" colorId="8" zoomScale="110" zoomScaleNormal="110" workbookViewId="0">
      <selection activeCell="A3" sqref="A3:B3"/>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21" t="s">
        <v>386</v>
      </c>
      <c r="B1" s="2121"/>
      <c r="C1" s="2121"/>
      <c r="D1" s="2121"/>
      <c r="E1" s="2121"/>
      <c r="F1" s="2121"/>
      <c r="G1" s="2121"/>
      <c r="H1" s="2121"/>
      <c r="I1" s="2121"/>
      <c r="J1" s="2121"/>
      <c r="K1" s="2121"/>
      <c r="L1" s="2121"/>
      <c r="M1" s="2121"/>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1637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1923</v>
      </c>
      <c r="E7" s="222"/>
      <c r="F7" s="351" t="s">
        <v>272</v>
      </c>
      <c r="G7" s="222"/>
      <c r="H7" s="222"/>
      <c r="I7" s="222"/>
      <c r="J7" s="352">
        <f>86326178932+9703001</f>
        <v>86335881933</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2.8446780000000001E-2</v>
      </c>
      <c r="E10" s="356" t="s">
        <v>1005</v>
      </c>
      <c r="F10" s="355">
        <v>0</v>
      </c>
      <c r="G10" s="356" t="s">
        <v>1005</v>
      </c>
      <c r="H10" s="355">
        <v>0</v>
      </c>
      <c r="I10" s="356" t="s">
        <v>1006</v>
      </c>
      <c r="J10" s="1664">
        <f>ROUND(D10+F10+H10,5)</f>
        <v>2.845E-2</v>
      </c>
      <c r="K10" s="222"/>
      <c r="L10" s="355">
        <v>0</v>
      </c>
      <c r="M10" s="222"/>
    </row>
    <row r="11" spans="1:14" ht="7.5" customHeight="1" x14ac:dyDescent="0.2">
      <c r="B11" s="222"/>
      <c r="C11" s="222"/>
      <c r="D11" s="2131" t="str">
        <f>IF(SUM(J10)&lt;=0.0999999,"","Enter the Tax Rates by moving the decimal two places to the left.")</f>
        <v/>
      </c>
      <c r="E11" s="2132"/>
      <c r="F11" s="2132"/>
      <c r="G11" s="2132"/>
      <c r="H11" s="2132"/>
      <c r="I11" s="2132"/>
      <c r="J11" s="2132"/>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1638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665">
        <f>SUM('Acct Summary 7-8'!C8,'Acct Summary 7-8'!D8,'Acct Summary 7-8'!F8,'Acct Summary 7-8'!I8)</f>
        <v>5571537566</v>
      </c>
      <c r="E16" s="356"/>
      <c r="F16" s="1665">
        <f>SUM('Acct Summary 7-8'!C17,'Acct Summary 7-8'!D17,'Acct Summary 7-8'!F17)</f>
        <v>5422198405</v>
      </c>
      <c r="G16" s="356"/>
      <c r="H16" s="1665">
        <f>SUM(D16-F16)</f>
        <v>149339161</v>
      </c>
      <c r="I16" s="222"/>
      <c r="J16" s="1665">
        <f>SUM('Acct Summary 7-8'!C81,'Acct Summary 7-8'!D81,'Acct Summary 7-8'!F81,'Acct Summary 7-8'!I81)</f>
        <v>491443342</v>
      </c>
      <c r="K16" s="222"/>
      <c r="L16" s="222"/>
      <c r="M16" s="222"/>
    </row>
    <row r="17" spans="1:13" ht="12.2" customHeight="1" x14ac:dyDescent="0.2">
      <c r="A17" s="349"/>
      <c r="B17" s="260" t="s">
        <v>8</v>
      </c>
      <c r="C17" s="237" t="s">
        <v>1391</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1639</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665">
        <f>'Short-Term Long-Term Debt 24'!F4</f>
        <v>0</v>
      </c>
      <c r="E22" s="356" t="s">
        <v>1005</v>
      </c>
      <c r="F22" s="1665">
        <f>'Short-Term Long-Term Debt 24'!F15</f>
        <v>0</v>
      </c>
      <c r="G22" s="356" t="s">
        <v>1005</v>
      </c>
      <c r="H22" s="1665">
        <f>'Short-Term Long-Term Debt 24'!F21</f>
        <v>449445000</v>
      </c>
      <c r="I22" s="356" t="s">
        <v>1005</v>
      </c>
      <c r="J22" s="1665">
        <f>'Short-Term Long-Term Debt 24'!F23</f>
        <v>0</v>
      </c>
      <c r="K22" s="356" t="s">
        <v>1005</v>
      </c>
      <c r="L22" s="1665">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665">
        <f>'Short-Term Long-Term Debt 24'!F27</f>
        <v>0</v>
      </c>
      <c r="E24" s="356" t="s">
        <v>1006</v>
      </c>
      <c r="F24" s="1666">
        <f>SUM(D22,F22,H22,J22,L22, D24)</f>
        <v>449445000</v>
      </c>
      <c r="G24" s="222"/>
      <c r="H24" s="222"/>
      <c r="I24" s="222"/>
      <c r="J24" s="222"/>
      <c r="K24" s="222"/>
      <c r="L24" s="222"/>
      <c r="M24" s="222"/>
    </row>
    <row r="25" spans="1:13" ht="11.25" customHeight="1" x14ac:dyDescent="0.2">
      <c r="A25" s="349"/>
      <c r="B25" s="181" t="s">
        <v>9</v>
      </c>
      <c r="C25" s="237" t="s">
        <v>2038</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667">
        <f>IF(B31="X",(J7*0.069),IF(B32="X",(J7*0.138),"Enter x in a.or b."))</f>
        <v>11914351706.754002</v>
      </c>
      <c r="I31" s="368"/>
      <c r="J31" s="222"/>
      <c r="K31" s="222"/>
      <c r="L31" s="222"/>
      <c r="M31" s="222"/>
    </row>
    <row r="32" spans="1:13" ht="13.35" customHeight="1" x14ac:dyDescent="0.2">
      <c r="B32" s="369" t="s">
        <v>2042</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666">
        <f>'Assets-Liab 5-6'!N36</f>
        <v>8383921978</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122"/>
      <c r="C54" s="2123"/>
      <c r="D54" s="2123"/>
      <c r="E54" s="2123"/>
      <c r="F54" s="2123"/>
      <c r="G54" s="2123"/>
      <c r="H54" s="2123"/>
      <c r="I54" s="2123"/>
      <c r="J54" s="2123"/>
      <c r="K54" s="2123"/>
      <c r="L54" s="2124"/>
      <c r="M54" s="380"/>
    </row>
    <row r="55" spans="1:13" ht="12.75" customHeight="1" x14ac:dyDescent="0.2">
      <c r="B55" s="2125"/>
      <c r="C55" s="2126"/>
      <c r="D55" s="2126"/>
      <c r="E55" s="2126"/>
      <c r="F55" s="2126"/>
      <c r="G55" s="2126"/>
      <c r="H55" s="2126"/>
      <c r="I55" s="2126"/>
      <c r="J55" s="2126"/>
      <c r="K55" s="2126"/>
      <c r="L55" s="2127"/>
      <c r="M55" s="380"/>
    </row>
    <row r="56" spans="1:13" ht="12.75" customHeight="1" x14ac:dyDescent="0.2">
      <c r="B56" s="2125"/>
      <c r="C56" s="2126"/>
      <c r="D56" s="2126"/>
      <c r="E56" s="2126"/>
      <c r="F56" s="2126"/>
      <c r="G56" s="2126"/>
      <c r="H56" s="2126"/>
      <c r="I56" s="2126"/>
      <c r="J56" s="2126"/>
      <c r="K56" s="2126"/>
      <c r="L56" s="2127"/>
      <c r="M56" s="222"/>
    </row>
    <row r="57" spans="1:13" ht="12.75" customHeight="1" x14ac:dyDescent="0.2">
      <c r="B57" s="2125"/>
      <c r="C57" s="2126"/>
      <c r="D57" s="2126"/>
      <c r="E57" s="2126"/>
      <c r="F57" s="2126"/>
      <c r="G57" s="2126"/>
      <c r="H57" s="2126"/>
      <c r="I57" s="2126"/>
      <c r="J57" s="2126"/>
      <c r="K57" s="2126"/>
      <c r="L57" s="2127"/>
      <c r="M57" s="222"/>
    </row>
    <row r="58" spans="1:13" x14ac:dyDescent="0.2">
      <c r="B58" s="2128"/>
      <c r="C58" s="2129"/>
      <c r="D58" s="2129"/>
      <c r="E58" s="2129"/>
      <c r="F58" s="2129"/>
      <c r="G58" s="2129"/>
      <c r="H58" s="2129"/>
      <c r="I58" s="2129"/>
      <c r="J58" s="2129"/>
      <c r="K58" s="2129"/>
      <c r="L58" s="2130"/>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33"/>
      <c r="D61" s="2134"/>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2D050"/>
  </sheetPr>
  <dimension ref="A1:R44"/>
  <sheetViews>
    <sheetView showGridLines="0" zoomScale="110" zoomScaleNormal="110" workbookViewId="0">
      <selection activeCell="T6" sqref="T6"/>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36"/>
      <c r="B1" s="2137"/>
      <c r="C1" s="2137"/>
      <c r="D1" s="384"/>
      <c r="E1" s="384"/>
      <c r="F1" s="384"/>
      <c r="G1" s="384"/>
      <c r="H1" s="384"/>
      <c r="I1" s="384"/>
      <c r="J1" s="384"/>
      <c r="K1" s="384"/>
      <c r="L1" s="384"/>
      <c r="M1" s="384"/>
      <c r="N1" s="384"/>
      <c r="O1" s="2136"/>
      <c r="P1" s="2137"/>
      <c r="Q1" s="2137"/>
    </row>
    <row r="2" spans="1:18" ht="15" x14ac:dyDescent="0.2">
      <c r="A2" s="2140" t="s">
        <v>556</v>
      </c>
      <c r="B2" s="2140"/>
      <c r="C2" s="2140"/>
      <c r="D2" s="2140"/>
      <c r="E2" s="2140"/>
      <c r="F2" s="2140"/>
      <c r="G2" s="2140"/>
      <c r="H2" s="2140"/>
      <c r="I2" s="2140"/>
      <c r="J2" s="2140"/>
      <c r="K2" s="2140"/>
      <c r="L2" s="2140"/>
      <c r="M2" s="2140"/>
      <c r="N2" s="2140"/>
      <c r="O2" s="2140"/>
      <c r="P2" s="2140"/>
      <c r="Q2" s="2140"/>
      <c r="R2" s="2140"/>
    </row>
    <row r="3" spans="1:18" ht="12.75" x14ac:dyDescent="0.2">
      <c r="A3" s="2141" t="s">
        <v>1408</v>
      </c>
      <c r="B3" s="2141"/>
      <c r="C3" s="2141"/>
      <c r="D3" s="2141"/>
      <c r="E3" s="2141"/>
      <c r="F3" s="2141"/>
      <c r="G3" s="2141"/>
      <c r="H3" s="2141"/>
      <c r="I3" s="2141"/>
      <c r="J3" s="2141"/>
      <c r="K3" s="2141"/>
      <c r="L3" s="2141"/>
      <c r="M3" s="2141"/>
      <c r="N3" s="2141"/>
      <c r="O3" s="2141"/>
      <c r="P3" s="2141"/>
      <c r="Q3" s="2141"/>
      <c r="R3" s="2141"/>
    </row>
    <row r="4" spans="1:18" x14ac:dyDescent="0.2">
      <c r="A4" s="2142" t="s">
        <v>1549</v>
      </c>
      <c r="B4" s="2142"/>
      <c r="C4" s="2142"/>
      <c r="D4" s="2142"/>
      <c r="E4" s="2142"/>
      <c r="F4" s="2142"/>
      <c r="G4" s="2142"/>
      <c r="H4" s="2142"/>
      <c r="I4" s="2142"/>
      <c r="J4" s="2142"/>
      <c r="K4" s="2142"/>
      <c r="L4" s="2142"/>
      <c r="M4" s="2142"/>
      <c r="N4" s="2142"/>
      <c r="O4" s="2142"/>
      <c r="P4" s="2142"/>
      <c r="Q4" s="2142"/>
      <c r="R4" s="2142"/>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City of Chicago SD 299</v>
      </c>
      <c r="E7" s="391"/>
      <c r="G7" s="252"/>
      <c r="H7" s="387"/>
      <c r="I7" s="387"/>
      <c r="J7" s="387"/>
      <c r="K7" s="387"/>
      <c r="L7" s="329"/>
      <c r="M7" s="329"/>
      <c r="N7" s="329"/>
      <c r="O7" s="329"/>
      <c r="P7" s="329"/>
    </row>
    <row r="8" spans="1:18" ht="12.75" x14ac:dyDescent="0.2">
      <c r="A8" s="329"/>
      <c r="B8" s="329"/>
      <c r="C8" s="389" t="s">
        <v>1125</v>
      </c>
      <c r="D8" s="392">
        <f>COVER!A13</f>
        <v>15016299025</v>
      </c>
      <c r="E8" s="393"/>
      <c r="G8" s="329"/>
      <c r="H8" s="329"/>
      <c r="I8" s="329"/>
      <c r="J8" s="329"/>
      <c r="K8" s="329"/>
      <c r="L8" s="329"/>
      <c r="M8" s="329"/>
      <c r="N8" s="329"/>
      <c r="O8" s="329"/>
      <c r="P8" s="329"/>
    </row>
    <row r="9" spans="1:18" ht="12.75" x14ac:dyDescent="0.2">
      <c r="A9" s="329"/>
      <c r="B9" s="329"/>
      <c r="C9" s="389" t="s">
        <v>713</v>
      </c>
      <c r="D9" s="394" t="str">
        <f>COVER!A15</f>
        <v>COOK</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2</v>
      </c>
      <c r="P11" s="216"/>
      <c r="Q11" s="216"/>
    </row>
    <row r="12" spans="1:18" s="408" customFormat="1" ht="11.25" x14ac:dyDescent="0.2">
      <c r="A12" s="218"/>
      <c r="B12" s="401"/>
      <c r="C12" s="218" t="s">
        <v>1360</v>
      </c>
      <c r="D12" s="218"/>
      <c r="E12" s="218"/>
      <c r="F12" s="218" t="s">
        <v>1091</v>
      </c>
      <c r="G12" s="402"/>
      <c r="H12" s="403">
        <f>SUM('Acct Summary 7-8'!C81+'Acct Summary 7-8'!D81+'Acct Summary 7-8'!F81+'Acct Summary 7-8'!I81+IF('Acct Summary 7-8'!G81&lt;0,'Acct Summary 7-8'!G81,"0")+IF('Acct Summary 7-8'!J81&lt;0,'Acct Summary 7-8'!J81,"0"))</f>
        <v>471765723</v>
      </c>
      <c r="I12" s="404"/>
      <c r="J12" s="404"/>
      <c r="K12" s="405">
        <f>TRUNC((H12/H13*100000),5)/100000</f>
        <v>8.4674242499999997E-2</v>
      </c>
      <c r="L12" s="406"/>
      <c r="M12" s="360" t="s">
        <v>1144</v>
      </c>
      <c r="N12" s="360"/>
      <c r="O12" s="407">
        <v>0.35</v>
      </c>
      <c r="P12" s="218"/>
      <c r="Q12" s="218"/>
    </row>
    <row r="13" spans="1:18" s="408" customFormat="1" ht="12.75" x14ac:dyDescent="0.2">
      <c r="A13" s="218"/>
      <c r="B13" s="401"/>
      <c r="C13" s="2138" t="s">
        <v>1319</v>
      </c>
      <c r="D13" s="2139"/>
      <c r="E13" s="218"/>
      <c r="F13" s="409" t="s">
        <v>793</v>
      </c>
      <c r="G13" s="402"/>
      <c r="H13" s="403">
        <f>SUM('Acct Summary 7-8'!C8+'Acct Summary 7-8'!D8+'Acct Summary 7-8'!F8+'Acct Summary 7-8'!I8)+H14</f>
        <v>5571537566</v>
      </c>
      <c r="I13" s="404"/>
      <c r="J13" s="404"/>
      <c r="K13" s="410"/>
      <c r="L13" s="218"/>
      <c r="M13" s="360" t="s">
        <v>1145</v>
      </c>
      <c r="N13" s="360"/>
      <c r="O13" s="411">
        <f>(O11*O12)</f>
        <v>0.7</v>
      </c>
      <c r="P13" s="218"/>
      <c r="Q13" s="218"/>
      <c r="R13" s="412"/>
    </row>
    <row r="14" spans="1:18" s="408" customFormat="1" ht="12.75" x14ac:dyDescent="0.2">
      <c r="A14" s="218"/>
      <c r="B14" s="401"/>
      <c r="C14" s="240" t="s">
        <v>1392</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1406</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5422198405</v>
      </c>
      <c r="I17" s="404"/>
      <c r="J17" s="416"/>
      <c r="K17" s="405">
        <f>TRUNC((H17/H18*100000),5)/100000</f>
        <v>0.97319605949999999</v>
      </c>
      <c r="L17" s="406"/>
      <c r="M17" s="417" t="s">
        <v>1171</v>
      </c>
      <c r="O17" s="418" t="str">
        <f>IF(AND(O16="2", J20 &gt; 2),"1",IF(AND(O16 = "1", J20 &gt; 2),"2",IF(AND(O16="1", J20 &gt;1),"1","0")))</f>
        <v>0</v>
      </c>
      <c r="P17" s="218"/>
    </row>
    <row r="18" spans="1:18" s="408" customFormat="1" ht="11.25" x14ac:dyDescent="0.2">
      <c r="A18" s="218"/>
      <c r="B18" s="401"/>
      <c r="C18" s="2138" t="s">
        <v>1312</v>
      </c>
      <c r="D18" s="2139"/>
      <c r="E18" s="218"/>
      <c r="F18" s="419" t="s">
        <v>794</v>
      </c>
      <c r="G18" s="402"/>
      <c r="H18" s="403">
        <f>SUM('Acct Summary 7-8'!C8+'Acct Summary 7-8'!D8+'Acct Summary 7-8'!F8+'Acct Summary 7-8'!I8)+H19</f>
        <v>5571537566</v>
      </c>
      <c r="I18" s="404"/>
      <c r="J18" s="404"/>
      <c r="K18" s="410"/>
      <c r="L18" s="218"/>
      <c r="M18" s="360" t="s">
        <v>1144</v>
      </c>
      <c r="N18" s="360"/>
      <c r="O18" s="410">
        <v>0.35</v>
      </c>
      <c r="P18" s="218"/>
    </row>
    <row r="19" spans="1:18" s="408" customFormat="1" ht="11.25" x14ac:dyDescent="0.2">
      <c r="A19" s="218"/>
      <c r="B19" s="401"/>
      <c r="C19" s="240" t="s">
        <v>1392</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1406</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f>IF(K24&gt;=180,"4",IF(K24&gt;=90,"3",IF(K24&gt;=30,"2",1)))</f>
        <v>1</v>
      </c>
      <c r="P23" s="216"/>
      <c r="R23" s="384"/>
    </row>
    <row r="24" spans="1:18" s="408" customFormat="1" ht="11.25" x14ac:dyDescent="0.2">
      <c r="A24" s="218"/>
      <c r="B24" s="401"/>
      <c r="C24" s="2135" t="s">
        <v>1407</v>
      </c>
      <c r="D24" s="2135"/>
      <c r="E24" s="218"/>
      <c r="F24" s="218" t="s">
        <v>445</v>
      </c>
      <c r="G24" s="402"/>
      <c r="H24" s="403">
        <f>SUM('Assets-Liab 5-6'!C4+'Assets-Liab 5-6'!D4+'Assets-Liab 5-6'!F4+'Assets-Liab 5-6'!I4+'Assets-Liab 5-6'!C5+'Assets-Liab 5-6'!D5+'Assets-Liab 5-6'!F5+'Assets-Liab 5-6'!I5)</f>
        <v>298958330</v>
      </c>
      <c r="I24" s="422"/>
      <c r="J24" s="422"/>
      <c r="K24" s="423">
        <f>TRUNC(((H24/H25*100000)/100000),2)</f>
        <v>19.84</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15061662.23611</v>
      </c>
      <c r="I25" s="425"/>
      <c r="J25" s="425"/>
      <c r="K25" s="410"/>
      <c r="L25" s="218"/>
      <c r="M25" s="360" t="s">
        <v>1145</v>
      </c>
      <c r="N25" s="360"/>
      <c r="O25" s="411">
        <f>O23*O24</f>
        <v>0.1</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1907</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2087817464.84477</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2</v>
      </c>
      <c r="P31" s="216"/>
    </row>
    <row r="32" spans="1:18" s="408" customFormat="1" ht="11.25" x14ac:dyDescent="0.2">
      <c r="A32" s="218"/>
      <c r="B32" s="401"/>
      <c r="C32" s="218" t="s">
        <v>847</v>
      </c>
      <c r="D32" s="218"/>
      <c r="E32" s="218"/>
      <c r="F32" s="218"/>
      <c r="G32" s="402"/>
      <c r="H32" s="403">
        <f>'FP Info 3'!H37</f>
        <v>8383921978</v>
      </c>
      <c r="I32" s="420"/>
      <c r="J32" s="420"/>
      <c r="K32" s="423">
        <f>TRUNC(100-((((H32/H33*100))*100)/100),2)</f>
        <v>29.63</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11914351706.754002</v>
      </c>
      <c r="I33" s="420"/>
      <c r="J33" s="420"/>
      <c r="K33" s="403"/>
      <c r="L33" s="218"/>
      <c r="M33" s="435" t="s">
        <v>1145</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2.8</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1961</v>
      </c>
      <c r="N37" s="414"/>
      <c r="O37" s="442" t="str">
        <f>IF(O35&gt;3.53,"RECOGNITION",IF(O35&gt;3.07,"REVIEW ",IF(O35&gt;2.61,"WARNING","WATCH")))</f>
        <v>WARNING</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1501</v>
      </c>
      <c r="I40" s="408"/>
      <c r="J40" s="408"/>
      <c r="K40" s="410"/>
      <c r="L40" s="408"/>
      <c r="M40" s="408"/>
      <c r="N40" s="408"/>
      <c r="O40" s="218"/>
      <c r="P40" s="216"/>
      <c r="Q40" s="216"/>
    </row>
    <row r="41" spans="1:17" x14ac:dyDescent="0.2">
      <c r="G41" s="448"/>
      <c r="H41" s="218" t="s">
        <v>1502</v>
      </c>
      <c r="M41" s="216"/>
      <c r="O41" s="216"/>
      <c r="P41" s="216"/>
      <c r="Q41" s="216"/>
    </row>
    <row r="42" spans="1:17" x14ac:dyDescent="0.2">
      <c r="A42" s="385" t="s">
        <v>1503</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2D050"/>
  </sheetPr>
  <dimension ref="A1:N44"/>
  <sheetViews>
    <sheetView showGridLines="0" defaultGridColor="0" colorId="8" zoomScale="110" zoomScaleNormal="110" workbookViewId="0">
      <pane ySplit="2" topLeftCell="A18" activePane="bottomLeft" state="frozen"/>
      <selection activeCell="A3" sqref="A3:B3"/>
      <selection pane="bottomLeft" activeCell="G40" sqref="G40"/>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43" t="s">
        <v>1489</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44"/>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45" t="s">
        <v>973</v>
      </c>
      <c r="B3" s="2146"/>
      <c r="C3" s="1492"/>
      <c r="D3" s="1493"/>
      <c r="E3" s="1493"/>
      <c r="F3" s="1493"/>
      <c r="G3" s="1493"/>
      <c r="H3" s="1493"/>
      <c r="I3" s="1493"/>
      <c r="J3" s="1493"/>
      <c r="K3" s="1493"/>
      <c r="L3" s="1493"/>
      <c r="M3" s="1494"/>
      <c r="N3" s="1495"/>
    </row>
    <row r="4" spans="1:14" ht="13.5" customHeight="1" x14ac:dyDescent="0.2">
      <c r="A4" s="463" t="s">
        <v>1640</v>
      </c>
      <c r="B4" s="464"/>
      <c r="C4" s="465">
        <v>286624350</v>
      </c>
      <c r="D4" s="466"/>
      <c r="E4" s="466">
        <v>679944736</v>
      </c>
      <c r="F4" s="466"/>
      <c r="G4" s="466"/>
      <c r="H4" s="466">
        <v>798363524</v>
      </c>
      <c r="I4" s="466"/>
      <c r="J4" s="467"/>
      <c r="K4" s="466"/>
      <c r="L4" s="466"/>
      <c r="M4" s="468"/>
      <c r="N4" s="469"/>
    </row>
    <row r="5" spans="1:14" x14ac:dyDescent="0.2">
      <c r="A5" s="463" t="s">
        <v>992</v>
      </c>
      <c r="B5" s="470">
        <v>120</v>
      </c>
      <c r="C5" s="465">
        <v>12333980</v>
      </c>
      <c r="D5" s="466"/>
      <c r="E5" s="466"/>
      <c r="F5" s="466"/>
      <c r="G5" s="466"/>
      <c r="H5" s="466"/>
      <c r="I5" s="466"/>
      <c r="J5" s="467"/>
      <c r="K5" s="471"/>
      <c r="L5" s="472"/>
      <c r="M5" s="468"/>
      <c r="N5" s="469"/>
    </row>
    <row r="6" spans="1:14" ht="13.5" customHeight="1" x14ac:dyDescent="0.2">
      <c r="A6" s="473" t="s">
        <v>417</v>
      </c>
      <c r="B6" s="470">
        <v>130</v>
      </c>
      <c r="C6" s="465">
        <v>1311660639</v>
      </c>
      <c r="D6" s="466"/>
      <c r="E6" s="466">
        <v>33349836</v>
      </c>
      <c r="F6" s="466"/>
      <c r="G6" s="471"/>
      <c r="H6" s="471">
        <v>10280700</v>
      </c>
      <c r="I6" s="466"/>
      <c r="J6" s="474">
        <v>36267607</v>
      </c>
      <c r="K6" s="471"/>
      <c r="L6" s="475"/>
      <c r="M6" s="468"/>
      <c r="N6" s="469"/>
    </row>
    <row r="7" spans="1:14" ht="13.5" customHeight="1" x14ac:dyDescent="0.2">
      <c r="A7" s="473" t="s">
        <v>418</v>
      </c>
      <c r="B7" s="470">
        <v>140</v>
      </c>
      <c r="C7" s="476">
        <f>65113563+58</f>
        <v>65113621</v>
      </c>
      <c r="D7" s="467"/>
      <c r="E7" s="467"/>
      <c r="F7" s="467"/>
      <c r="G7" s="467"/>
      <c r="H7" s="467"/>
      <c r="I7" s="467"/>
      <c r="J7" s="467"/>
      <c r="K7" s="467"/>
      <c r="L7" s="477"/>
      <c r="M7" s="468"/>
      <c r="N7" s="469"/>
    </row>
    <row r="8" spans="1:14" ht="13.5" customHeight="1" x14ac:dyDescent="0.2">
      <c r="A8" s="473" t="s">
        <v>269</v>
      </c>
      <c r="B8" s="470">
        <v>150</v>
      </c>
      <c r="C8" s="476">
        <v>344596817</v>
      </c>
      <c r="D8" s="467"/>
      <c r="E8" s="467">
        <v>65636179</v>
      </c>
      <c r="F8" s="467"/>
      <c r="G8" s="478"/>
      <c r="H8" s="467">
        <v>16142354</v>
      </c>
      <c r="I8" s="474"/>
      <c r="J8" s="474">
        <v>1</v>
      </c>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668" t="s">
        <v>644</v>
      </c>
      <c r="B13" s="1641"/>
      <c r="C13" s="1669">
        <f>SUM(C4:C12)</f>
        <v>2020329407</v>
      </c>
      <c r="D13" s="1669">
        <f t="shared" ref="D13:L13" si="0">SUM(D4:D12)</f>
        <v>0</v>
      </c>
      <c r="E13" s="1669">
        <f t="shared" si="0"/>
        <v>778930751</v>
      </c>
      <c r="F13" s="1669">
        <f t="shared" si="0"/>
        <v>0</v>
      </c>
      <c r="G13" s="1669">
        <f t="shared" si="0"/>
        <v>0</v>
      </c>
      <c r="H13" s="1669">
        <f t="shared" si="0"/>
        <v>824786578</v>
      </c>
      <c r="I13" s="1669">
        <f t="shared" si="0"/>
        <v>0</v>
      </c>
      <c r="J13" s="1669">
        <f t="shared" si="0"/>
        <v>36267608</v>
      </c>
      <c r="K13" s="1669">
        <f t="shared" si="0"/>
        <v>0</v>
      </c>
      <c r="L13" s="1669">
        <f t="shared" si="0"/>
        <v>0</v>
      </c>
      <c r="M13" s="468"/>
      <c r="N13" s="469"/>
    </row>
    <row r="14" spans="1:14" ht="18" customHeight="1" thickTop="1" x14ac:dyDescent="0.2">
      <c r="A14" s="2147" t="s">
        <v>147</v>
      </c>
      <c r="B14" s="2148"/>
      <c r="C14" s="1496"/>
      <c r="D14" s="1497"/>
      <c r="E14" s="1497"/>
      <c r="F14" s="1497"/>
      <c r="G14" s="1497"/>
      <c r="H14" s="1497"/>
      <c r="I14" s="1497"/>
      <c r="J14" s="1497"/>
      <c r="K14" s="1497"/>
      <c r="L14" s="1497"/>
      <c r="M14" s="1498"/>
      <c r="N14" s="1499"/>
    </row>
    <row r="15" spans="1:14" s="485" customFormat="1" ht="12.75" customHeight="1" x14ac:dyDescent="0.2">
      <c r="A15" s="482" t="s">
        <v>1396</v>
      </c>
      <c r="B15" s="483">
        <v>210</v>
      </c>
      <c r="C15" s="477"/>
      <c r="D15" s="477"/>
      <c r="E15" s="477"/>
      <c r="F15" s="477"/>
      <c r="G15" s="477"/>
      <c r="H15" s="477"/>
      <c r="I15" s="477"/>
      <c r="J15" s="477"/>
      <c r="K15" s="477"/>
      <c r="L15" s="477"/>
      <c r="M15" s="478"/>
      <c r="N15" s="484"/>
    </row>
    <row r="16" spans="1:14" s="485" customFormat="1" ht="12.75" customHeight="1" x14ac:dyDescent="0.2">
      <c r="A16" s="482" t="s">
        <v>1397</v>
      </c>
      <c r="B16" s="483">
        <v>220</v>
      </c>
      <c r="C16" s="477"/>
      <c r="D16" s="477"/>
      <c r="E16" s="477"/>
      <c r="F16" s="477"/>
      <c r="G16" s="477"/>
      <c r="H16" s="477"/>
      <c r="I16" s="477"/>
      <c r="J16" s="477"/>
      <c r="K16" s="477"/>
      <c r="L16" s="477"/>
      <c r="M16" s="467">
        <f>'Cap Outlay Deprec 26'!L5</f>
        <v>335249916</v>
      </c>
      <c r="N16" s="484"/>
    </row>
    <row r="17" spans="1:14" s="485" customFormat="1" ht="12.75" customHeight="1" x14ac:dyDescent="0.2">
      <c r="A17" s="482" t="s">
        <v>1398</v>
      </c>
      <c r="B17" s="483">
        <v>230</v>
      </c>
      <c r="C17" s="477"/>
      <c r="D17" s="477"/>
      <c r="E17" s="477"/>
      <c r="F17" s="477"/>
      <c r="G17" s="477"/>
      <c r="H17" s="477"/>
      <c r="I17" s="477"/>
      <c r="J17" s="477"/>
      <c r="K17" s="477"/>
      <c r="L17" s="477"/>
      <c r="M17" s="467">
        <f>'Cap Outlay Deprec 26'!L8</f>
        <v>5130605597</v>
      </c>
      <c r="N17" s="484"/>
    </row>
    <row r="18" spans="1:14" s="485" customFormat="1" ht="12.75" customHeight="1" x14ac:dyDescent="0.2">
      <c r="A18" s="482" t="s">
        <v>1399</v>
      </c>
      <c r="B18" s="483">
        <v>240</v>
      </c>
      <c r="C18" s="477"/>
      <c r="D18" s="477"/>
      <c r="E18" s="477"/>
      <c r="F18" s="477"/>
      <c r="G18" s="477"/>
      <c r="H18" s="477"/>
      <c r="I18" s="477"/>
      <c r="J18" s="477"/>
      <c r="K18" s="477"/>
      <c r="L18" s="477"/>
      <c r="M18" s="467">
        <f>'Cap Outlay Deprec 26'!L10</f>
        <v>61469853</v>
      </c>
      <c r="N18" s="484"/>
    </row>
    <row r="19" spans="1:14" s="485" customFormat="1" ht="12.75" customHeight="1" x14ac:dyDescent="0.2">
      <c r="A19" s="482" t="s">
        <v>1400</v>
      </c>
      <c r="B19" s="483">
        <v>250</v>
      </c>
      <c r="C19" s="477"/>
      <c r="D19" s="477"/>
      <c r="E19" s="477"/>
      <c r="F19" s="477"/>
      <c r="G19" s="477"/>
      <c r="H19" s="477"/>
      <c r="I19" s="477"/>
      <c r="J19" s="477"/>
      <c r="K19" s="477"/>
      <c r="L19" s="477"/>
      <c r="M19" s="467">
        <f>'Cap Outlay Deprec 26'!L13+'Cap Outlay Deprec 26'!L14</f>
        <v>2455489</v>
      </c>
      <c r="N19" s="484"/>
    </row>
    <row r="20" spans="1:14" s="485" customFormat="1" ht="12.75" customHeight="1" x14ac:dyDescent="0.2">
      <c r="A20" s="482" t="s">
        <v>1401</v>
      </c>
      <c r="B20" s="483">
        <v>260</v>
      </c>
      <c r="C20" s="477"/>
      <c r="D20" s="477"/>
      <c r="E20" s="477"/>
      <c r="F20" s="477"/>
      <c r="G20" s="477"/>
      <c r="H20" s="477"/>
      <c r="I20" s="477"/>
      <c r="J20" s="477"/>
      <c r="K20" s="477"/>
      <c r="L20" s="477"/>
      <c r="M20" s="467">
        <f>'Cap Outlay Deprec 26'!L15</f>
        <v>648898318</v>
      </c>
      <c r="N20" s="484"/>
    </row>
    <row r="21" spans="1:14" s="485" customFormat="1" ht="12.75" customHeight="1" x14ac:dyDescent="0.2">
      <c r="A21" s="482" t="s">
        <v>1402</v>
      </c>
      <c r="B21" s="483">
        <v>340</v>
      </c>
      <c r="C21" s="477"/>
      <c r="D21" s="477"/>
      <c r="E21" s="477"/>
      <c r="F21" s="477"/>
      <c r="G21" s="477"/>
      <c r="H21" s="477"/>
      <c r="I21" s="477"/>
      <c r="J21" s="477"/>
      <c r="K21" s="477"/>
      <c r="L21" s="477"/>
      <c r="M21" s="486"/>
      <c r="N21" s="467">
        <f>H38</f>
        <v>716746581</v>
      </c>
    </row>
    <row r="22" spans="1:14" s="485" customFormat="1" ht="12.75" customHeight="1" x14ac:dyDescent="0.2">
      <c r="A22" s="482" t="s">
        <v>1403</v>
      </c>
      <c r="B22" s="483">
        <v>350</v>
      </c>
      <c r="C22" s="477"/>
      <c r="D22" s="477"/>
      <c r="E22" s="477"/>
      <c r="F22" s="477"/>
      <c r="G22" s="477"/>
      <c r="H22" s="477"/>
      <c r="I22" s="477"/>
      <c r="J22" s="477"/>
      <c r="K22" s="477"/>
      <c r="L22" s="477"/>
      <c r="M22" s="486"/>
      <c r="N22" s="487">
        <f>'Short-Term Long-Term Debt 24'!J49</f>
        <v>7667175397</v>
      </c>
    </row>
    <row r="23" spans="1:14" ht="13.5" customHeight="1" thickBot="1" x14ac:dyDescent="0.25">
      <c r="A23" s="1668" t="s">
        <v>643</v>
      </c>
      <c r="B23" s="1673"/>
      <c r="C23" s="468"/>
      <c r="D23" s="468"/>
      <c r="E23" s="468"/>
      <c r="F23" s="468"/>
      <c r="G23" s="468"/>
      <c r="H23" s="468"/>
      <c r="I23" s="468"/>
      <c r="J23" s="468"/>
      <c r="K23" s="468"/>
      <c r="L23" s="468"/>
      <c r="M23" s="1620">
        <f>SUM(M15:M22)</f>
        <v>6178679173</v>
      </c>
      <c r="N23" s="1620">
        <f>SUM(N21:N22)</f>
        <v>8383921978</v>
      </c>
    </row>
    <row r="24" spans="1:14" ht="18" customHeight="1" thickTop="1" x14ac:dyDescent="0.2">
      <c r="A24" s="2149" t="s">
        <v>598</v>
      </c>
      <c r="B24" s="2150"/>
      <c r="C24" s="1501"/>
      <c r="D24" s="1498"/>
      <c r="E24" s="1498"/>
      <c r="F24" s="1498"/>
      <c r="G24" s="1498"/>
      <c r="H24" s="1498"/>
      <c r="I24" s="1498"/>
      <c r="J24" s="1498"/>
      <c r="K24" s="1498"/>
      <c r="L24" s="1498"/>
      <c r="M24" s="1497"/>
      <c r="N24" s="1502"/>
    </row>
    <row r="25" spans="1:14" x14ac:dyDescent="0.2">
      <c r="A25" s="473" t="s">
        <v>645</v>
      </c>
      <c r="B25" s="470">
        <v>410</v>
      </c>
      <c r="C25" s="478"/>
      <c r="D25" s="478"/>
      <c r="E25" s="478">
        <v>185581</v>
      </c>
      <c r="F25" s="478"/>
      <c r="G25" s="478"/>
      <c r="H25" s="479">
        <v>9776689</v>
      </c>
      <c r="I25" s="468"/>
      <c r="J25" s="478">
        <v>55151351</v>
      </c>
      <c r="K25" s="478"/>
      <c r="L25" s="468"/>
      <c r="M25" s="468"/>
      <c r="N25" s="468"/>
    </row>
    <row r="26" spans="1:14" x14ac:dyDescent="0.2">
      <c r="A26" s="473" t="s">
        <v>646</v>
      </c>
      <c r="B26" s="470">
        <v>420</v>
      </c>
      <c r="C26" s="467">
        <v>982576</v>
      </c>
      <c r="D26" s="467"/>
      <c r="E26" s="467"/>
      <c r="F26" s="467"/>
      <c r="G26" s="467"/>
      <c r="H26" s="467">
        <v>526512</v>
      </c>
      <c r="I26" s="467"/>
      <c r="J26" s="474"/>
      <c r="K26" s="467"/>
      <c r="L26" s="468"/>
      <c r="M26" s="468"/>
      <c r="N26" s="468"/>
    </row>
    <row r="27" spans="1:14" ht="13.5" customHeight="1" x14ac:dyDescent="0.2">
      <c r="A27" s="473" t="s">
        <v>647</v>
      </c>
      <c r="B27" s="470">
        <v>430</v>
      </c>
      <c r="C27" s="467">
        <v>635390512</v>
      </c>
      <c r="D27" s="467"/>
      <c r="E27" s="467">
        <v>1072361</v>
      </c>
      <c r="F27" s="467"/>
      <c r="G27" s="467"/>
      <c r="H27" s="467">
        <v>70652936</v>
      </c>
      <c r="I27" s="467"/>
      <c r="J27" s="467">
        <v>903</v>
      </c>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v>157881656</v>
      </c>
      <c r="D30" s="474"/>
      <c r="E30" s="467"/>
      <c r="F30" s="467"/>
      <c r="G30" s="467"/>
      <c r="H30" s="467"/>
      <c r="I30" s="467"/>
      <c r="J30" s="467"/>
      <c r="K30" s="478"/>
      <c r="L30" s="468"/>
      <c r="M30" s="468"/>
      <c r="N30" s="468"/>
    </row>
    <row r="31" spans="1:14" ht="13.5" customHeight="1" x14ac:dyDescent="0.2">
      <c r="A31" s="473" t="s">
        <v>651</v>
      </c>
      <c r="B31" s="470">
        <v>480</v>
      </c>
      <c r="C31" s="466">
        <v>32139567</v>
      </c>
      <c r="D31" s="467"/>
      <c r="E31" s="467"/>
      <c r="F31" s="466"/>
      <c r="G31" s="467"/>
      <c r="H31" s="467"/>
      <c r="I31" s="467"/>
      <c r="J31" s="467"/>
      <c r="K31" s="467"/>
      <c r="L31" s="468"/>
      <c r="M31" s="468"/>
      <c r="N31" s="468"/>
    </row>
    <row r="32" spans="1:14" ht="13.5" customHeight="1" x14ac:dyDescent="0.2">
      <c r="A32" s="490" t="s">
        <v>652</v>
      </c>
      <c r="B32" s="491">
        <v>490</v>
      </c>
      <c r="C32" s="492">
        <v>650253595</v>
      </c>
      <c r="D32" s="492"/>
      <c r="E32" s="474">
        <v>3630962</v>
      </c>
      <c r="F32" s="474"/>
      <c r="G32" s="474"/>
      <c r="H32" s="474"/>
      <c r="I32" s="474"/>
      <c r="J32" s="474">
        <f>795218-2245</f>
        <v>792973</v>
      </c>
      <c r="K32" s="479"/>
      <c r="L32" s="468"/>
      <c r="M32" s="468"/>
      <c r="N32" s="468"/>
    </row>
    <row r="33" spans="1:14" ht="13.5" customHeight="1" x14ac:dyDescent="0.2">
      <c r="A33" s="493" t="s">
        <v>303</v>
      </c>
      <c r="B33" s="491">
        <v>493</v>
      </c>
      <c r="C33" s="467">
        <v>52238159</v>
      </c>
      <c r="D33" s="467"/>
      <c r="E33" s="467"/>
      <c r="F33" s="467"/>
      <c r="G33" s="467"/>
      <c r="H33" s="467">
        <v>27083860</v>
      </c>
      <c r="I33" s="467"/>
      <c r="J33" s="467"/>
      <c r="K33" s="467"/>
      <c r="L33" s="467"/>
      <c r="M33" s="468"/>
      <c r="N33" s="469"/>
    </row>
    <row r="34" spans="1:14" ht="13.5" customHeight="1" thickBot="1" x14ac:dyDescent="0.25">
      <c r="A34" s="1670" t="s">
        <v>654</v>
      </c>
      <c r="B34" s="1671"/>
      <c r="C34" s="1672">
        <f>SUM(C25:C33)</f>
        <v>1528886065</v>
      </c>
      <c r="D34" s="1672">
        <f t="shared" ref="D34:K34" si="1">SUM(D25:D33)</f>
        <v>0</v>
      </c>
      <c r="E34" s="1672">
        <f t="shared" si="1"/>
        <v>4888904</v>
      </c>
      <c r="F34" s="1672">
        <f t="shared" si="1"/>
        <v>0</v>
      </c>
      <c r="G34" s="1672">
        <f t="shared" si="1"/>
        <v>0</v>
      </c>
      <c r="H34" s="1672">
        <f t="shared" si="1"/>
        <v>108039997</v>
      </c>
      <c r="I34" s="1672">
        <f t="shared" si="1"/>
        <v>0</v>
      </c>
      <c r="J34" s="1672">
        <f t="shared" si="1"/>
        <v>55945227</v>
      </c>
      <c r="K34" s="1672">
        <f t="shared" si="1"/>
        <v>0</v>
      </c>
      <c r="L34" s="1653">
        <f>SUM(L33)</f>
        <v>0</v>
      </c>
      <c r="M34" s="468"/>
      <c r="N34" s="480"/>
    </row>
    <row r="35" spans="1:14" ht="18" customHeight="1" thickTop="1" x14ac:dyDescent="0.2">
      <c r="A35" s="2151" t="s">
        <v>529</v>
      </c>
      <c r="B35" s="2152"/>
      <c r="C35" s="1503"/>
      <c r="D35" s="1504"/>
      <c r="E35" s="1504"/>
      <c r="F35" s="1504"/>
      <c r="G35" s="1504"/>
      <c r="H35" s="1504"/>
      <c r="I35" s="1504"/>
      <c r="J35" s="1504"/>
      <c r="K35" s="1504"/>
      <c r="L35" s="1504"/>
      <c r="M35" s="1498"/>
      <c r="N35" s="1502"/>
    </row>
    <row r="36" spans="1:14" x14ac:dyDescent="0.2">
      <c r="A36" s="494" t="s">
        <v>1</v>
      </c>
      <c r="B36" s="470">
        <v>511</v>
      </c>
      <c r="C36" s="477"/>
      <c r="D36" s="477"/>
      <c r="E36" s="477"/>
      <c r="F36" s="477"/>
      <c r="G36" s="477"/>
      <c r="H36" s="477"/>
      <c r="I36" s="477"/>
      <c r="J36" s="477"/>
      <c r="K36" s="477"/>
      <c r="L36" s="468"/>
      <c r="M36" s="468"/>
      <c r="N36" s="495">
        <f>'Short-Term Long-Term Debt 24'!I49</f>
        <v>8383921978</v>
      </c>
    </row>
    <row r="37" spans="1:14" ht="13.5" thickBot="1" x14ac:dyDescent="0.25">
      <c r="A37" s="1668" t="s">
        <v>653</v>
      </c>
      <c r="B37" s="1673"/>
      <c r="C37" s="477"/>
      <c r="D37" s="477"/>
      <c r="E37" s="477"/>
      <c r="F37" s="477"/>
      <c r="G37" s="477"/>
      <c r="H37" s="477"/>
      <c r="I37" s="477"/>
      <c r="J37" s="477"/>
      <c r="K37" s="477"/>
      <c r="L37" s="480"/>
      <c r="M37" s="468"/>
      <c r="N37" s="1620">
        <f>SUM(N36:N36)</f>
        <v>8383921978</v>
      </c>
    </row>
    <row r="38" spans="1:14" s="329" customFormat="1" ht="13.5" customHeight="1" thickTop="1" x14ac:dyDescent="0.2">
      <c r="A38" s="496" t="s">
        <v>420</v>
      </c>
      <c r="B38" s="483">
        <v>714</v>
      </c>
      <c r="C38" s="466">
        <v>125468609</v>
      </c>
      <c r="D38" s="466"/>
      <c r="E38" s="466">
        <f>'Acct Summary 7-8'!E81</f>
        <v>774041847</v>
      </c>
      <c r="F38" s="466"/>
      <c r="G38" s="466"/>
      <c r="H38" s="466">
        <f>'Acct Summary 7-8'!H81</f>
        <v>716746581</v>
      </c>
      <c r="I38" s="466"/>
      <c r="J38" s="467"/>
      <c r="K38" s="466"/>
      <c r="L38" s="481"/>
      <c r="M38" s="497"/>
      <c r="N38" s="497"/>
    </row>
    <row r="39" spans="1:14" s="329" customFormat="1" ht="13.5" customHeight="1" x14ac:dyDescent="0.2">
      <c r="A39" s="496" t="s">
        <v>342</v>
      </c>
      <c r="B39" s="483">
        <v>730</v>
      </c>
      <c r="C39" s="466">
        <f>'Acct Summary 7-8'!C81-C38</f>
        <v>365974733</v>
      </c>
      <c r="D39" s="466"/>
      <c r="E39" s="466">
        <v>0</v>
      </c>
      <c r="F39" s="466"/>
      <c r="G39" s="466"/>
      <c r="H39" s="466">
        <v>0</v>
      </c>
      <c r="I39" s="466"/>
      <c r="J39" s="467">
        <f>'Acct Summary 7-8'!J81</f>
        <v>-19677619</v>
      </c>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f>M23</f>
        <v>6178679173</v>
      </c>
      <c r="N40" s="497"/>
    </row>
    <row r="41" spans="1:14" ht="13.5" customHeight="1" thickBot="1" x14ac:dyDescent="0.25">
      <c r="A41" s="1668" t="s">
        <v>655</v>
      </c>
      <c r="B41" s="1638"/>
      <c r="C41" s="1620">
        <f>(SUM(C34,C37,C38,C39))</f>
        <v>2020329407</v>
      </c>
      <c r="D41" s="1620">
        <f t="shared" ref="D41:L41" si="2">SUM(D34,D37,D38:D39)</f>
        <v>0</v>
      </c>
      <c r="E41" s="1620">
        <f t="shared" si="2"/>
        <v>778930751</v>
      </c>
      <c r="F41" s="1620">
        <f t="shared" si="2"/>
        <v>0</v>
      </c>
      <c r="G41" s="1620">
        <f t="shared" si="2"/>
        <v>0</v>
      </c>
      <c r="H41" s="1620">
        <f t="shared" si="2"/>
        <v>824786578</v>
      </c>
      <c r="I41" s="1620">
        <f t="shared" si="2"/>
        <v>0</v>
      </c>
      <c r="J41" s="1620">
        <f t="shared" si="2"/>
        <v>36267608</v>
      </c>
      <c r="K41" s="1620">
        <f t="shared" si="2"/>
        <v>0</v>
      </c>
      <c r="L41" s="1620">
        <f t="shared" si="2"/>
        <v>0</v>
      </c>
      <c r="M41" s="1620">
        <f>SUM(M40)</f>
        <v>6178679173</v>
      </c>
      <c r="N41" s="1620">
        <f>SUM(N37)</f>
        <v>8383921978</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M87"/>
  <sheetViews>
    <sheetView showGridLines="0" defaultGridColor="0" colorId="8" zoomScale="110" zoomScaleNormal="110" zoomScaleSheetLayoutView="100" workbookViewId="0">
      <pane ySplit="2" topLeftCell="A51" activePane="bottomLeft" state="frozen"/>
      <selection pane="bottomLeft" activeCell="E75" sqref="E75"/>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61" t="s">
        <v>1641</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62"/>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73" t="s">
        <v>1175</v>
      </c>
      <c r="B3" s="2174"/>
      <c r="C3" s="1506"/>
      <c r="D3" s="1507"/>
      <c r="E3" s="1507"/>
      <c r="F3" s="1507"/>
      <c r="G3" s="1507"/>
      <c r="H3" s="1507"/>
      <c r="I3" s="1507"/>
      <c r="J3" s="1507"/>
      <c r="K3" s="1508"/>
      <c r="L3" s="506"/>
    </row>
    <row r="4" spans="1:13" ht="15.75" customHeight="1" x14ac:dyDescent="0.2">
      <c r="A4" s="1860" t="s">
        <v>1494</v>
      </c>
      <c r="B4" s="1861">
        <v>1000</v>
      </c>
      <c r="C4" s="1674">
        <f>'Revenues 9-14'!C109</f>
        <v>3249167565</v>
      </c>
      <c r="D4" s="1674">
        <f>'Revenues 9-14'!D109</f>
        <v>8030483</v>
      </c>
      <c r="E4" s="1674">
        <f>'Revenues 9-14'!E109</f>
        <v>252169494</v>
      </c>
      <c r="F4" s="1674">
        <f>'Revenues 9-14'!F109</f>
        <v>0</v>
      </c>
      <c r="G4" s="1674">
        <f>'Revenues 9-14'!G109</f>
        <v>0</v>
      </c>
      <c r="H4" s="1674">
        <f>'Revenues 9-14'!H109</f>
        <v>62883381</v>
      </c>
      <c r="I4" s="1674">
        <f>'Revenues 9-14'!I109</f>
        <v>0</v>
      </c>
      <c r="J4" s="1674">
        <f>'Revenues 9-14'!J109</f>
        <v>76465878</v>
      </c>
      <c r="K4" s="1674">
        <f>'Revenues 9-14'!K109</f>
        <v>0</v>
      </c>
      <c r="L4" s="347"/>
    </row>
    <row r="5" spans="1:13" ht="15.75" customHeight="1" x14ac:dyDescent="0.2">
      <c r="A5" s="1509" t="s">
        <v>1495</v>
      </c>
      <c r="B5" s="1510">
        <v>2000</v>
      </c>
      <c r="C5" s="1675">
        <f>'Revenues 9-14'!C114</f>
        <v>0</v>
      </c>
      <c r="D5" s="1675">
        <f>'Revenues 9-14'!D114</f>
        <v>0</v>
      </c>
      <c r="E5" s="508"/>
      <c r="F5" s="1675">
        <f>'Revenues 9-14'!F114</f>
        <v>0</v>
      </c>
      <c r="G5" s="1675">
        <f>'Revenues 9-14'!G114</f>
        <v>0</v>
      </c>
      <c r="H5" s="509" t="s">
        <v>1169</v>
      </c>
      <c r="I5" s="510" t="s">
        <v>1169</v>
      </c>
      <c r="J5" s="511" t="s">
        <v>1169</v>
      </c>
      <c r="K5" s="512" t="s">
        <v>1169</v>
      </c>
      <c r="L5" s="347"/>
    </row>
    <row r="6" spans="1:13" ht="15.75" customHeight="1" x14ac:dyDescent="0.2">
      <c r="A6" s="1509" t="s">
        <v>1496</v>
      </c>
      <c r="B6" s="1511">
        <v>3000</v>
      </c>
      <c r="C6" s="1675">
        <f>'Revenues 9-14'!C170</f>
        <v>1276006425</v>
      </c>
      <c r="D6" s="1675">
        <f>'Revenues 9-14'!D170</f>
        <v>371894094</v>
      </c>
      <c r="E6" s="1675">
        <f>'Revenues 9-14'!E170</f>
        <v>282656538</v>
      </c>
      <c r="F6" s="1675">
        <f>'Revenues 9-14'!F170</f>
        <v>0</v>
      </c>
      <c r="G6" s="1675">
        <f>'Revenues 9-14'!G170</f>
        <v>0</v>
      </c>
      <c r="H6" s="1675">
        <f>'Revenues 9-14'!H170</f>
        <v>13515104</v>
      </c>
      <c r="I6" s="1675">
        <f>'Revenues 9-14'!I170</f>
        <v>0</v>
      </c>
      <c r="J6" s="1675">
        <f>'Revenues 9-14'!J170</f>
        <v>0</v>
      </c>
      <c r="K6" s="1675">
        <f>'Revenues 9-14'!K170</f>
        <v>0</v>
      </c>
      <c r="L6" s="347"/>
      <c r="M6" s="513"/>
    </row>
    <row r="7" spans="1:13" ht="15.75" customHeight="1" x14ac:dyDescent="0.2">
      <c r="A7" s="1509" t="s">
        <v>1497</v>
      </c>
      <c r="B7" s="1511">
        <v>4000</v>
      </c>
      <c r="C7" s="1675">
        <f>'Revenues 9-14'!C267</f>
        <v>666438999</v>
      </c>
      <c r="D7" s="1675">
        <f>'Revenues 9-14'!D267</f>
        <v>0</v>
      </c>
      <c r="E7" s="1675">
        <f>'Revenues 9-14'!E267</f>
        <v>24886885</v>
      </c>
      <c r="F7" s="1675">
        <f>'Revenues 9-14'!F267</f>
        <v>0</v>
      </c>
      <c r="G7" s="1675">
        <f>'Revenues 9-14'!G267</f>
        <v>0</v>
      </c>
      <c r="H7" s="1675">
        <f>'Revenues 9-14'!H267</f>
        <v>0</v>
      </c>
      <c r="I7" s="1675">
        <f>'Revenues 9-14'!I267</f>
        <v>0</v>
      </c>
      <c r="J7" s="1675">
        <f>'Revenues 9-14'!J267</f>
        <v>0</v>
      </c>
      <c r="K7" s="1675">
        <f>'Revenues 9-14'!K267</f>
        <v>0</v>
      </c>
      <c r="L7" s="347"/>
      <c r="M7" s="513"/>
    </row>
    <row r="8" spans="1:13" ht="13.5" thickBot="1" x14ac:dyDescent="0.25">
      <c r="A8" s="1668" t="s">
        <v>1172</v>
      </c>
      <c r="B8" s="1641"/>
      <c r="C8" s="1620">
        <f>SUM(C4:C7)</f>
        <v>5191612989</v>
      </c>
      <c r="D8" s="1620">
        <f t="shared" ref="D8:K8" si="0">SUM(D4:D7)</f>
        <v>379924577</v>
      </c>
      <c r="E8" s="1620">
        <f t="shared" si="0"/>
        <v>559712917</v>
      </c>
      <c r="F8" s="1620">
        <f t="shared" si="0"/>
        <v>0</v>
      </c>
      <c r="G8" s="1620">
        <f t="shared" si="0"/>
        <v>0</v>
      </c>
      <c r="H8" s="1620">
        <f t="shared" si="0"/>
        <v>76398485</v>
      </c>
      <c r="I8" s="1620">
        <f t="shared" si="0"/>
        <v>0</v>
      </c>
      <c r="J8" s="1620">
        <f t="shared" si="0"/>
        <v>76465878</v>
      </c>
      <c r="K8" s="1620">
        <f t="shared" si="0"/>
        <v>0</v>
      </c>
      <c r="L8" s="347"/>
    </row>
    <row r="9" spans="1:13" ht="15.75" thickTop="1" x14ac:dyDescent="0.2">
      <c r="A9" s="514" t="s">
        <v>1642</v>
      </c>
      <c r="B9" s="515">
        <v>3998</v>
      </c>
      <c r="C9" s="481">
        <v>341624083</v>
      </c>
      <c r="D9" s="516">
        <v>7050727</v>
      </c>
      <c r="E9" s="481"/>
      <c r="F9" s="481"/>
      <c r="G9" s="517"/>
      <c r="H9" s="481">
        <f>478072+210393</f>
        <v>688465</v>
      </c>
      <c r="I9" s="509" t="s">
        <v>1169</v>
      </c>
      <c r="J9" s="478">
        <v>9675198</v>
      </c>
      <c r="K9" s="481"/>
      <c r="L9" s="347"/>
    </row>
    <row r="10" spans="1:13" s="519" customFormat="1" ht="13.5" thickBot="1" x14ac:dyDescent="0.25">
      <c r="A10" s="1668" t="s">
        <v>1173</v>
      </c>
      <c r="B10" s="1641"/>
      <c r="C10" s="1620">
        <f>SUM(C8:C9)</f>
        <v>5533237072</v>
      </c>
      <c r="D10" s="1620">
        <f t="shared" ref="D10:K10" si="1">SUM(D8:D9)</f>
        <v>386975304</v>
      </c>
      <c r="E10" s="1620">
        <f t="shared" si="1"/>
        <v>559712917</v>
      </c>
      <c r="F10" s="1620">
        <f t="shared" si="1"/>
        <v>0</v>
      </c>
      <c r="G10" s="1620">
        <f t="shared" si="1"/>
        <v>0</v>
      </c>
      <c r="H10" s="1620">
        <f t="shared" si="1"/>
        <v>77086950</v>
      </c>
      <c r="I10" s="1620">
        <f t="shared" si="1"/>
        <v>0</v>
      </c>
      <c r="J10" s="1620">
        <f t="shared" si="1"/>
        <v>86141076</v>
      </c>
      <c r="K10" s="1620">
        <f t="shared" si="1"/>
        <v>0</v>
      </c>
      <c r="L10" s="518"/>
    </row>
    <row r="11" spans="1:13" s="519" customFormat="1" ht="16.7" customHeight="1" thickTop="1" x14ac:dyDescent="0.2">
      <c r="A11" s="2147" t="s">
        <v>1176</v>
      </c>
      <c r="B11" s="2148"/>
      <c r="C11" s="1503"/>
      <c r="D11" s="1504"/>
      <c r="E11" s="1504"/>
      <c r="F11" s="1504"/>
      <c r="G11" s="1504"/>
      <c r="H11" s="1504"/>
      <c r="I11" s="1504"/>
      <c r="J11" s="1504"/>
      <c r="K11" s="1505"/>
      <c r="L11" s="518"/>
    </row>
    <row r="12" spans="1:13" ht="15.75" customHeight="1" x14ac:dyDescent="0.2">
      <c r="A12" s="1509" t="s">
        <v>456</v>
      </c>
      <c r="B12" s="1511">
        <v>1000</v>
      </c>
      <c r="C12" s="1674">
        <f>'Expenditures 15-22'!K33</f>
        <v>3610774046</v>
      </c>
      <c r="D12" s="520" t="s">
        <v>1169</v>
      </c>
      <c r="E12" s="468" t="s">
        <v>1169</v>
      </c>
      <c r="F12" s="468" t="s">
        <v>1169</v>
      </c>
      <c r="G12" s="1674">
        <f>'Expenditures 15-22'!K229</f>
        <v>0</v>
      </c>
      <c r="H12" s="521"/>
      <c r="I12" s="468" t="s">
        <v>1169</v>
      </c>
      <c r="J12" s="468" t="s">
        <v>1169</v>
      </c>
      <c r="K12" s="521" t="s">
        <v>1169</v>
      </c>
      <c r="L12" s="347"/>
    </row>
    <row r="13" spans="1:13" ht="15.75" customHeight="1" x14ac:dyDescent="0.2">
      <c r="A13" s="1509" t="s">
        <v>457</v>
      </c>
      <c r="B13" s="1511">
        <v>2000</v>
      </c>
      <c r="C13" s="1675">
        <f>'Expenditures 15-22'!K74</f>
        <v>1291840933</v>
      </c>
      <c r="D13" s="1675">
        <f>'Expenditures 15-22'!K129</f>
        <v>379924577</v>
      </c>
      <c r="E13" s="469" t="s">
        <v>1169</v>
      </c>
      <c r="F13" s="1675">
        <f>'Expenditures 15-22'!K184</f>
        <v>0</v>
      </c>
      <c r="G13" s="1675">
        <f>'Expenditures 15-22'!K279</f>
        <v>0</v>
      </c>
      <c r="H13" s="1675">
        <f>'Expenditures 15-22'!K303</f>
        <v>612371252</v>
      </c>
      <c r="I13" s="468" t="s">
        <v>1169</v>
      </c>
      <c r="J13" s="1675">
        <f>'Expenditures 15-22'!K330</f>
        <v>78311452</v>
      </c>
      <c r="K13" s="1679">
        <f>'Expenditures 15-22'!K352</f>
        <v>0</v>
      </c>
      <c r="L13" s="347"/>
    </row>
    <row r="14" spans="1:13" ht="15.75" customHeight="1" x14ac:dyDescent="0.2">
      <c r="A14" s="1509" t="s">
        <v>449</v>
      </c>
      <c r="B14" s="1511">
        <v>3000</v>
      </c>
      <c r="C14" s="1675">
        <f>'Expenditures 15-22'!K75</f>
        <v>63798471</v>
      </c>
      <c r="D14" s="1675">
        <f>'Expenditures 15-22'!K130</f>
        <v>0</v>
      </c>
      <c r="E14" s="520" t="s">
        <v>1169</v>
      </c>
      <c r="F14" s="1675">
        <f>'Expenditures 15-22'!K185</f>
        <v>0</v>
      </c>
      <c r="G14" s="1675">
        <f>'Expenditures 15-22'!K280</f>
        <v>0</v>
      </c>
      <c r="H14" s="512"/>
      <c r="I14" s="468" t="s">
        <v>1169</v>
      </c>
      <c r="J14" s="468" t="s">
        <v>1169</v>
      </c>
      <c r="K14" s="512" t="s">
        <v>1169</v>
      </c>
      <c r="L14" s="347"/>
    </row>
    <row r="15" spans="1:13" ht="15.75" customHeight="1" x14ac:dyDescent="0.2">
      <c r="A15" s="1509" t="s">
        <v>107</v>
      </c>
      <c r="B15" s="1511">
        <v>4000</v>
      </c>
      <c r="C15" s="1675">
        <f>'Expenditures 15-22'!K102</f>
        <v>69201295</v>
      </c>
      <c r="D15" s="1675">
        <f>'Expenditures 15-22'!K139</f>
        <v>0</v>
      </c>
      <c r="E15" s="1675">
        <f>'Expenditures 15-22'!K160</f>
        <v>0</v>
      </c>
      <c r="F15" s="1675">
        <f>'Expenditures 15-22'!K196</f>
        <v>0</v>
      </c>
      <c r="G15" s="1675">
        <f>'Expenditures 15-22'!K285</f>
        <v>0</v>
      </c>
      <c r="H15" s="1675">
        <f>'Expenditures 15-22'!K310</f>
        <v>0</v>
      </c>
      <c r="I15" s="468" t="s">
        <v>1169</v>
      </c>
      <c r="J15" s="1767">
        <f>'Expenditures 15-22'!K334</f>
        <v>0</v>
      </c>
      <c r="K15" s="1675">
        <f>'Expenditures 15-22'!K357</f>
        <v>0</v>
      </c>
      <c r="L15" s="347"/>
    </row>
    <row r="16" spans="1:13" ht="15.75" customHeight="1" x14ac:dyDescent="0.2">
      <c r="A16" s="1509" t="s">
        <v>450</v>
      </c>
      <c r="B16" s="1511">
        <v>5000</v>
      </c>
      <c r="C16" s="1675">
        <f>'Expenditures 15-22'!K112</f>
        <v>6659083</v>
      </c>
      <c r="D16" s="1675">
        <f>'Expenditures 15-22'!K149</f>
        <v>0</v>
      </c>
      <c r="E16" s="1675">
        <f>'Expenditures 15-22'!K172</f>
        <v>629554828</v>
      </c>
      <c r="F16" s="1675">
        <f>'Expenditures 15-22'!K208</f>
        <v>0</v>
      </c>
      <c r="G16" s="1675">
        <f>'Expenditures 15-22'!K293</f>
        <v>0</v>
      </c>
      <c r="H16" s="523"/>
      <c r="I16" s="468" t="s">
        <v>1169</v>
      </c>
      <c r="J16" s="1680">
        <f>'Expenditures 15-22'!K340</f>
        <v>0</v>
      </c>
      <c r="K16" s="1675">
        <f>'Expenditures 15-22'!K365</f>
        <v>0</v>
      </c>
      <c r="L16" s="347"/>
    </row>
    <row r="17" spans="1:12" ht="13.5" thickBot="1" x14ac:dyDescent="0.25">
      <c r="A17" s="1640" t="s">
        <v>48</v>
      </c>
      <c r="B17" s="1641"/>
      <c r="C17" s="1620">
        <f t="shared" ref="C17:H17" si="2">SUM(C12:C16)</f>
        <v>5042273828</v>
      </c>
      <c r="D17" s="1620">
        <f t="shared" si="2"/>
        <v>379924577</v>
      </c>
      <c r="E17" s="1620">
        <f t="shared" si="2"/>
        <v>629554828</v>
      </c>
      <c r="F17" s="1620">
        <f t="shared" si="2"/>
        <v>0</v>
      </c>
      <c r="G17" s="1620">
        <f t="shared" si="2"/>
        <v>0</v>
      </c>
      <c r="H17" s="1620">
        <f t="shared" si="2"/>
        <v>612371252</v>
      </c>
      <c r="I17" s="468"/>
      <c r="J17" s="1620">
        <f>SUM(J12:J16)</f>
        <v>78311452</v>
      </c>
      <c r="K17" s="1620">
        <f>SUM(K12:K16)</f>
        <v>0</v>
      </c>
      <c r="L17" s="347"/>
    </row>
    <row r="18" spans="1:12" ht="15" customHeight="1" thickTop="1" x14ac:dyDescent="0.2">
      <c r="A18" s="1676" t="s">
        <v>1643</v>
      </c>
      <c r="B18" s="1677">
        <v>4180</v>
      </c>
      <c r="C18" s="1674">
        <f t="shared" ref="C18:H18" si="3">C9</f>
        <v>341624083</v>
      </c>
      <c r="D18" s="1674">
        <f t="shared" si="3"/>
        <v>7050727</v>
      </c>
      <c r="E18" s="1674">
        <f t="shared" si="3"/>
        <v>0</v>
      </c>
      <c r="F18" s="1674">
        <f t="shared" si="3"/>
        <v>0</v>
      </c>
      <c r="G18" s="1674">
        <f t="shared" si="3"/>
        <v>0</v>
      </c>
      <c r="H18" s="1674">
        <f t="shared" si="3"/>
        <v>688465</v>
      </c>
      <c r="I18" s="468"/>
      <c r="J18" s="1674">
        <f>J9</f>
        <v>9675198</v>
      </c>
      <c r="K18" s="1674">
        <f>K9</f>
        <v>0</v>
      </c>
      <c r="L18" s="347"/>
    </row>
    <row r="19" spans="1:12" ht="13.5" thickBot="1" x14ac:dyDescent="0.25">
      <c r="A19" s="1640" t="s">
        <v>505</v>
      </c>
      <c r="B19" s="1641"/>
      <c r="C19" s="1620">
        <f t="shared" ref="C19:H19" si="4">SUM(C17:C18)</f>
        <v>5383897911</v>
      </c>
      <c r="D19" s="1620">
        <f t="shared" si="4"/>
        <v>386975304</v>
      </c>
      <c r="E19" s="1620">
        <f t="shared" si="4"/>
        <v>629554828</v>
      </c>
      <c r="F19" s="1620">
        <f t="shared" si="4"/>
        <v>0</v>
      </c>
      <c r="G19" s="1620">
        <f t="shared" si="4"/>
        <v>0</v>
      </c>
      <c r="H19" s="1620">
        <f t="shared" si="4"/>
        <v>613059717</v>
      </c>
      <c r="I19" s="468"/>
      <c r="J19" s="1620">
        <f>SUM(J17:J18)</f>
        <v>87986650</v>
      </c>
      <c r="K19" s="1620">
        <f>SUM(K17:K18)</f>
        <v>0</v>
      </c>
      <c r="L19" s="347"/>
    </row>
    <row r="20" spans="1:12" ht="16.5" thickTop="1" thickBot="1" x14ac:dyDescent="0.25">
      <c r="A20" s="2163" t="s">
        <v>1644</v>
      </c>
      <c r="B20" s="2164"/>
      <c r="C20" s="1678">
        <f>C8-C17</f>
        <v>149339161</v>
      </c>
      <c r="D20" s="1678">
        <f t="shared" ref="D20:K20" si="5">D8-D17</f>
        <v>0</v>
      </c>
      <c r="E20" s="1678">
        <f t="shared" si="5"/>
        <v>-69841911</v>
      </c>
      <c r="F20" s="1678">
        <f t="shared" si="5"/>
        <v>0</v>
      </c>
      <c r="G20" s="1678">
        <f t="shared" si="5"/>
        <v>0</v>
      </c>
      <c r="H20" s="1678">
        <f t="shared" si="5"/>
        <v>-535972767</v>
      </c>
      <c r="I20" s="1678">
        <f t="shared" si="5"/>
        <v>0</v>
      </c>
      <c r="J20" s="1678">
        <f t="shared" si="5"/>
        <v>-1845574</v>
      </c>
      <c r="K20" s="1678">
        <f t="shared" si="5"/>
        <v>0</v>
      </c>
      <c r="L20" s="347"/>
    </row>
    <row r="21" spans="1:12" ht="16.7" customHeight="1" thickTop="1" x14ac:dyDescent="0.2">
      <c r="A21" s="2175" t="s">
        <v>595</v>
      </c>
      <c r="B21" s="2176"/>
      <c r="C21" s="1503"/>
      <c r="D21" s="1504"/>
      <c r="E21" s="1504"/>
      <c r="F21" s="1504"/>
      <c r="G21" s="1504"/>
      <c r="H21" s="1504"/>
      <c r="I21" s="1504"/>
      <c r="J21" s="1504"/>
      <c r="K21" s="1505"/>
      <c r="L21" s="524"/>
    </row>
    <row r="22" spans="1:12" ht="15.75" customHeight="1" collapsed="1" x14ac:dyDescent="0.2">
      <c r="A22" s="2171" t="s">
        <v>596</v>
      </c>
      <c r="B22" s="2172"/>
      <c r="C22" s="477"/>
      <c r="D22" s="477"/>
      <c r="E22" s="477"/>
      <c r="F22" s="477"/>
      <c r="G22" s="477"/>
      <c r="H22" s="477"/>
      <c r="I22" s="477"/>
      <c r="J22" s="477"/>
      <c r="K22" s="477"/>
      <c r="L22" s="347"/>
    </row>
    <row r="23" spans="1:12" s="485" customFormat="1" ht="15.75" customHeight="1" x14ac:dyDescent="0.2">
      <c r="A23" s="2167" t="s">
        <v>293</v>
      </c>
      <c r="B23" s="2168"/>
      <c r="C23" s="480"/>
      <c r="D23" s="477"/>
      <c r="E23" s="477"/>
      <c r="F23" s="477"/>
      <c r="G23" s="477"/>
      <c r="H23" s="477"/>
      <c r="I23" s="477"/>
      <c r="J23" s="477"/>
      <c r="K23" s="477"/>
      <c r="L23" s="524"/>
    </row>
    <row r="24" spans="1:12" s="485" customFormat="1" ht="13.5" customHeight="1" x14ac:dyDescent="0.2">
      <c r="A24" s="1422" t="s">
        <v>1645</v>
      </c>
      <c r="B24" s="525">
        <v>7110</v>
      </c>
      <c r="C24" s="467"/>
      <c r="D24" s="477"/>
      <c r="E24" s="477"/>
      <c r="F24" s="477"/>
      <c r="G24" s="477"/>
      <c r="H24" s="477"/>
      <c r="I24" s="477"/>
      <c r="J24" s="477"/>
      <c r="K24" s="477"/>
      <c r="L24" s="524"/>
    </row>
    <row r="25" spans="1:12" s="485" customFormat="1" ht="13.5" customHeight="1" x14ac:dyDescent="0.2">
      <c r="A25" s="1422" t="s">
        <v>1646</v>
      </c>
      <c r="B25" s="525">
        <v>7110</v>
      </c>
      <c r="C25" s="467"/>
      <c r="D25" s="467"/>
      <c r="E25" s="467"/>
      <c r="F25" s="467"/>
      <c r="G25" s="467"/>
      <c r="H25" s="467"/>
      <c r="I25" s="477"/>
      <c r="J25" s="467"/>
      <c r="K25" s="467"/>
      <c r="L25" s="524"/>
    </row>
    <row r="26" spans="1:12" s="485" customFormat="1" ht="13.5" customHeight="1" x14ac:dyDescent="0.2">
      <c r="A26" s="1422" t="s">
        <v>184</v>
      </c>
      <c r="B26" s="483">
        <v>7120</v>
      </c>
      <c r="C26" s="467"/>
      <c r="D26" s="467"/>
      <c r="E26" s="467"/>
      <c r="F26" s="467"/>
      <c r="G26" s="467"/>
      <c r="H26" s="467"/>
      <c r="I26" s="477"/>
      <c r="J26" s="467"/>
      <c r="K26" s="467"/>
      <c r="L26" s="524"/>
    </row>
    <row r="27" spans="1:12" s="485" customFormat="1" ht="13.5" customHeight="1" x14ac:dyDescent="0.2">
      <c r="A27" s="1422" t="s">
        <v>185</v>
      </c>
      <c r="B27" s="483">
        <v>7130</v>
      </c>
      <c r="C27" s="467"/>
      <c r="D27" s="467"/>
      <c r="E27" s="526"/>
      <c r="F27" s="467"/>
      <c r="G27" s="480"/>
      <c r="H27" s="480"/>
      <c r="I27" s="480"/>
      <c r="J27" s="480"/>
      <c r="K27" s="480"/>
      <c r="L27" s="524"/>
    </row>
    <row r="28" spans="1:12" s="485" customFormat="1" ht="13.5" customHeight="1" x14ac:dyDescent="0.2">
      <c r="A28" s="1422" t="s">
        <v>1393</v>
      </c>
      <c r="B28" s="483">
        <v>7140</v>
      </c>
      <c r="C28" s="467">
        <v>475020</v>
      </c>
      <c r="D28" s="467"/>
      <c r="E28" s="467"/>
      <c r="F28" s="467"/>
      <c r="G28" s="467"/>
      <c r="H28" s="467"/>
      <c r="I28" s="467"/>
      <c r="J28" s="467"/>
      <c r="K28" s="467"/>
      <c r="L28" s="524"/>
    </row>
    <row r="29" spans="1:12" s="485" customFormat="1" ht="13.5" customHeight="1" x14ac:dyDescent="0.2">
      <c r="A29" s="1422" t="s">
        <v>294</v>
      </c>
      <c r="B29" s="483">
        <v>7150</v>
      </c>
      <c r="C29" s="475"/>
      <c r="D29" s="467"/>
      <c r="E29" s="475"/>
      <c r="F29" s="475"/>
      <c r="G29" s="475"/>
      <c r="H29" s="475"/>
      <c r="I29" s="475"/>
      <c r="J29" s="475"/>
      <c r="K29" s="475"/>
      <c r="L29" s="524"/>
    </row>
    <row r="30" spans="1:12" s="485" customFormat="1" ht="26.25" x14ac:dyDescent="0.2">
      <c r="A30" s="1422" t="s">
        <v>1772</v>
      </c>
      <c r="B30" s="527">
        <v>7160</v>
      </c>
      <c r="C30" s="477"/>
      <c r="D30" s="467"/>
      <c r="E30" s="477"/>
      <c r="F30" s="477"/>
      <c r="G30" s="477"/>
      <c r="H30" s="477"/>
      <c r="I30" s="477"/>
      <c r="J30" s="477"/>
      <c r="K30" s="477"/>
      <c r="L30" s="524"/>
    </row>
    <row r="31" spans="1:12" s="485" customFormat="1" ht="26.25" x14ac:dyDescent="0.2">
      <c r="A31" s="1422" t="s">
        <v>1776</v>
      </c>
      <c r="B31" s="527">
        <v>7170</v>
      </c>
      <c r="C31" s="477"/>
      <c r="D31" s="477"/>
      <c r="E31" s="474"/>
      <c r="F31" s="477"/>
      <c r="G31" s="477"/>
      <c r="H31" s="477"/>
      <c r="I31" s="477"/>
      <c r="J31" s="477"/>
      <c r="K31" s="477"/>
      <c r="L31" s="524"/>
    </row>
    <row r="32" spans="1:12" s="485" customFormat="1" ht="15.75" customHeight="1" x14ac:dyDescent="0.2">
      <c r="A32" s="2169" t="s">
        <v>981</v>
      </c>
      <c r="B32" s="2170"/>
      <c r="C32" s="477"/>
      <c r="D32" s="477"/>
      <c r="E32" s="475"/>
      <c r="F32" s="477"/>
      <c r="G32" s="477"/>
      <c r="H32" s="477"/>
      <c r="I32" s="477"/>
      <c r="J32" s="477"/>
      <c r="K32" s="477"/>
      <c r="L32" s="524"/>
    </row>
    <row r="33" spans="1:12" s="485" customFormat="1" x14ac:dyDescent="0.2">
      <c r="A33" s="1422" t="s">
        <v>412</v>
      </c>
      <c r="B33" s="525">
        <v>7210</v>
      </c>
      <c r="C33" s="467"/>
      <c r="D33" s="467"/>
      <c r="E33" s="467">
        <v>487819286</v>
      </c>
      <c r="F33" s="467"/>
      <c r="G33" s="477"/>
      <c r="H33" s="467">
        <v>361575714</v>
      </c>
      <c r="I33" s="467"/>
      <c r="J33" s="467"/>
      <c r="K33" s="467"/>
      <c r="L33" s="524"/>
    </row>
    <row r="34" spans="1:12" s="485" customFormat="1" x14ac:dyDescent="0.2">
      <c r="A34" s="1422" t="s">
        <v>1001</v>
      </c>
      <c r="B34" s="525">
        <v>7220</v>
      </c>
      <c r="C34" s="467">
        <v>32500</v>
      </c>
      <c r="D34" s="467"/>
      <c r="E34" s="467">
        <v>28895967</v>
      </c>
      <c r="F34" s="467"/>
      <c r="G34" s="477"/>
      <c r="H34" s="478">
        <v>4470450</v>
      </c>
      <c r="I34" s="478"/>
      <c r="J34" s="478"/>
      <c r="K34" s="478"/>
      <c r="L34" s="524"/>
    </row>
    <row r="35" spans="1:12" s="485" customFormat="1" x14ac:dyDescent="0.2">
      <c r="A35" s="1422" t="s">
        <v>990</v>
      </c>
      <c r="B35" s="525">
        <v>7230</v>
      </c>
      <c r="C35" s="467"/>
      <c r="D35" s="467"/>
      <c r="E35" s="467"/>
      <c r="F35" s="467"/>
      <c r="G35" s="480"/>
      <c r="H35" s="467"/>
      <c r="I35" s="467"/>
      <c r="J35" s="467"/>
      <c r="K35" s="467"/>
      <c r="L35" s="524"/>
    </row>
    <row r="36" spans="1:12" s="485" customFormat="1" ht="15" x14ac:dyDescent="0.2">
      <c r="A36" s="1422" t="s">
        <v>1647</v>
      </c>
      <c r="B36" s="525">
        <v>7300</v>
      </c>
      <c r="C36" s="467"/>
      <c r="D36" s="467"/>
      <c r="E36" s="467"/>
      <c r="F36" s="467"/>
      <c r="G36" s="467"/>
      <c r="H36" s="467">
        <v>1251871</v>
      </c>
      <c r="I36" s="475"/>
      <c r="J36" s="467"/>
      <c r="K36" s="467"/>
      <c r="L36" s="524"/>
    </row>
    <row r="37" spans="1:12" s="485" customFormat="1" x14ac:dyDescent="0.2">
      <c r="A37" s="1422" t="s">
        <v>441</v>
      </c>
      <c r="B37" s="525">
        <v>7400</v>
      </c>
      <c r="C37" s="475"/>
      <c r="D37" s="475"/>
      <c r="E37" s="1675">
        <f>SUM(C54:D57,H54:H57)</f>
        <v>0</v>
      </c>
      <c r="F37" s="475"/>
      <c r="G37" s="475"/>
      <c r="H37" s="475"/>
      <c r="I37" s="477"/>
      <c r="J37" s="475"/>
      <c r="K37" s="475"/>
      <c r="L37" s="524"/>
    </row>
    <row r="38" spans="1:12" s="485" customFormat="1" x14ac:dyDescent="0.2">
      <c r="A38" s="1422" t="s">
        <v>442</v>
      </c>
      <c r="B38" s="525">
        <v>7500</v>
      </c>
      <c r="C38" s="477"/>
      <c r="D38" s="477"/>
      <c r="E38" s="1675">
        <f>SUM(C58:D61,H58:H61)</f>
        <v>0</v>
      </c>
      <c r="F38" s="477"/>
      <c r="G38" s="477"/>
      <c r="H38" s="477"/>
      <c r="I38" s="477"/>
      <c r="J38" s="477"/>
      <c r="K38" s="477"/>
      <c r="L38" s="524"/>
    </row>
    <row r="39" spans="1:12" s="485" customFormat="1" x14ac:dyDescent="0.2">
      <c r="A39" s="1422" t="s">
        <v>443</v>
      </c>
      <c r="B39" s="525">
        <v>7600</v>
      </c>
      <c r="C39" s="477"/>
      <c r="D39" s="477"/>
      <c r="E39" s="1675">
        <f>SUM(C62:D65)</f>
        <v>0</v>
      </c>
      <c r="F39" s="477"/>
      <c r="G39" s="477"/>
      <c r="H39" s="477"/>
      <c r="I39" s="477"/>
      <c r="J39" s="477"/>
      <c r="K39" s="477"/>
      <c r="L39" s="524"/>
    </row>
    <row r="40" spans="1:12" s="485" customFormat="1" ht="13.5" customHeight="1" x14ac:dyDescent="0.2">
      <c r="A40" s="1422" t="s">
        <v>642</v>
      </c>
      <c r="B40" s="483">
        <v>7700</v>
      </c>
      <c r="C40" s="477"/>
      <c r="D40" s="477"/>
      <c r="E40" s="1675">
        <f>SUM(C66:D69)</f>
        <v>0</v>
      </c>
      <c r="F40" s="477"/>
      <c r="G40" s="477"/>
      <c r="H40" s="480"/>
      <c r="I40" s="477"/>
      <c r="J40" s="477"/>
      <c r="K40" s="477"/>
      <c r="L40" s="524"/>
    </row>
    <row r="41" spans="1:12" s="485" customFormat="1" ht="13.5" customHeight="1" x14ac:dyDescent="0.2">
      <c r="A41" s="1422" t="s">
        <v>640</v>
      </c>
      <c r="B41" s="483">
        <v>7800</v>
      </c>
      <c r="C41" s="480"/>
      <c r="D41" s="480"/>
      <c r="E41" s="526"/>
      <c r="F41" s="480"/>
      <c r="G41" s="480"/>
      <c r="H41" s="1675">
        <f>SUM(C70:D73)</f>
        <v>0</v>
      </c>
      <c r="I41" s="477"/>
      <c r="J41" s="477"/>
      <c r="K41" s="480"/>
      <c r="L41" s="524"/>
    </row>
    <row r="42" spans="1:12" s="485" customFormat="1" ht="13.5" customHeight="1" x14ac:dyDescent="0.2">
      <c r="A42" s="1422" t="s">
        <v>641</v>
      </c>
      <c r="B42" s="483">
        <v>7900</v>
      </c>
      <c r="C42" s="467"/>
      <c r="D42" s="467"/>
      <c r="E42" s="467"/>
      <c r="F42" s="467"/>
      <c r="G42" s="467"/>
      <c r="H42" s="467"/>
      <c r="I42" s="480"/>
      <c r="J42" s="480"/>
      <c r="K42" s="467"/>
      <c r="L42" s="524"/>
    </row>
    <row r="43" spans="1:12" s="485" customFormat="1" ht="13.5" customHeight="1" x14ac:dyDescent="0.2">
      <c r="A43" s="1422" t="s">
        <v>373</v>
      </c>
      <c r="B43" s="483">
        <v>7990</v>
      </c>
      <c r="C43" s="467"/>
      <c r="D43" s="467"/>
      <c r="E43" s="467"/>
      <c r="F43" s="467"/>
      <c r="G43" s="467"/>
      <c r="H43" s="467"/>
      <c r="I43" s="467"/>
      <c r="J43" s="467"/>
      <c r="K43" s="467"/>
      <c r="L43" s="524"/>
    </row>
    <row r="44" spans="1:12" s="485" customFormat="1" ht="13.5" customHeight="1" thickBot="1" x14ac:dyDescent="0.25">
      <c r="A44" s="2177" t="s">
        <v>374</v>
      </c>
      <c r="B44" s="2178"/>
      <c r="C44" s="1635">
        <f>SUM(C24:C43)</f>
        <v>507520</v>
      </c>
      <c r="D44" s="1635">
        <f t="shared" ref="D44:K44" si="6">SUM(D24:D43)</f>
        <v>0</v>
      </c>
      <c r="E44" s="1635">
        <f t="shared" si="6"/>
        <v>516715253</v>
      </c>
      <c r="F44" s="1635">
        <f t="shared" si="6"/>
        <v>0</v>
      </c>
      <c r="G44" s="1635">
        <f t="shared" si="6"/>
        <v>0</v>
      </c>
      <c r="H44" s="1635">
        <f t="shared" si="6"/>
        <v>367298035</v>
      </c>
      <c r="I44" s="1635">
        <f t="shared" si="6"/>
        <v>0</v>
      </c>
      <c r="J44" s="1635">
        <f t="shared" si="6"/>
        <v>0</v>
      </c>
      <c r="K44" s="1635">
        <f t="shared" si="6"/>
        <v>0</v>
      </c>
      <c r="L44" s="524"/>
    </row>
    <row r="45" spans="1:12" ht="15.75" customHeight="1" thickTop="1" x14ac:dyDescent="0.2">
      <c r="A45" s="2171" t="s">
        <v>108</v>
      </c>
      <c r="B45" s="2172"/>
      <c r="C45" s="528"/>
      <c r="D45" s="528"/>
      <c r="E45" s="528"/>
      <c r="F45" s="528"/>
      <c r="G45" s="528"/>
      <c r="H45" s="528"/>
      <c r="I45" s="528"/>
      <c r="J45" s="528"/>
      <c r="K45" s="528"/>
      <c r="L45" s="347"/>
    </row>
    <row r="46" spans="1:12" s="485" customFormat="1" ht="15.75" customHeight="1" x14ac:dyDescent="0.2">
      <c r="A46" s="2179" t="s">
        <v>109</v>
      </c>
      <c r="B46" s="2180"/>
      <c r="C46" s="477"/>
      <c r="D46" s="477"/>
      <c r="E46" s="477"/>
      <c r="F46" s="477"/>
      <c r="G46" s="477"/>
      <c r="H46" s="477"/>
      <c r="I46" s="480"/>
      <c r="J46" s="477"/>
      <c r="K46" s="477"/>
      <c r="L46" s="529"/>
    </row>
    <row r="47" spans="1:12" s="485" customFormat="1" ht="15" x14ac:dyDescent="0.2">
      <c r="A47" s="1423" t="s">
        <v>1648</v>
      </c>
      <c r="B47" s="483">
        <v>8110</v>
      </c>
      <c r="C47" s="477"/>
      <c r="D47" s="477"/>
      <c r="E47" s="477"/>
      <c r="F47" s="477"/>
      <c r="G47" s="477"/>
      <c r="H47" s="477"/>
      <c r="I47" s="1675">
        <f>SUM(C24,C25:H25,J25:K25)</f>
        <v>0</v>
      </c>
      <c r="J47" s="477"/>
      <c r="K47" s="477"/>
      <c r="L47" s="529"/>
    </row>
    <row r="48" spans="1:12" s="485" customFormat="1" ht="15" x14ac:dyDescent="0.2">
      <c r="A48" s="1423" t="s">
        <v>1649</v>
      </c>
      <c r="B48" s="483">
        <v>8120</v>
      </c>
      <c r="C48" s="480"/>
      <c r="D48" s="480"/>
      <c r="E48" s="477"/>
      <c r="F48" s="480"/>
      <c r="G48" s="477"/>
      <c r="H48" s="477"/>
      <c r="I48" s="1675">
        <f>SUM(C26:H26,J26,K26)</f>
        <v>0</v>
      </c>
      <c r="J48" s="477"/>
      <c r="K48" s="477"/>
      <c r="L48" s="529"/>
    </row>
    <row r="49" spans="1:12" s="485" customFormat="1" x14ac:dyDescent="0.2">
      <c r="A49" s="1423" t="s">
        <v>185</v>
      </c>
      <c r="B49" s="483">
        <v>8130</v>
      </c>
      <c r="C49" s="467"/>
      <c r="D49" s="467"/>
      <c r="E49" s="480"/>
      <c r="F49" s="467"/>
      <c r="G49" s="480"/>
      <c r="H49" s="480"/>
      <c r="I49" s="477"/>
      <c r="J49" s="480"/>
      <c r="K49" s="477"/>
      <c r="L49" s="524"/>
    </row>
    <row r="50" spans="1:12" s="485" customFormat="1" x14ac:dyDescent="0.2">
      <c r="A50" s="1423" t="s">
        <v>1393</v>
      </c>
      <c r="B50" s="483">
        <v>8140</v>
      </c>
      <c r="C50" s="467"/>
      <c r="D50" s="467"/>
      <c r="E50" s="467">
        <v>268189</v>
      </c>
      <c r="F50" s="467"/>
      <c r="G50" s="467"/>
      <c r="H50" s="467">
        <v>206831</v>
      </c>
      <c r="I50" s="477"/>
      <c r="J50" s="467"/>
      <c r="K50" s="477"/>
      <c r="L50" s="524"/>
    </row>
    <row r="51" spans="1:12" s="485" customFormat="1" x14ac:dyDescent="0.2">
      <c r="A51" s="1423" t="s">
        <v>294</v>
      </c>
      <c r="B51" s="483">
        <v>8150</v>
      </c>
      <c r="C51" s="475"/>
      <c r="D51" s="475"/>
      <c r="E51" s="475"/>
      <c r="F51" s="475"/>
      <c r="G51" s="475"/>
      <c r="H51" s="1675">
        <f>SUM(D29)</f>
        <v>0</v>
      </c>
      <c r="I51" s="477"/>
      <c r="J51" s="475"/>
      <c r="K51" s="480"/>
      <c r="L51" s="524"/>
    </row>
    <row r="52" spans="1:12" s="485" customFormat="1" ht="26.25" x14ac:dyDescent="0.2">
      <c r="A52" s="1423" t="s">
        <v>1775</v>
      </c>
      <c r="B52" s="483">
        <v>8160</v>
      </c>
      <c r="C52" s="477"/>
      <c r="D52" s="477"/>
      <c r="E52" s="477"/>
      <c r="F52" s="477"/>
      <c r="G52" s="477"/>
      <c r="H52" s="477"/>
      <c r="I52" s="477"/>
      <c r="J52" s="477"/>
      <c r="K52" s="1675">
        <f>D30</f>
        <v>0</v>
      </c>
      <c r="L52" s="524"/>
    </row>
    <row r="53" spans="1:12" s="485" customFormat="1" ht="26.25" x14ac:dyDescent="0.2">
      <c r="A53" s="1423" t="s">
        <v>1774</v>
      </c>
      <c r="B53" s="483">
        <v>8170</v>
      </c>
      <c r="C53" s="480"/>
      <c r="D53" s="480"/>
      <c r="E53" s="477"/>
      <c r="F53" s="477"/>
      <c r="G53" s="477"/>
      <c r="H53" s="480"/>
      <c r="I53" s="477"/>
      <c r="J53" s="477"/>
      <c r="K53" s="1675">
        <f>E31</f>
        <v>0</v>
      </c>
      <c r="L53" s="524"/>
    </row>
    <row r="54" spans="1:12" s="485" customFormat="1" ht="13.5" thickBot="1" x14ac:dyDescent="0.25">
      <c r="A54" s="1423" t="s">
        <v>692</v>
      </c>
      <c r="B54" s="483">
        <v>8410</v>
      </c>
      <c r="C54" s="530"/>
      <c r="D54" s="530"/>
      <c r="E54" s="477"/>
      <c r="F54" s="477"/>
      <c r="G54" s="477"/>
      <c r="H54" s="530"/>
      <c r="I54" s="477"/>
      <c r="J54" s="477"/>
      <c r="K54" s="475"/>
      <c r="L54" s="524"/>
    </row>
    <row r="55" spans="1:12" s="485" customFormat="1" ht="14.25" thickTop="1" thickBot="1" x14ac:dyDescent="0.25">
      <c r="A55" s="1424" t="s">
        <v>693</v>
      </c>
      <c r="B55" s="483">
        <v>8420</v>
      </c>
      <c r="C55" s="531"/>
      <c r="D55" s="531"/>
      <c r="E55" s="477"/>
      <c r="F55" s="477"/>
      <c r="G55" s="477"/>
      <c r="H55" s="530"/>
      <c r="I55" s="477"/>
      <c r="J55" s="477"/>
      <c r="K55" s="477"/>
      <c r="L55" s="524"/>
    </row>
    <row r="56" spans="1:12" s="485" customFormat="1" ht="14.25" thickTop="1" thickBot="1" x14ac:dyDescent="0.25">
      <c r="A56" s="1423" t="s">
        <v>581</v>
      </c>
      <c r="B56" s="483">
        <v>8430</v>
      </c>
      <c r="C56" s="531"/>
      <c r="D56" s="531"/>
      <c r="E56" s="477"/>
      <c r="F56" s="477"/>
      <c r="G56" s="477"/>
      <c r="H56" s="530"/>
      <c r="I56" s="477"/>
      <c r="J56" s="477"/>
      <c r="K56" s="477"/>
      <c r="L56" s="524"/>
    </row>
    <row r="57" spans="1:12" s="485" customFormat="1" ht="14.25" thickTop="1" thickBot="1" x14ac:dyDescent="0.25">
      <c r="A57" s="1424" t="s">
        <v>578</v>
      </c>
      <c r="B57" s="483">
        <v>8440</v>
      </c>
      <c r="C57" s="531"/>
      <c r="D57" s="531"/>
      <c r="E57" s="477"/>
      <c r="F57" s="477"/>
      <c r="G57" s="477"/>
      <c r="H57" s="530"/>
      <c r="I57" s="477"/>
      <c r="J57" s="477"/>
      <c r="K57" s="477"/>
      <c r="L57" s="524"/>
    </row>
    <row r="58" spans="1:12" s="485" customFormat="1" ht="14.25" thickTop="1" thickBot="1" x14ac:dyDescent="0.25">
      <c r="A58" s="1423" t="s">
        <v>579</v>
      </c>
      <c r="B58" s="483">
        <v>8510</v>
      </c>
      <c r="C58" s="531"/>
      <c r="D58" s="531"/>
      <c r="E58" s="477"/>
      <c r="F58" s="477"/>
      <c r="G58" s="477"/>
      <c r="H58" s="530"/>
      <c r="I58" s="477"/>
      <c r="J58" s="477"/>
      <c r="K58" s="477"/>
      <c r="L58" s="524"/>
    </row>
    <row r="59" spans="1:12" s="485" customFormat="1" ht="14.25" thickTop="1" thickBot="1" x14ac:dyDescent="0.25">
      <c r="A59" s="1425" t="s">
        <v>694</v>
      </c>
      <c r="B59" s="483">
        <v>8520</v>
      </c>
      <c r="C59" s="531"/>
      <c r="D59" s="531"/>
      <c r="E59" s="477"/>
      <c r="F59" s="477"/>
      <c r="G59" s="477"/>
      <c r="H59" s="530"/>
      <c r="I59" s="477"/>
      <c r="J59" s="477"/>
      <c r="K59" s="477"/>
      <c r="L59" s="524"/>
    </row>
    <row r="60" spans="1:12" s="485" customFormat="1" ht="14.25" thickTop="1" thickBot="1" x14ac:dyDescent="0.25">
      <c r="A60" s="1423" t="s">
        <v>580</v>
      </c>
      <c r="B60" s="483">
        <v>8530</v>
      </c>
      <c r="C60" s="531"/>
      <c r="D60" s="531"/>
      <c r="E60" s="477"/>
      <c r="F60" s="477"/>
      <c r="G60" s="477"/>
      <c r="H60" s="530"/>
      <c r="I60" s="477"/>
      <c r="J60" s="477"/>
      <c r="K60" s="477"/>
      <c r="L60" s="524"/>
    </row>
    <row r="61" spans="1:12" s="485" customFormat="1" ht="14.25" thickTop="1" thickBot="1" x14ac:dyDescent="0.25">
      <c r="A61" s="1424" t="s">
        <v>743</v>
      </c>
      <c r="B61" s="483">
        <v>8540</v>
      </c>
      <c r="C61" s="531"/>
      <c r="D61" s="531"/>
      <c r="E61" s="477"/>
      <c r="F61" s="477"/>
      <c r="G61" s="477"/>
      <c r="H61" s="530"/>
      <c r="I61" s="477"/>
      <c r="J61" s="477"/>
      <c r="K61" s="477"/>
      <c r="L61" s="524"/>
    </row>
    <row r="62" spans="1:12" s="485" customFormat="1" ht="13.5" customHeight="1" thickTop="1" thickBot="1" x14ac:dyDescent="0.25">
      <c r="A62" s="1423" t="s">
        <v>744</v>
      </c>
      <c r="B62" s="483">
        <v>8610</v>
      </c>
      <c r="C62" s="531"/>
      <c r="D62" s="531"/>
      <c r="E62" s="477"/>
      <c r="F62" s="477"/>
      <c r="G62" s="477"/>
      <c r="H62" s="477"/>
      <c r="I62" s="477"/>
      <c r="J62" s="477"/>
      <c r="K62" s="477"/>
      <c r="L62" s="524"/>
    </row>
    <row r="63" spans="1:12" s="485" customFormat="1" ht="14.25" thickTop="1" thickBot="1" x14ac:dyDescent="0.25">
      <c r="A63" s="1424" t="s">
        <v>695</v>
      </c>
      <c r="B63" s="483">
        <v>8620</v>
      </c>
      <c r="C63" s="531"/>
      <c r="D63" s="531"/>
      <c r="E63" s="477"/>
      <c r="F63" s="477"/>
      <c r="G63" s="477"/>
      <c r="H63" s="477"/>
      <c r="I63" s="477"/>
      <c r="J63" s="477"/>
      <c r="K63" s="477"/>
      <c r="L63" s="524"/>
    </row>
    <row r="64" spans="1:12" s="485" customFormat="1" ht="13.5" customHeight="1" thickTop="1" thickBot="1" x14ac:dyDescent="0.25">
      <c r="A64" s="1423" t="s">
        <v>745</v>
      </c>
      <c r="B64" s="483">
        <v>8630</v>
      </c>
      <c r="C64" s="531"/>
      <c r="D64" s="531"/>
      <c r="E64" s="477"/>
      <c r="F64" s="477"/>
      <c r="G64" s="477"/>
      <c r="H64" s="477"/>
      <c r="I64" s="477"/>
      <c r="J64" s="477"/>
      <c r="K64" s="477"/>
      <c r="L64" s="524"/>
    </row>
    <row r="65" spans="1:12" s="485" customFormat="1" ht="14.25" thickTop="1" thickBot="1" x14ac:dyDescent="0.25">
      <c r="A65" s="1424" t="s">
        <v>746</v>
      </c>
      <c r="B65" s="483">
        <v>8640</v>
      </c>
      <c r="C65" s="531"/>
      <c r="D65" s="531"/>
      <c r="E65" s="477"/>
      <c r="F65" s="477"/>
      <c r="G65" s="477"/>
      <c r="H65" s="477"/>
      <c r="I65" s="477"/>
      <c r="J65" s="477"/>
      <c r="K65" s="477"/>
      <c r="L65" s="524"/>
    </row>
    <row r="66" spans="1:12" s="485" customFormat="1" ht="14.25" thickTop="1" thickBot="1" x14ac:dyDescent="0.25">
      <c r="A66" s="1423" t="s">
        <v>747</v>
      </c>
      <c r="B66" s="483">
        <v>8710</v>
      </c>
      <c r="C66" s="531"/>
      <c r="D66" s="531"/>
      <c r="E66" s="477"/>
      <c r="F66" s="477"/>
      <c r="G66" s="477"/>
      <c r="H66" s="477"/>
      <c r="I66" s="477"/>
      <c r="J66" s="477"/>
      <c r="K66" s="477"/>
      <c r="L66" s="524"/>
    </row>
    <row r="67" spans="1:12" s="485" customFormat="1" ht="14.25" thickTop="1" thickBot="1" x14ac:dyDescent="0.25">
      <c r="A67" s="1424" t="s">
        <v>696</v>
      </c>
      <c r="B67" s="483">
        <v>8720</v>
      </c>
      <c r="C67" s="531"/>
      <c r="D67" s="531"/>
      <c r="E67" s="477"/>
      <c r="F67" s="477"/>
      <c r="G67" s="477"/>
      <c r="H67" s="477"/>
      <c r="I67" s="477"/>
      <c r="J67" s="477"/>
      <c r="K67" s="477"/>
      <c r="L67" s="524"/>
    </row>
    <row r="68" spans="1:12" s="485" customFormat="1" ht="14.25" thickTop="1" thickBot="1" x14ac:dyDescent="0.25">
      <c r="A68" s="1425" t="s">
        <v>748</v>
      </c>
      <c r="B68" s="483">
        <v>8730</v>
      </c>
      <c r="C68" s="531"/>
      <c r="D68" s="531"/>
      <c r="E68" s="477"/>
      <c r="F68" s="477"/>
      <c r="G68" s="477"/>
      <c r="H68" s="477"/>
      <c r="I68" s="477"/>
      <c r="J68" s="477"/>
      <c r="K68" s="477"/>
      <c r="L68" s="524"/>
    </row>
    <row r="69" spans="1:12" s="485" customFormat="1" ht="14.25" thickTop="1" thickBot="1" x14ac:dyDescent="0.25">
      <c r="A69" s="1424" t="s">
        <v>749</v>
      </c>
      <c r="B69" s="483">
        <v>8740</v>
      </c>
      <c r="C69" s="531"/>
      <c r="D69" s="531"/>
      <c r="E69" s="477"/>
      <c r="F69" s="477"/>
      <c r="G69" s="477"/>
      <c r="H69" s="477"/>
      <c r="I69" s="477"/>
      <c r="J69" s="477"/>
      <c r="K69" s="477"/>
      <c r="L69" s="524"/>
    </row>
    <row r="70" spans="1:12" s="485" customFormat="1" ht="14.25" thickTop="1" thickBot="1" x14ac:dyDescent="0.25">
      <c r="A70" s="1423" t="s">
        <v>750</v>
      </c>
      <c r="B70" s="483">
        <v>8810</v>
      </c>
      <c r="C70" s="531"/>
      <c r="D70" s="531"/>
      <c r="E70" s="477"/>
      <c r="F70" s="477"/>
      <c r="G70" s="477"/>
      <c r="H70" s="477"/>
      <c r="I70" s="477"/>
      <c r="J70" s="477"/>
      <c r="K70" s="477"/>
      <c r="L70" s="524"/>
    </row>
    <row r="71" spans="1:12" s="485" customFormat="1" ht="14.25" thickTop="1" thickBot="1" x14ac:dyDescent="0.25">
      <c r="A71" s="1423" t="s">
        <v>754</v>
      </c>
      <c r="B71" s="483">
        <v>8820</v>
      </c>
      <c r="C71" s="531"/>
      <c r="D71" s="531"/>
      <c r="E71" s="477"/>
      <c r="F71" s="477"/>
      <c r="G71" s="477"/>
      <c r="H71" s="477"/>
      <c r="I71" s="477"/>
      <c r="J71" s="477"/>
      <c r="K71" s="477"/>
      <c r="L71" s="524"/>
    </row>
    <row r="72" spans="1:12" s="485" customFormat="1" ht="14.25" thickTop="1" thickBot="1" x14ac:dyDescent="0.25">
      <c r="A72" s="1423" t="s">
        <v>751</v>
      </c>
      <c r="B72" s="483">
        <v>8830</v>
      </c>
      <c r="C72" s="531"/>
      <c r="D72" s="531"/>
      <c r="E72" s="477"/>
      <c r="F72" s="477"/>
      <c r="G72" s="477"/>
      <c r="H72" s="477"/>
      <c r="I72" s="477"/>
      <c r="J72" s="477"/>
      <c r="K72" s="477"/>
      <c r="L72" s="524"/>
    </row>
    <row r="73" spans="1:12" s="485" customFormat="1" ht="14.25" thickTop="1" thickBot="1" x14ac:dyDescent="0.25">
      <c r="A73" s="1423" t="s">
        <v>752</v>
      </c>
      <c r="B73" s="483">
        <v>8840</v>
      </c>
      <c r="C73" s="531"/>
      <c r="D73" s="531"/>
      <c r="E73" s="477"/>
      <c r="F73" s="477"/>
      <c r="G73" s="477"/>
      <c r="H73" s="477"/>
      <c r="I73" s="477"/>
      <c r="J73" s="477"/>
      <c r="K73" s="480"/>
      <c r="L73" s="524"/>
    </row>
    <row r="74" spans="1:12" s="485" customFormat="1" ht="14.25" thickTop="1" thickBot="1" x14ac:dyDescent="0.25">
      <c r="A74" s="1423" t="s">
        <v>375</v>
      </c>
      <c r="B74" s="483">
        <v>8910</v>
      </c>
      <c r="C74" s="531"/>
      <c r="D74" s="531"/>
      <c r="E74" s="480"/>
      <c r="F74" s="530"/>
      <c r="G74" s="530"/>
      <c r="H74" s="530"/>
      <c r="I74" s="480"/>
      <c r="J74" s="480"/>
      <c r="K74" s="530"/>
      <c r="L74" s="524"/>
    </row>
    <row r="75" spans="1:12" s="485" customFormat="1" ht="14.25" thickTop="1" thickBot="1" x14ac:dyDescent="0.25">
      <c r="A75" s="1426" t="s">
        <v>439</v>
      </c>
      <c r="B75" s="483">
        <v>8990</v>
      </c>
      <c r="C75" s="531"/>
      <c r="D75" s="531"/>
      <c r="E75" s="530">
        <f>1045462+457035000</f>
        <v>458080462</v>
      </c>
      <c r="F75" s="532"/>
      <c r="G75" s="532"/>
      <c r="H75" s="532">
        <v>9482913</v>
      </c>
      <c r="I75" s="530"/>
      <c r="J75" s="530"/>
      <c r="K75" s="532"/>
      <c r="L75" s="524"/>
    </row>
    <row r="76" spans="1:12" s="485" customFormat="1" ht="14.25" thickTop="1" thickBot="1" x14ac:dyDescent="0.25">
      <c r="A76" s="2153" t="s">
        <v>440</v>
      </c>
      <c r="B76" s="2154"/>
      <c r="C76" s="1635">
        <f t="shared" ref="C76:K76" si="7">SUM(C47:C75)</f>
        <v>0</v>
      </c>
      <c r="D76" s="1635">
        <f t="shared" si="7"/>
        <v>0</v>
      </c>
      <c r="E76" s="1635">
        <f t="shared" si="7"/>
        <v>458348651</v>
      </c>
      <c r="F76" s="1635">
        <f t="shared" si="7"/>
        <v>0</v>
      </c>
      <c r="G76" s="1635">
        <f t="shared" si="7"/>
        <v>0</v>
      </c>
      <c r="H76" s="1635">
        <f t="shared" si="7"/>
        <v>9689744</v>
      </c>
      <c r="I76" s="1635">
        <f t="shared" si="7"/>
        <v>0</v>
      </c>
      <c r="J76" s="1635">
        <f t="shared" si="7"/>
        <v>0</v>
      </c>
      <c r="K76" s="1635">
        <f t="shared" si="7"/>
        <v>0</v>
      </c>
      <c r="L76" s="524"/>
    </row>
    <row r="77" spans="1:12" ht="14.25" thickTop="1" thickBot="1" x14ac:dyDescent="0.25">
      <c r="A77" s="2155" t="s">
        <v>1177</v>
      </c>
      <c r="B77" s="2156"/>
      <c r="C77" s="1635">
        <f t="shared" ref="C77:K77" si="8">C44-C76</f>
        <v>507520</v>
      </c>
      <c r="D77" s="1635">
        <f t="shared" si="8"/>
        <v>0</v>
      </c>
      <c r="E77" s="1635">
        <f t="shared" si="8"/>
        <v>58366602</v>
      </c>
      <c r="F77" s="1635">
        <f t="shared" si="8"/>
        <v>0</v>
      </c>
      <c r="G77" s="1635">
        <f t="shared" si="8"/>
        <v>0</v>
      </c>
      <c r="H77" s="1635">
        <f t="shared" si="8"/>
        <v>357608291</v>
      </c>
      <c r="I77" s="1635">
        <f t="shared" si="8"/>
        <v>0</v>
      </c>
      <c r="J77" s="1635">
        <f t="shared" si="8"/>
        <v>0</v>
      </c>
      <c r="K77" s="1635">
        <f t="shared" si="8"/>
        <v>0</v>
      </c>
      <c r="L77" s="347"/>
    </row>
    <row r="78" spans="1:12" ht="21.75" customHeight="1" thickTop="1" thickBot="1" x14ac:dyDescent="0.25">
      <c r="A78" s="2159" t="s">
        <v>597</v>
      </c>
      <c r="B78" s="2160"/>
      <c r="C78" s="1634">
        <f t="shared" ref="C78:K78" si="9">C20+C77</f>
        <v>149846681</v>
      </c>
      <c r="D78" s="1634">
        <f t="shared" si="9"/>
        <v>0</v>
      </c>
      <c r="E78" s="1634">
        <f t="shared" si="9"/>
        <v>-11475309</v>
      </c>
      <c r="F78" s="1634">
        <f t="shared" si="9"/>
        <v>0</v>
      </c>
      <c r="G78" s="1634">
        <f t="shared" si="9"/>
        <v>0</v>
      </c>
      <c r="H78" s="1634">
        <f t="shared" si="9"/>
        <v>-178364476</v>
      </c>
      <c r="I78" s="1634">
        <f t="shared" si="9"/>
        <v>0</v>
      </c>
      <c r="J78" s="1634">
        <f t="shared" si="9"/>
        <v>-1845574</v>
      </c>
      <c r="K78" s="1634">
        <f t="shared" si="9"/>
        <v>0</v>
      </c>
      <c r="L78" s="533"/>
    </row>
    <row r="79" spans="1:12" ht="13.5" thickTop="1" x14ac:dyDescent="0.2">
      <c r="A79" s="1427" t="s">
        <v>1924</v>
      </c>
      <c r="B79" s="534"/>
      <c r="C79" s="478">
        <v>341596661</v>
      </c>
      <c r="D79" s="535"/>
      <c r="E79" s="535">
        <v>785517156</v>
      </c>
      <c r="F79" s="535"/>
      <c r="G79" s="535"/>
      <c r="H79" s="535">
        <v>895111057</v>
      </c>
      <c r="I79" s="535"/>
      <c r="J79" s="535">
        <v>-17832045</v>
      </c>
      <c r="K79" s="535"/>
      <c r="L79" s="347"/>
    </row>
    <row r="80" spans="1:12" x14ac:dyDescent="0.2">
      <c r="A80" s="2165" t="s">
        <v>1773</v>
      </c>
      <c r="B80" s="2166"/>
      <c r="C80" s="467"/>
      <c r="D80" s="467"/>
      <c r="E80" s="467"/>
      <c r="F80" s="467"/>
      <c r="G80" s="467"/>
      <c r="H80" s="467"/>
      <c r="I80" s="467"/>
      <c r="J80" s="467"/>
      <c r="K80" s="467"/>
      <c r="L80" s="347"/>
    </row>
    <row r="81" spans="1:12" ht="13.5" thickBot="1" x14ac:dyDescent="0.25">
      <c r="A81" s="2157" t="s">
        <v>1925</v>
      </c>
      <c r="B81" s="2158"/>
      <c r="C81" s="1620">
        <f>(SUM(C78:C80))</f>
        <v>491443342</v>
      </c>
      <c r="D81" s="1620">
        <f>SUM(D78:D80)</f>
        <v>0</v>
      </c>
      <c r="E81" s="1620">
        <f t="shared" ref="E81:K81" si="10">SUM(E78:E80)</f>
        <v>774041847</v>
      </c>
      <c r="F81" s="1620">
        <f t="shared" si="10"/>
        <v>0</v>
      </c>
      <c r="G81" s="1620">
        <f t="shared" si="10"/>
        <v>0</v>
      </c>
      <c r="H81" s="1620">
        <f t="shared" si="10"/>
        <v>716746581</v>
      </c>
      <c r="I81" s="1620">
        <f t="shared" si="10"/>
        <v>0</v>
      </c>
      <c r="J81" s="1620">
        <f t="shared" si="10"/>
        <v>-19677619</v>
      </c>
      <c r="K81" s="1620">
        <f t="shared" si="10"/>
        <v>0</v>
      </c>
      <c r="L81" s="347"/>
    </row>
    <row r="82" spans="1:12" ht="0.75" customHeight="1" thickTop="1" thickBot="1" x14ac:dyDescent="0.25">
      <c r="A82" s="536" t="s">
        <v>343</v>
      </c>
      <c r="B82" s="537"/>
      <c r="C82" s="538">
        <f>(C81-C79)</f>
        <v>149846681</v>
      </c>
      <c r="D82" s="538">
        <f t="shared" ref="D82:K82" si="11">(D81-D79)</f>
        <v>0</v>
      </c>
      <c r="E82" s="538">
        <f t="shared" si="11"/>
        <v>-11475309</v>
      </c>
      <c r="F82" s="538">
        <f t="shared" si="11"/>
        <v>0</v>
      </c>
      <c r="G82" s="538">
        <f t="shared" si="11"/>
        <v>0</v>
      </c>
      <c r="H82" s="538">
        <f t="shared" si="11"/>
        <v>-178364476</v>
      </c>
      <c r="I82" s="538">
        <f t="shared" si="11"/>
        <v>0</v>
      </c>
      <c r="J82" s="538">
        <f t="shared" si="11"/>
        <v>-1845574</v>
      </c>
      <c r="K82" s="538">
        <f t="shared" si="11"/>
        <v>0</v>
      </c>
    </row>
    <row r="83" spans="1:12" ht="14.25" hidden="1" thickTop="1" thickBot="1" x14ac:dyDescent="0.25">
      <c r="A83" s="539" t="s">
        <v>344</v>
      </c>
      <c r="B83" s="464"/>
      <c r="C83" s="540">
        <f>C82/C81</f>
        <v>0.30491140726452248</v>
      </c>
      <c r="D83" s="540" t="e">
        <f t="shared" ref="D83:K83" si="12">D82/D81</f>
        <v>#DIV/0!</v>
      </c>
      <c r="E83" s="540">
        <f t="shared" si="12"/>
        <v>-1.4825179083631637E-2</v>
      </c>
      <c r="F83" s="540" t="e">
        <f t="shared" si="12"/>
        <v>#DIV/0!</v>
      </c>
      <c r="G83" s="540" t="e">
        <f t="shared" si="12"/>
        <v>#DIV/0!</v>
      </c>
      <c r="H83" s="540">
        <f t="shared" si="12"/>
        <v>-0.24885291500260398</v>
      </c>
      <c r="I83" s="540" t="e">
        <f t="shared" si="12"/>
        <v>#DIV/0!</v>
      </c>
      <c r="J83" s="540">
        <f t="shared" si="12"/>
        <v>9.3790513984440896E-2</v>
      </c>
      <c r="K83" s="540" t="e">
        <f t="shared" si="12"/>
        <v>#DIV/0!</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L279"/>
  <sheetViews>
    <sheetView showGridLines="0" defaultGridColor="0" colorId="8" zoomScale="110" zoomScaleNormal="110" zoomScaleSheetLayoutView="75" workbookViewId="0">
      <pane ySplit="2" topLeftCell="A243" activePane="bottomLeft" state="frozen"/>
      <selection pane="bottomLeft" activeCell="C256" sqref="C256"/>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61" t="s">
        <v>1780</v>
      </c>
      <c r="B1" s="452"/>
      <c r="C1" s="453" t="s">
        <v>425</v>
      </c>
      <c r="D1" s="453" t="s">
        <v>426</v>
      </c>
      <c r="E1" s="453" t="s">
        <v>427</v>
      </c>
      <c r="F1" s="453" t="s">
        <v>428</v>
      </c>
      <c r="G1" s="453" t="s">
        <v>429</v>
      </c>
      <c r="H1" s="453" t="s">
        <v>430</v>
      </c>
      <c r="I1" s="453" t="s">
        <v>431</v>
      </c>
      <c r="J1" s="453" t="s">
        <v>432</v>
      </c>
      <c r="K1" s="453" t="s">
        <v>756</v>
      </c>
    </row>
    <row r="2" spans="1:12" ht="36" x14ac:dyDescent="0.2">
      <c r="A2" s="2162"/>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12" t="s">
        <v>113</v>
      </c>
      <c r="B3" s="1513"/>
      <c r="C3" s="1514"/>
      <c r="D3" s="1514"/>
      <c r="E3" s="1514"/>
      <c r="F3" s="1515"/>
      <c r="G3" s="1516"/>
      <c r="H3" s="1515"/>
      <c r="I3" s="1515"/>
      <c r="J3" s="1515"/>
      <c r="K3" s="1517"/>
    </row>
    <row r="4" spans="1:12" ht="15.75" customHeight="1" x14ac:dyDescent="0.2">
      <c r="A4" s="1523" t="s">
        <v>379</v>
      </c>
      <c r="B4" s="1524">
        <v>1100</v>
      </c>
      <c r="C4" s="543"/>
      <c r="D4" s="543"/>
      <c r="E4" s="543"/>
      <c r="F4" s="544"/>
      <c r="G4" s="545"/>
      <c r="H4" s="546"/>
      <c r="I4" s="546"/>
      <c r="J4" s="546"/>
      <c r="K4" s="546"/>
    </row>
    <row r="5" spans="1:12" ht="15" x14ac:dyDescent="0.2">
      <c r="A5" s="493" t="s">
        <v>1650</v>
      </c>
      <c r="B5" s="547"/>
      <c r="C5" s="481">
        <v>2820371805</v>
      </c>
      <c r="D5" s="481"/>
      <c r="E5" s="466">
        <v>77069852</v>
      </c>
      <c r="F5" s="548"/>
      <c r="G5" s="466"/>
      <c r="H5" s="466">
        <v>10132959</v>
      </c>
      <c r="I5" s="466"/>
      <c r="J5" s="467">
        <v>76451096</v>
      </c>
      <c r="K5" s="466"/>
    </row>
    <row r="6" spans="1:12" ht="15" x14ac:dyDescent="0.2">
      <c r="A6" s="463" t="s">
        <v>1651</v>
      </c>
      <c r="B6" s="470">
        <v>1130</v>
      </c>
      <c r="C6" s="466"/>
      <c r="D6" s="466"/>
      <c r="E6" s="475"/>
      <c r="F6" s="475"/>
      <c r="G6" s="468"/>
      <c r="H6" s="468"/>
      <c r="I6" s="468"/>
      <c r="J6" s="468"/>
      <c r="K6" s="468"/>
    </row>
    <row r="7" spans="1:12" x14ac:dyDescent="0.2">
      <c r="A7" s="463" t="s">
        <v>110</v>
      </c>
      <c r="B7" s="549">
        <v>1140</v>
      </c>
      <c r="C7" s="466"/>
      <c r="D7" s="466"/>
      <c r="E7" s="468"/>
      <c r="F7" s="467"/>
      <c r="G7" s="467"/>
      <c r="H7" s="467"/>
      <c r="I7" s="468"/>
      <c r="J7" s="468"/>
      <c r="K7" s="468"/>
    </row>
    <row r="8" spans="1:12" x14ac:dyDescent="0.2">
      <c r="A8" s="463" t="s">
        <v>413</v>
      </c>
      <c r="B8" s="470">
        <v>1150</v>
      </c>
      <c r="C8" s="475"/>
      <c r="D8" s="475"/>
      <c r="E8" s="477"/>
      <c r="F8" s="477"/>
      <c r="G8" s="481"/>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637" t="s">
        <v>29</v>
      </c>
      <c r="B12" s="1638"/>
      <c r="C12" s="1639">
        <f t="shared" ref="C12:K12" si="0">SUM(C5:C11)</f>
        <v>2820371805</v>
      </c>
      <c r="D12" s="1639">
        <f t="shared" si="0"/>
        <v>0</v>
      </c>
      <c r="E12" s="1639">
        <f t="shared" si="0"/>
        <v>77069852</v>
      </c>
      <c r="F12" s="1639">
        <f t="shared" si="0"/>
        <v>0</v>
      </c>
      <c r="G12" s="1639">
        <f t="shared" si="0"/>
        <v>0</v>
      </c>
      <c r="H12" s="1639">
        <f t="shared" si="0"/>
        <v>10132959</v>
      </c>
      <c r="I12" s="1639">
        <f t="shared" si="0"/>
        <v>0</v>
      </c>
      <c r="J12" s="1639">
        <f t="shared" si="0"/>
        <v>76451096</v>
      </c>
      <c r="K12" s="1620">
        <f t="shared" si="0"/>
        <v>0</v>
      </c>
    </row>
    <row r="13" spans="1:12" ht="15.75" customHeight="1" thickTop="1" x14ac:dyDescent="0.2">
      <c r="A13" s="1525" t="s">
        <v>451</v>
      </c>
      <c r="B13" s="1526">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1652</v>
      </c>
      <c r="B16" s="549">
        <v>1230</v>
      </c>
      <c r="C16" s="551">
        <v>152319014</v>
      </c>
      <c r="D16" s="466"/>
      <c r="E16" s="466">
        <v>34913472</v>
      </c>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640" t="s">
        <v>537</v>
      </c>
      <c r="B18" s="1641"/>
      <c r="C18" s="1642">
        <f>SUM(C14:C17)</f>
        <v>152319014</v>
      </c>
      <c r="D18" s="1642">
        <f t="shared" ref="D18:K18" si="1">SUM(D14:D17)</f>
        <v>0</v>
      </c>
      <c r="E18" s="1642">
        <f t="shared" si="1"/>
        <v>34913472</v>
      </c>
      <c r="F18" s="1642">
        <f t="shared" si="1"/>
        <v>0</v>
      </c>
      <c r="G18" s="1642">
        <f t="shared" si="1"/>
        <v>0</v>
      </c>
      <c r="H18" s="1642">
        <f t="shared" si="1"/>
        <v>0</v>
      </c>
      <c r="I18" s="1642">
        <f t="shared" si="1"/>
        <v>0</v>
      </c>
      <c r="J18" s="1642">
        <f t="shared" si="1"/>
        <v>0</v>
      </c>
      <c r="K18" s="1643">
        <f t="shared" si="1"/>
        <v>0</v>
      </c>
    </row>
    <row r="19" spans="1:11" ht="15.75" customHeight="1" thickTop="1" x14ac:dyDescent="0.2">
      <c r="A19" s="1525" t="s">
        <v>452</v>
      </c>
      <c r="B19" s="1526">
        <v>1300</v>
      </c>
      <c r="C19" s="554"/>
      <c r="D19" s="554"/>
      <c r="E19" s="554"/>
      <c r="F19" s="554"/>
      <c r="G19" s="553"/>
      <c r="H19" s="554"/>
      <c r="I19" s="554"/>
      <c r="J19" s="554"/>
      <c r="K19" s="555"/>
    </row>
    <row r="20" spans="1:11" x14ac:dyDescent="0.2">
      <c r="A20" s="463" t="s">
        <v>1073</v>
      </c>
      <c r="B20" s="470">
        <v>1311</v>
      </c>
      <c r="C20" s="466">
        <v>95603</v>
      </c>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28" t="s">
        <v>594</v>
      </c>
      <c r="B39" s="556">
        <v>1354</v>
      </c>
      <c r="C39" s="489"/>
      <c r="D39" s="468"/>
      <c r="E39" s="468"/>
      <c r="F39" s="468"/>
      <c r="G39" s="468"/>
      <c r="H39" s="468"/>
      <c r="I39" s="468"/>
      <c r="J39" s="468"/>
      <c r="K39" s="468"/>
    </row>
    <row r="40" spans="1:11" ht="12.75" customHeight="1" thickBot="1" x14ac:dyDescent="0.25">
      <c r="A40" s="1640" t="s">
        <v>538</v>
      </c>
      <c r="B40" s="1641"/>
      <c r="C40" s="1620">
        <f>SUM(C20:C39)</f>
        <v>95603</v>
      </c>
      <c r="D40" s="468"/>
      <c r="E40" s="468"/>
      <c r="F40" s="468"/>
      <c r="G40" s="468"/>
      <c r="H40" s="468"/>
      <c r="I40" s="468"/>
      <c r="J40" s="468"/>
      <c r="K40" s="468"/>
    </row>
    <row r="41" spans="1:11" ht="15.75" customHeight="1" thickTop="1" x14ac:dyDescent="0.2">
      <c r="A41" s="1525" t="s">
        <v>274</v>
      </c>
      <c r="B41" s="1526">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29" t="s">
        <v>60</v>
      </c>
      <c r="B51" s="557">
        <v>1431</v>
      </c>
      <c r="C51" s="468"/>
      <c r="D51" s="468"/>
      <c r="E51" s="468"/>
      <c r="F51" s="466"/>
      <c r="G51" s="468"/>
      <c r="H51" s="468"/>
      <c r="I51" s="468"/>
      <c r="J51" s="468"/>
      <c r="K51" s="468"/>
    </row>
    <row r="52" spans="1:11" ht="12.75" customHeight="1" x14ac:dyDescent="0.2">
      <c r="A52" s="1429" t="s">
        <v>1106</v>
      </c>
      <c r="B52" s="557">
        <v>1432</v>
      </c>
      <c r="C52" s="468"/>
      <c r="D52" s="468"/>
      <c r="E52" s="468"/>
      <c r="F52" s="466"/>
      <c r="G52" s="468"/>
      <c r="H52" s="468"/>
      <c r="I52" s="468"/>
      <c r="J52" s="468"/>
      <c r="K52" s="468"/>
    </row>
    <row r="53" spans="1:11" ht="12.75" customHeight="1" x14ac:dyDescent="0.2">
      <c r="A53" s="1429" t="s">
        <v>61</v>
      </c>
      <c r="B53" s="557">
        <v>1433</v>
      </c>
      <c r="C53" s="468"/>
      <c r="D53" s="468"/>
      <c r="E53" s="468"/>
      <c r="F53" s="466"/>
      <c r="G53" s="468"/>
      <c r="H53" s="468"/>
      <c r="I53" s="468"/>
      <c r="J53" s="468"/>
      <c r="K53" s="468"/>
    </row>
    <row r="54" spans="1:11" ht="12.75" customHeight="1" x14ac:dyDescent="0.2">
      <c r="A54" s="1429" t="s">
        <v>62</v>
      </c>
      <c r="B54" s="557">
        <v>1434</v>
      </c>
      <c r="C54" s="468"/>
      <c r="D54" s="468"/>
      <c r="E54" s="468"/>
      <c r="F54" s="467"/>
      <c r="G54" s="468"/>
      <c r="H54" s="468"/>
      <c r="I54" s="468"/>
      <c r="J54" s="468"/>
      <c r="K54" s="468"/>
    </row>
    <row r="55" spans="1:11" ht="12.75" customHeight="1" x14ac:dyDescent="0.2">
      <c r="A55" s="1429" t="s">
        <v>63</v>
      </c>
      <c r="B55" s="557">
        <v>1441</v>
      </c>
      <c r="C55" s="468"/>
      <c r="D55" s="468"/>
      <c r="E55" s="468"/>
      <c r="F55" s="466"/>
      <c r="G55" s="468"/>
      <c r="H55" s="468"/>
      <c r="I55" s="468"/>
      <c r="J55" s="468"/>
      <c r="K55" s="468"/>
    </row>
    <row r="56" spans="1:11" ht="12.75" customHeight="1" x14ac:dyDescent="0.2">
      <c r="A56" s="1429" t="s">
        <v>1107</v>
      </c>
      <c r="B56" s="557">
        <v>1442</v>
      </c>
      <c r="C56" s="468"/>
      <c r="D56" s="468"/>
      <c r="E56" s="468"/>
      <c r="F56" s="466"/>
      <c r="G56" s="468"/>
      <c r="H56" s="468"/>
      <c r="I56" s="468"/>
      <c r="J56" s="468"/>
      <c r="K56" s="468"/>
    </row>
    <row r="57" spans="1:11" ht="12.75" customHeight="1" x14ac:dyDescent="0.2">
      <c r="A57" s="1429" t="s">
        <v>489</v>
      </c>
      <c r="B57" s="557">
        <v>1443</v>
      </c>
      <c r="C57" s="468"/>
      <c r="D57" s="468"/>
      <c r="E57" s="468"/>
      <c r="F57" s="466"/>
      <c r="G57" s="468"/>
      <c r="H57" s="468"/>
      <c r="I57" s="468"/>
      <c r="J57" s="468"/>
      <c r="K57" s="468"/>
    </row>
    <row r="58" spans="1:11" ht="12.75" customHeight="1" x14ac:dyDescent="0.2">
      <c r="A58" s="1429" t="s">
        <v>65</v>
      </c>
      <c r="B58" s="557">
        <v>1444</v>
      </c>
      <c r="C58" s="468"/>
      <c r="D58" s="468"/>
      <c r="E58" s="468"/>
      <c r="F58" s="466"/>
      <c r="G58" s="468"/>
      <c r="H58" s="468"/>
      <c r="I58" s="468"/>
      <c r="J58" s="468"/>
      <c r="K58" s="468"/>
    </row>
    <row r="59" spans="1:11" ht="12.75" customHeight="1" x14ac:dyDescent="0.2">
      <c r="A59" s="1429" t="s">
        <v>878</v>
      </c>
      <c r="B59" s="557">
        <v>1451</v>
      </c>
      <c r="C59" s="468"/>
      <c r="D59" s="468"/>
      <c r="E59" s="468"/>
      <c r="F59" s="466"/>
      <c r="G59" s="468"/>
      <c r="H59" s="468"/>
      <c r="I59" s="468"/>
      <c r="J59" s="468"/>
      <c r="K59" s="468"/>
    </row>
    <row r="60" spans="1:11" ht="12.75" customHeight="1" x14ac:dyDescent="0.2">
      <c r="A60" s="1429"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30" t="s">
        <v>880</v>
      </c>
      <c r="B62" s="558">
        <v>1454</v>
      </c>
      <c r="C62" s="468"/>
      <c r="D62" s="468"/>
      <c r="E62" s="468"/>
      <c r="F62" s="467"/>
      <c r="G62" s="468"/>
      <c r="H62" s="468"/>
      <c r="I62" s="468"/>
      <c r="J62" s="468"/>
      <c r="K62" s="468"/>
    </row>
    <row r="63" spans="1:11" ht="12.75" customHeight="1" thickBot="1" x14ac:dyDescent="0.25">
      <c r="A63" s="1640" t="s">
        <v>485</v>
      </c>
      <c r="B63" s="1641"/>
      <c r="C63" s="468"/>
      <c r="D63" s="468"/>
      <c r="E63" s="468"/>
      <c r="F63" s="1620">
        <f>SUM(F42:F62)</f>
        <v>0</v>
      </c>
      <c r="G63" s="468"/>
      <c r="H63" s="468"/>
      <c r="I63" s="468"/>
      <c r="J63" s="468"/>
      <c r="K63" s="468"/>
    </row>
    <row r="64" spans="1:11" ht="15.75" customHeight="1" thickTop="1" x14ac:dyDescent="0.2">
      <c r="A64" s="1525" t="s">
        <v>454</v>
      </c>
      <c r="B64" s="1526">
        <v>1500</v>
      </c>
      <c r="C64" s="468"/>
      <c r="D64" s="468"/>
      <c r="E64" s="468"/>
      <c r="F64" s="468"/>
      <c r="G64" s="468"/>
      <c r="H64" s="468"/>
      <c r="I64" s="468"/>
      <c r="J64" s="468"/>
      <c r="K64" s="468"/>
    </row>
    <row r="65" spans="1:11" ht="12.75" customHeight="1" x14ac:dyDescent="0.2">
      <c r="A65" s="463" t="s">
        <v>547</v>
      </c>
      <c r="B65" s="470">
        <v>1510</v>
      </c>
      <c r="C65" s="466">
        <v>5939851</v>
      </c>
      <c r="D65" s="466"/>
      <c r="E65" s="466">
        <v>1642779</v>
      </c>
      <c r="F65" s="467"/>
      <c r="G65" s="466"/>
      <c r="H65" s="466">
        <v>2052809</v>
      </c>
      <c r="I65" s="466"/>
      <c r="J65" s="467">
        <v>14782</v>
      </c>
      <c r="K65" s="466"/>
    </row>
    <row r="66" spans="1:11" ht="12.75" customHeight="1" x14ac:dyDescent="0.2">
      <c r="A66" s="463" t="s">
        <v>679</v>
      </c>
      <c r="B66" s="470">
        <v>1520</v>
      </c>
      <c r="C66" s="466">
        <v>843476</v>
      </c>
      <c r="D66" s="466"/>
      <c r="E66" s="466">
        <v>21918319</v>
      </c>
      <c r="F66" s="466"/>
      <c r="G66" s="466"/>
      <c r="H66" s="466">
        <v>14838178</v>
      </c>
      <c r="I66" s="466"/>
      <c r="J66" s="467"/>
      <c r="K66" s="466"/>
    </row>
    <row r="67" spans="1:11" ht="12.75" customHeight="1" thickBot="1" x14ac:dyDescent="0.25">
      <c r="A67" s="1640" t="s">
        <v>486</v>
      </c>
      <c r="B67" s="1641"/>
      <c r="C67" s="1620">
        <f>SUM(C65:C66)</f>
        <v>6783327</v>
      </c>
      <c r="D67" s="1620">
        <f t="shared" ref="D67:K67" si="2">SUM(D65:D66)</f>
        <v>0</v>
      </c>
      <c r="E67" s="1620">
        <f t="shared" si="2"/>
        <v>23561098</v>
      </c>
      <c r="F67" s="1620">
        <f t="shared" si="2"/>
        <v>0</v>
      </c>
      <c r="G67" s="1620">
        <f t="shared" si="2"/>
        <v>0</v>
      </c>
      <c r="H67" s="1620">
        <f t="shared" si="2"/>
        <v>16890987</v>
      </c>
      <c r="I67" s="1620">
        <f t="shared" si="2"/>
        <v>0</v>
      </c>
      <c r="J67" s="1620">
        <f t="shared" si="2"/>
        <v>14782</v>
      </c>
      <c r="K67" s="1620">
        <f t="shared" si="2"/>
        <v>0</v>
      </c>
    </row>
    <row r="68" spans="1:11" ht="15.75" customHeight="1" thickTop="1" x14ac:dyDescent="0.2">
      <c r="A68" s="1525" t="s">
        <v>455</v>
      </c>
      <c r="B68" s="1527">
        <v>1600</v>
      </c>
      <c r="C68" s="553"/>
      <c r="D68" s="468"/>
      <c r="E68" s="468"/>
      <c r="F68" s="468"/>
      <c r="G68" s="468"/>
      <c r="H68" s="468"/>
      <c r="I68" s="468"/>
      <c r="J68" s="468"/>
      <c r="K68" s="468"/>
    </row>
    <row r="69" spans="1:11" ht="12.75" customHeight="1" x14ac:dyDescent="0.2">
      <c r="A69" s="463" t="s">
        <v>666</v>
      </c>
      <c r="B69" s="470">
        <v>1611</v>
      </c>
      <c r="C69" s="466">
        <v>2321954</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640" t="s">
        <v>548</v>
      </c>
      <c r="B75" s="1641"/>
      <c r="C75" s="1620">
        <f>SUM(C69:C74)</f>
        <v>2321954</v>
      </c>
      <c r="D75" s="468"/>
      <c r="E75" s="468"/>
      <c r="F75" s="468"/>
      <c r="G75" s="468"/>
      <c r="H75" s="468"/>
      <c r="I75" s="468"/>
      <c r="J75" s="468"/>
      <c r="K75" s="468"/>
    </row>
    <row r="76" spans="1:11" ht="15.75" customHeight="1" thickTop="1" x14ac:dyDescent="0.2">
      <c r="A76" s="1525" t="s">
        <v>881</v>
      </c>
      <c r="B76" s="1527">
        <v>1700</v>
      </c>
      <c r="C76" s="553"/>
      <c r="D76" s="468"/>
      <c r="E76" s="468"/>
      <c r="F76" s="468"/>
      <c r="G76" s="468"/>
      <c r="H76" s="468"/>
      <c r="I76" s="468"/>
      <c r="J76" s="468"/>
      <c r="K76" s="468"/>
    </row>
    <row r="77" spans="1:11" ht="12.75" customHeight="1" x14ac:dyDescent="0.2">
      <c r="A77" s="463" t="s">
        <v>549</v>
      </c>
      <c r="B77" s="470">
        <v>1711</v>
      </c>
      <c r="C77" s="516"/>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640" t="s">
        <v>241</v>
      </c>
      <c r="B82" s="1641"/>
      <c r="C82" s="1639">
        <f>SUM(C77:C81)</f>
        <v>0</v>
      </c>
      <c r="D82" s="1620">
        <f>SUM(D77:D81)</f>
        <v>0</v>
      </c>
      <c r="E82" s="468"/>
      <c r="F82" s="468"/>
      <c r="G82" s="468"/>
      <c r="H82" s="468"/>
      <c r="I82" s="468"/>
      <c r="J82" s="468"/>
      <c r="K82" s="468"/>
    </row>
    <row r="83" spans="1:11" ht="15.75" customHeight="1" thickTop="1" x14ac:dyDescent="0.2">
      <c r="A83" s="1525" t="s">
        <v>242</v>
      </c>
      <c r="B83" s="1527">
        <v>1800</v>
      </c>
      <c r="C83" s="553"/>
      <c r="D83" s="468"/>
      <c r="E83" s="468"/>
      <c r="F83" s="468"/>
      <c r="G83" s="468"/>
      <c r="H83" s="468"/>
      <c r="I83" s="468"/>
      <c r="J83" s="468"/>
      <c r="K83" s="468"/>
    </row>
    <row r="84" spans="1:11" ht="12.75" customHeight="1" x14ac:dyDescent="0.2">
      <c r="A84" s="463" t="s">
        <v>552</v>
      </c>
      <c r="B84" s="470">
        <v>1811</v>
      </c>
      <c r="C84" s="466"/>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640" t="s">
        <v>243</v>
      </c>
      <c r="B93" s="1641"/>
      <c r="C93" s="1620">
        <f>SUM(C84:C92)</f>
        <v>0</v>
      </c>
      <c r="D93" s="468"/>
      <c r="E93" s="468"/>
      <c r="F93" s="468"/>
      <c r="G93" s="468"/>
      <c r="H93" s="468"/>
      <c r="I93" s="468"/>
      <c r="J93" s="468"/>
      <c r="K93" s="468"/>
    </row>
    <row r="94" spans="1:11" ht="15.75" customHeight="1" thickTop="1" x14ac:dyDescent="0.2">
      <c r="A94" s="1525" t="s">
        <v>1137</v>
      </c>
      <c r="B94" s="1527">
        <v>1900</v>
      </c>
      <c r="C94" s="553"/>
      <c r="D94" s="521"/>
      <c r="E94" s="468"/>
      <c r="F94" s="468"/>
      <c r="G94" s="468"/>
      <c r="H94" s="468"/>
      <c r="I94" s="468"/>
      <c r="J94" s="468"/>
      <c r="K94" s="468"/>
    </row>
    <row r="95" spans="1:11" ht="12.75" customHeight="1" x14ac:dyDescent="0.2">
      <c r="A95" s="463" t="s">
        <v>1064</v>
      </c>
      <c r="B95" s="470">
        <v>1910</v>
      </c>
      <c r="C95" s="466">
        <v>6584350</v>
      </c>
      <c r="D95" s="551"/>
      <c r="E95" s="521"/>
      <c r="F95" s="521"/>
      <c r="G95" s="521"/>
      <c r="H95" s="521"/>
      <c r="I95" s="521"/>
      <c r="J95" s="521"/>
      <c r="K95" s="521"/>
    </row>
    <row r="96" spans="1:11" ht="12.75" customHeight="1" x14ac:dyDescent="0.2">
      <c r="A96" s="463" t="s">
        <v>391</v>
      </c>
      <c r="B96" s="470">
        <v>1920</v>
      </c>
      <c r="C96" s="551">
        <v>52974</v>
      </c>
      <c r="D96" s="551"/>
      <c r="E96" s="479"/>
      <c r="F96" s="478"/>
      <c r="G96" s="478"/>
      <c r="H96" s="478">
        <v>79098</v>
      </c>
      <c r="I96" s="478"/>
      <c r="J96" s="478"/>
      <c r="K96" s="478"/>
    </row>
    <row r="97" spans="1:12" ht="12.75" customHeight="1" x14ac:dyDescent="0.2">
      <c r="A97" s="1428"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v>93766775</v>
      </c>
      <c r="D100" s="489"/>
      <c r="E100" s="489"/>
      <c r="F100" s="489"/>
      <c r="G100" s="489"/>
      <c r="H100" s="489"/>
      <c r="I100" s="467"/>
      <c r="J100" s="489"/>
      <c r="K100" s="467"/>
    </row>
    <row r="101" spans="1:12" ht="12.75" customHeight="1" x14ac:dyDescent="0.2">
      <c r="A101" s="463" t="s">
        <v>246</v>
      </c>
      <c r="B101" s="470">
        <v>1970</v>
      </c>
      <c r="C101" s="489">
        <v>734063</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1425</v>
      </c>
      <c r="B106" s="470">
        <v>1993</v>
      </c>
      <c r="C106" s="466">
        <v>43281545</v>
      </c>
      <c r="D106" s="489">
        <v>8030483</v>
      </c>
      <c r="E106" s="467"/>
      <c r="F106" s="467"/>
      <c r="G106" s="467"/>
      <c r="H106" s="467"/>
      <c r="I106" s="521"/>
      <c r="J106" s="467"/>
      <c r="K106" s="467"/>
    </row>
    <row r="107" spans="1:12" ht="12.75" customHeight="1" x14ac:dyDescent="0.2">
      <c r="A107" s="463" t="s">
        <v>78</v>
      </c>
      <c r="B107" s="470">
        <v>1999</v>
      </c>
      <c r="C107" s="551">
        <v>122856155</v>
      </c>
      <c r="D107" s="466"/>
      <c r="E107" s="466">
        <v>116625072</v>
      </c>
      <c r="F107" s="466"/>
      <c r="G107" s="466"/>
      <c r="H107" s="466">
        <v>35780337</v>
      </c>
      <c r="I107" s="466"/>
      <c r="J107" s="467"/>
      <c r="K107" s="466"/>
    </row>
    <row r="108" spans="1:12" ht="12.75" customHeight="1" thickBot="1" x14ac:dyDescent="0.25">
      <c r="A108" s="1640" t="s">
        <v>487</v>
      </c>
      <c r="B108" s="1644"/>
      <c r="C108" s="1639">
        <f>SUM(C95:C107)</f>
        <v>267275862</v>
      </c>
      <c r="D108" s="1639">
        <f t="shared" ref="D108:K108" si="3">SUM(D95:D107)</f>
        <v>8030483</v>
      </c>
      <c r="E108" s="1639">
        <f t="shared" si="3"/>
        <v>116625072</v>
      </c>
      <c r="F108" s="1639">
        <f t="shared" si="3"/>
        <v>0</v>
      </c>
      <c r="G108" s="1639">
        <f t="shared" si="3"/>
        <v>0</v>
      </c>
      <c r="H108" s="1639">
        <f t="shared" si="3"/>
        <v>35859435</v>
      </c>
      <c r="I108" s="1639">
        <f t="shared" si="3"/>
        <v>0</v>
      </c>
      <c r="J108" s="1639">
        <f t="shared" si="3"/>
        <v>0</v>
      </c>
      <c r="K108" s="1620">
        <f t="shared" si="3"/>
        <v>0</v>
      </c>
    </row>
    <row r="109" spans="1:12" ht="14.25" thickTop="1" thickBot="1" x14ac:dyDescent="0.25">
      <c r="A109" s="1645" t="s">
        <v>248</v>
      </c>
      <c r="B109" s="1646" t="s">
        <v>570</v>
      </c>
      <c r="C109" s="1647">
        <f t="shared" ref="C109:K109" si="4">SUM(C12,C18,C40,C63,C67,C75,C82,C93,C108,)</f>
        <v>3249167565</v>
      </c>
      <c r="D109" s="1647">
        <f t="shared" si="4"/>
        <v>8030483</v>
      </c>
      <c r="E109" s="1647">
        <f t="shared" si="4"/>
        <v>252169494</v>
      </c>
      <c r="F109" s="1647">
        <f t="shared" si="4"/>
        <v>0</v>
      </c>
      <c r="G109" s="1647">
        <f t="shared" si="4"/>
        <v>0</v>
      </c>
      <c r="H109" s="1647">
        <f t="shared" si="4"/>
        <v>62883381</v>
      </c>
      <c r="I109" s="1647">
        <f t="shared" si="4"/>
        <v>0</v>
      </c>
      <c r="J109" s="1647">
        <f t="shared" si="4"/>
        <v>76465878</v>
      </c>
      <c r="K109" s="1634">
        <f t="shared" si="4"/>
        <v>0</v>
      </c>
    </row>
    <row r="110" spans="1:12" ht="30" customHeight="1" thickTop="1" x14ac:dyDescent="0.2">
      <c r="A110" s="1518" t="s">
        <v>346</v>
      </c>
      <c r="B110" s="1519"/>
      <c r="C110" s="1504"/>
      <c r="D110" s="1504"/>
      <c r="E110" s="1504"/>
      <c r="F110" s="1504"/>
      <c r="G110" s="1504"/>
      <c r="H110" s="1504"/>
      <c r="I110" s="1504"/>
      <c r="J110" s="1504"/>
      <c r="K110" s="1505"/>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648" t="s">
        <v>806</v>
      </c>
      <c r="B114" s="1649" t="s">
        <v>569</v>
      </c>
      <c r="C114" s="1650">
        <f>SUM(C111:C113)</f>
        <v>0</v>
      </c>
      <c r="D114" s="1650">
        <f>SUM(D111:D113)</f>
        <v>0</v>
      </c>
      <c r="E114" s="561" t="s">
        <v>1169</v>
      </c>
      <c r="F114" s="1650">
        <f>SUM(F111:F113)</f>
        <v>0</v>
      </c>
      <c r="G114" s="1650">
        <f>SUM(G111:G113)</f>
        <v>0</v>
      </c>
      <c r="H114" s="561"/>
      <c r="I114" s="468"/>
      <c r="J114" s="468"/>
      <c r="K114" s="468"/>
    </row>
    <row r="115" spans="1:11" ht="16.7" customHeight="1" thickTop="1" x14ac:dyDescent="0.2">
      <c r="A115" s="1520" t="s">
        <v>803</v>
      </c>
      <c r="B115" s="1521"/>
      <c r="C115" s="1503"/>
      <c r="D115" s="1504"/>
      <c r="E115" s="1504"/>
      <c r="F115" s="1504"/>
      <c r="G115" s="1504"/>
      <c r="H115" s="1504"/>
      <c r="I115" s="1504"/>
      <c r="J115" s="1504"/>
      <c r="K115" s="1505"/>
    </row>
    <row r="116" spans="1:11" ht="18" customHeight="1" x14ac:dyDescent="0.2">
      <c r="A116" s="1528" t="s">
        <v>1486</v>
      </c>
      <c r="B116" s="1529"/>
      <c r="C116" s="522"/>
      <c r="D116" s="521"/>
      <c r="E116" s="561"/>
      <c r="F116" s="521"/>
      <c r="G116" s="521"/>
      <c r="H116" s="561"/>
      <c r="I116" s="468"/>
      <c r="J116" s="521"/>
      <c r="K116" s="521"/>
    </row>
    <row r="117" spans="1:11" ht="12.75" customHeight="1" x14ac:dyDescent="0.2">
      <c r="A117" s="463" t="s">
        <v>1656</v>
      </c>
      <c r="B117" s="562">
        <v>3001</v>
      </c>
      <c r="C117" s="516">
        <v>951231939</v>
      </c>
      <c r="D117" s="481">
        <v>371894094</v>
      </c>
      <c r="E117" s="466">
        <v>282656538</v>
      </c>
      <c r="F117" s="481"/>
      <c r="G117" s="481"/>
      <c r="H117" s="466"/>
      <c r="I117" s="468"/>
      <c r="J117" s="467"/>
      <c r="K117" s="466"/>
    </row>
    <row r="118" spans="1:11" ht="12.75" customHeight="1" x14ac:dyDescent="0.2">
      <c r="A118" s="463" t="s">
        <v>1777</v>
      </c>
      <c r="B118" s="562">
        <v>3002</v>
      </c>
      <c r="C118" s="551"/>
      <c r="D118" s="466"/>
      <c r="E118" s="466"/>
      <c r="F118" s="466"/>
      <c r="G118" s="466"/>
      <c r="H118" s="466"/>
      <c r="I118" s="468"/>
      <c r="J118" s="467"/>
      <c r="K118" s="466"/>
    </row>
    <row r="119" spans="1:11" ht="12.75" customHeight="1" x14ac:dyDescent="0.2">
      <c r="A119" s="463" t="s">
        <v>1778</v>
      </c>
      <c r="B119" s="562">
        <v>3005</v>
      </c>
      <c r="C119" s="551"/>
      <c r="D119" s="466"/>
      <c r="E119" s="466"/>
      <c r="F119" s="466"/>
      <c r="G119" s="466"/>
      <c r="H119" s="466"/>
      <c r="I119" s="468"/>
      <c r="J119" s="467"/>
      <c r="K119" s="466"/>
    </row>
    <row r="120" spans="1:11" ht="12.75" customHeight="1" x14ac:dyDescent="0.2">
      <c r="A120" s="1862" t="s">
        <v>1911</v>
      </c>
      <c r="B120" s="562">
        <v>3030</v>
      </c>
      <c r="C120" s="551"/>
      <c r="D120" s="466"/>
      <c r="E120" s="466"/>
      <c r="F120" s="466"/>
      <c r="G120" s="466"/>
      <c r="H120" s="466"/>
      <c r="I120" s="468"/>
      <c r="J120" s="467"/>
      <c r="K120" s="466"/>
    </row>
    <row r="121" spans="1:11" x14ac:dyDescent="0.2">
      <c r="A121" s="1429" t="s">
        <v>1779</v>
      </c>
      <c r="B121" s="564">
        <v>3099</v>
      </c>
      <c r="C121" s="551"/>
      <c r="D121" s="466"/>
      <c r="E121" s="466"/>
      <c r="F121" s="466"/>
      <c r="G121" s="466"/>
      <c r="H121" s="466"/>
      <c r="I121" s="468"/>
      <c r="J121" s="467"/>
      <c r="K121" s="466"/>
    </row>
    <row r="122" spans="1:11" ht="12.6" customHeight="1" thickBot="1" x14ac:dyDescent="0.25">
      <c r="A122" s="1640" t="s">
        <v>488</v>
      </c>
      <c r="B122" s="1651"/>
      <c r="C122" s="1639">
        <f t="shared" ref="C122:H122" si="5">SUM(C117:C121)</f>
        <v>951231939</v>
      </c>
      <c r="D122" s="1639">
        <f t="shared" si="5"/>
        <v>371894094</v>
      </c>
      <c r="E122" s="1639">
        <f t="shared" si="5"/>
        <v>282656538</v>
      </c>
      <c r="F122" s="1639">
        <f t="shared" si="5"/>
        <v>0</v>
      </c>
      <c r="G122" s="1639">
        <f t="shared" si="5"/>
        <v>0</v>
      </c>
      <c r="H122" s="1639">
        <f t="shared" si="5"/>
        <v>0</v>
      </c>
      <c r="I122" s="468"/>
      <c r="J122" s="1639">
        <f>SUM(J117:J121)</f>
        <v>0</v>
      </c>
      <c r="K122" s="1620">
        <f>SUM(K117:K121)</f>
        <v>0</v>
      </c>
    </row>
    <row r="123" spans="1:11" ht="15.75" customHeight="1" thickTop="1" x14ac:dyDescent="0.2">
      <c r="A123" s="1525" t="s">
        <v>1485</v>
      </c>
      <c r="B123" s="1530"/>
      <c r="C123" s="565"/>
      <c r="D123" s="509"/>
      <c r="E123" s="468"/>
      <c r="F123" s="566"/>
      <c r="G123" s="468"/>
      <c r="H123" s="468"/>
      <c r="I123" s="468"/>
      <c r="J123" s="468"/>
      <c r="K123" s="468"/>
    </row>
    <row r="124" spans="1:11" ht="15" customHeight="1" x14ac:dyDescent="0.2">
      <c r="A124" s="1531" t="s">
        <v>667</v>
      </c>
      <c r="B124" s="1532"/>
      <c r="C124" s="521"/>
      <c r="D124" s="509"/>
      <c r="E124" s="468"/>
      <c r="F124" s="521"/>
      <c r="G124" s="468"/>
      <c r="H124" s="468"/>
      <c r="I124" s="468"/>
      <c r="J124" s="468"/>
      <c r="K124" s="468"/>
    </row>
    <row r="125" spans="1:11" ht="12.75" customHeight="1" x14ac:dyDescent="0.2">
      <c r="A125" s="463" t="s">
        <v>866</v>
      </c>
      <c r="B125" s="567">
        <v>3100</v>
      </c>
      <c r="C125" s="481">
        <v>14406364</v>
      </c>
      <c r="D125" s="561"/>
      <c r="E125" s="468"/>
      <c r="F125" s="548"/>
      <c r="G125" s="468"/>
      <c r="H125" s="468"/>
      <c r="I125" s="468"/>
      <c r="J125" s="468"/>
      <c r="K125" s="468"/>
    </row>
    <row r="126" spans="1:11" ht="12.75" customHeight="1" x14ac:dyDescent="0.2">
      <c r="A126" s="463" t="s">
        <v>1441</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16989072</v>
      </c>
      <c r="D128" s="561"/>
      <c r="E128" s="468"/>
      <c r="F128" s="466"/>
      <c r="G128" s="468"/>
      <c r="H128" s="468"/>
      <c r="I128" s="468"/>
      <c r="J128" s="468"/>
      <c r="K128" s="468"/>
    </row>
    <row r="129" spans="1:11" ht="12.75" customHeight="1" x14ac:dyDescent="0.2">
      <c r="A129" s="463" t="s">
        <v>1442</v>
      </c>
      <c r="B129" s="562">
        <v>3130</v>
      </c>
      <c r="C129" s="466">
        <v>372524</v>
      </c>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640" t="s">
        <v>1032</v>
      </c>
      <c r="B132" s="1652"/>
      <c r="C132" s="1639">
        <f>SUM(C125:C131)</f>
        <v>31767960</v>
      </c>
      <c r="D132" s="1639">
        <f>SUM(D125:D131)</f>
        <v>0</v>
      </c>
      <c r="E132" s="469" t="s">
        <v>1169</v>
      </c>
      <c r="F132" s="1639">
        <f>SUM(F125:F131)</f>
        <v>0</v>
      </c>
      <c r="G132" s="468" t="s">
        <v>1169</v>
      </c>
      <c r="H132" s="468" t="s">
        <v>1169</v>
      </c>
      <c r="I132" s="468" t="s">
        <v>1169</v>
      </c>
      <c r="J132" s="468" t="s">
        <v>1169</v>
      </c>
      <c r="K132" s="468" t="s">
        <v>1169</v>
      </c>
    </row>
    <row r="133" spans="1:11" ht="15.75" customHeight="1" thickTop="1" x14ac:dyDescent="0.2">
      <c r="A133" s="1533" t="s">
        <v>250</v>
      </c>
      <c r="B133" s="1534"/>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3535741</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111715</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640" t="s">
        <v>603</v>
      </c>
      <c r="B141" s="1652"/>
      <c r="C141" s="1639">
        <f>SUM(C134:C140)</f>
        <v>3647456</v>
      </c>
      <c r="D141" s="1639">
        <f>SUM(D134:D140)</f>
        <v>0</v>
      </c>
      <c r="E141" s="561" t="s">
        <v>1169</v>
      </c>
      <c r="F141" s="477"/>
      <c r="G141" s="1639">
        <f>SUM(G134:G140)</f>
        <v>0</v>
      </c>
      <c r="H141" s="468" t="s">
        <v>1169</v>
      </c>
      <c r="I141" s="468" t="s">
        <v>1169</v>
      </c>
      <c r="J141" s="468" t="s">
        <v>1169</v>
      </c>
      <c r="K141" s="468" t="s">
        <v>1169</v>
      </c>
    </row>
    <row r="142" spans="1:11" ht="15.75" customHeight="1" thickTop="1" x14ac:dyDescent="0.2">
      <c r="A142" s="1533" t="s">
        <v>670</v>
      </c>
      <c r="B142" s="1534"/>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640" t="s">
        <v>396</v>
      </c>
      <c r="B145" s="1652"/>
      <c r="C145" s="1620">
        <f>SUM(C143:C144)</f>
        <v>0</v>
      </c>
      <c r="D145" s="468"/>
      <c r="E145" s="509"/>
      <c r="F145" s="468"/>
      <c r="G145" s="1653">
        <f>SUM(G143:G144)</f>
        <v>0</v>
      </c>
      <c r="H145" s="468"/>
      <c r="I145" s="468"/>
      <c r="J145" s="468"/>
      <c r="K145" s="468"/>
    </row>
    <row r="146" spans="1:11" s="202" customFormat="1" ht="12.75" customHeight="1" thickTop="1" x14ac:dyDescent="0.2">
      <c r="A146" s="1431" t="s">
        <v>1056</v>
      </c>
      <c r="B146" s="568">
        <v>3360</v>
      </c>
      <c r="C146" s="569">
        <v>3240202</v>
      </c>
      <c r="D146" s="570"/>
      <c r="E146" s="509"/>
      <c r="F146" s="468"/>
      <c r="G146" s="571"/>
      <c r="H146" s="468"/>
      <c r="I146" s="468"/>
      <c r="J146" s="468"/>
      <c r="K146" s="468"/>
    </row>
    <row r="147" spans="1:11" ht="12.75" customHeight="1" thickBot="1" x14ac:dyDescent="0.25">
      <c r="A147" s="1432" t="s">
        <v>922</v>
      </c>
      <c r="B147" s="572">
        <v>3365</v>
      </c>
      <c r="C147" s="573"/>
      <c r="D147" s="532"/>
      <c r="E147" s="561"/>
      <c r="F147" s="468"/>
      <c r="G147" s="532"/>
      <c r="H147" s="468"/>
      <c r="I147" s="468"/>
      <c r="J147" s="468"/>
      <c r="K147" s="468"/>
    </row>
    <row r="148" spans="1:11" ht="12.75" customHeight="1" thickTop="1" thickBot="1" x14ac:dyDescent="0.25">
      <c r="A148" s="1433" t="s">
        <v>138</v>
      </c>
      <c r="B148" s="574">
        <v>3370</v>
      </c>
      <c r="C148" s="573">
        <v>2704910</v>
      </c>
      <c r="D148" s="573"/>
      <c r="E148" s="509"/>
      <c r="F148" s="468"/>
      <c r="G148" s="468"/>
      <c r="H148" s="468"/>
      <c r="I148" s="468"/>
      <c r="J148" s="468"/>
      <c r="K148" s="468"/>
    </row>
    <row r="149" spans="1:11" ht="12.75" customHeight="1" thickTop="1" thickBot="1" x14ac:dyDescent="0.25">
      <c r="A149" s="1433" t="s">
        <v>767</v>
      </c>
      <c r="B149" s="574">
        <v>3410</v>
      </c>
      <c r="C149" s="575"/>
      <c r="D149" s="576"/>
      <c r="E149" s="577"/>
      <c r="F149" s="530"/>
      <c r="G149" s="530"/>
      <c r="H149" s="530"/>
      <c r="I149" s="530"/>
      <c r="J149" s="530"/>
      <c r="K149" s="530"/>
    </row>
    <row r="150" spans="1:11" ht="12.75" customHeight="1" thickTop="1" thickBot="1" x14ac:dyDescent="0.25">
      <c r="A150" s="1433" t="s">
        <v>68</v>
      </c>
      <c r="B150" s="574">
        <v>3499</v>
      </c>
      <c r="C150" s="575"/>
      <c r="D150" s="576"/>
      <c r="E150" s="532"/>
      <c r="F150" s="532"/>
      <c r="G150" s="532"/>
      <c r="H150" s="532"/>
      <c r="I150" s="532"/>
      <c r="J150" s="532"/>
      <c r="K150" s="532"/>
    </row>
    <row r="151" spans="1:11" ht="15.75" customHeight="1" thickTop="1" x14ac:dyDescent="0.2">
      <c r="A151" s="1533" t="s">
        <v>453</v>
      </c>
      <c r="B151" s="1535"/>
      <c r="C151" s="553"/>
      <c r="D151" s="468"/>
      <c r="E151" s="561"/>
      <c r="F151" s="468"/>
      <c r="G151" s="468"/>
      <c r="H151" s="468"/>
      <c r="I151" s="468"/>
      <c r="J151" s="468"/>
      <c r="K151" s="468"/>
    </row>
    <row r="152" spans="1:11" ht="12.75" customHeight="1" x14ac:dyDescent="0.2">
      <c r="A152" s="463" t="s">
        <v>1443</v>
      </c>
      <c r="B152" s="562">
        <v>3500</v>
      </c>
      <c r="C152" s="551">
        <v>401680</v>
      </c>
      <c r="D152" s="466"/>
      <c r="E152" s="561"/>
      <c r="F152" s="466"/>
      <c r="G152" s="467"/>
      <c r="H152" s="468"/>
      <c r="I152" s="468"/>
      <c r="J152" s="468"/>
      <c r="K152" s="468"/>
    </row>
    <row r="153" spans="1:11" ht="12.75" customHeight="1" x14ac:dyDescent="0.2">
      <c r="A153" s="463" t="s">
        <v>1057</v>
      </c>
      <c r="B153" s="562">
        <v>3510</v>
      </c>
      <c r="C153" s="551">
        <v>77654828</v>
      </c>
      <c r="D153" s="466"/>
      <c r="E153" s="561"/>
      <c r="F153" s="466"/>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640" t="s">
        <v>94</v>
      </c>
      <c r="B155" s="1652"/>
      <c r="C155" s="1639">
        <f>SUM(C152:C154)</f>
        <v>78056508</v>
      </c>
      <c r="D155" s="1639">
        <f>SUM(D152:D154)</f>
        <v>0</v>
      </c>
      <c r="E155" s="561"/>
      <c r="F155" s="1639">
        <f>SUM(F152:F154)</f>
        <v>0</v>
      </c>
      <c r="G155" s="1639">
        <f>SUM(G152:G154)</f>
        <v>0</v>
      </c>
      <c r="H155" s="468"/>
      <c r="I155" s="468"/>
      <c r="J155" s="468"/>
      <c r="K155" s="468"/>
    </row>
    <row r="156" spans="1:11" ht="12.75" customHeight="1" thickTop="1" thickBot="1" x14ac:dyDescent="0.25">
      <c r="A156" s="1433" t="s">
        <v>380</v>
      </c>
      <c r="B156" s="574">
        <v>3610</v>
      </c>
      <c r="C156" s="576"/>
      <c r="D156" s="468"/>
      <c r="E156" s="509"/>
      <c r="F156" s="468"/>
      <c r="G156" s="468"/>
      <c r="H156" s="468"/>
      <c r="I156" s="468"/>
      <c r="J156" s="468"/>
      <c r="K156" s="468"/>
    </row>
    <row r="157" spans="1:11" ht="12.75" customHeight="1" thickTop="1" thickBot="1" x14ac:dyDescent="0.25">
      <c r="A157" s="1433" t="s">
        <v>50</v>
      </c>
      <c r="B157" s="574">
        <v>3660</v>
      </c>
      <c r="C157" s="573"/>
      <c r="D157" s="578"/>
      <c r="E157" s="561"/>
      <c r="F157" s="578"/>
      <c r="G157" s="578"/>
      <c r="H157" s="468"/>
      <c r="I157" s="468"/>
      <c r="J157" s="468"/>
      <c r="K157" s="468"/>
    </row>
    <row r="158" spans="1:11" ht="12.75" customHeight="1" thickTop="1" thickBot="1" x14ac:dyDescent="0.25">
      <c r="A158" s="1433" t="s">
        <v>1000</v>
      </c>
      <c r="B158" s="574">
        <v>3695</v>
      </c>
      <c r="C158" s="576">
        <v>2698960</v>
      </c>
      <c r="D158" s="468"/>
      <c r="E158" s="561"/>
      <c r="F158" s="576"/>
      <c r="G158" s="576"/>
      <c r="H158" s="468"/>
      <c r="I158" s="468"/>
      <c r="J158" s="468"/>
      <c r="K158" s="468"/>
    </row>
    <row r="159" spans="1:11" ht="12.75" customHeight="1" thickTop="1" thickBot="1" x14ac:dyDescent="0.25">
      <c r="A159" s="1433" t="s">
        <v>1051</v>
      </c>
      <c r="B159" s="574">
        <v>3705</v>
      </c>
      <c r="C159" s="576">
        <v>193010905</v>
      </c>
      <c r="D159" s="578"/>
      <c r="E159" s="561"/>
      <c r="F159" s="576"/>
      <c r="G159" s="576"/>
      <c r="H159" s="468"/>
      <c r="I159" s="468"/>
      <c r="J159" s="468"/>
      <c r="K159" s="468"/>
    </row>
    <row r="160" spans="1:11" ht="12.75" customHeight="1" thickTop="1" thickBot="1" x14ac:dyDescent="0.25">
      <c r="A160" s="1433" t="s">
        <v>39</v>
      </c>
      <c r="B160" s="574">
        <v>3766</v>
      </c>
      <c r="C160" s="576"/>
      <c r="D160" s="578"/>
      <c r="E160" s="561"/>
      <c r="F160" s="576"/>
      <c r="G160" s="531"/>
      <c r="H160" s="468"/>
      <c r="I160" s="468"/>
      <c r="J160" s="468"/>
      <c r="K160" s="468"/>
    </row>
    <row r="161" spans="1:11" ht="12.75" customHeight="1" thickTop="1" thickBot="1" x14ac:dyDescent="0.25">
      <c r="A161" s="1433" t="s">
        <v>985</v>
      </c>
      <c r="B161" s="574">
        <v>3767</v>
      </c>
      <c r="C161" s="576"/>
      <c r="D161" s="531"/>
      <c r="E161" s="561"/>
      <c r="F161" s="531"/>
      <c r="G161" s="531"/>
      <c r="H161" s="468"/>
      <c r="I161" s="468"/>
      <c r="J161" s="468"/>
      <c r="K161" s="468"/>
    </row>
    <row r="162" spans="1:11" ht="12.75" customHeight="1" thickTop="1" thickBot="1" x14ac:dyDescent="0.25">
      <c r="A162" s="1433" t="s">
        <v>986</v>
      </c>
      <c r="B162" s="574">
        <v>3775</v>
      </c>
      <c r="C162" s="576"/>
      <c r="D162" s="573"/>
      <c r="E162" s="530"/>
      <c r="F162" s="573"/>
      <c r="G162" s="532"/>
      <c r="H162" s="530"/>
      <c r="I162" s="468"/>
      <c r="J162" s="468"/>
      <c r="K162" s="530"/>
    </row>
    <row r="163" spans="1:11" ht="12.75" customHeight="1" thickTop="1" thickBot="1" x14ac:dyDescent="0.25">
      <c r="A163" s="1433" t="s">
        <v>1444</v>
      </c>
      <c r="B163" s="574">
        <v>3780</v>
      </c>
      <c r="C163" s="531"/>
      <c r="D163" s="530"/>
      <c r="E163" s="531"/>
      <c r="F163" s="531"/>
      <c r="G163" s="531"/>
      <c r="H163" s="531"/>
      <c r="I163" s="468"/>
      <c r="J163" s="468"/>
      <c r="K163" s="531"/>
    </row>
    <row r="164" spans="1:11" ht="12.75" customHeight="1" thickTop="1" thickBot="1" x14ac:dyDescent="0.25">
      <c r="A164" s="1433" t="s">
        <v>858</v>
      </c>
      <c r="B164" s="574">
        <v>3815</v>
      </c>
      <c r="C164" s="576"/>
      <c r="D164" s="468"/>
      <c r="E164" s="561"/>
      <c r="F164" s="576"/>
      <c r="G164" s="468"/>
      <c r="H164" s="468"/>
      <c r="I164" s="468"/>
      <c r="J164" s="468"/>
      <c r="K164" s="468"/>
    </row>
    <row r="165" spans="1:11" ht="12.75" customHeight="1" thickTop="1" thickBot="1" x14ac:dyDescent="0.25">
      <c r="A165" s="1433" t="s">
        <v>397</v>
      </c>
      <c r="B165" s="574">
        <v>3825</v>
      </c>
      <c r="C165" s="576"/>
      <c r="D165" s="468"/>
      <c r="E165" s="561"/>
      <c r="F165" s="576"/>
      <c r="G165" s="468"/>
      <c r="H165" s="468"/>
      <c r="I165" s="468"/>
      <c r="J165" s="468"/>
      <c r="K165" s="468"/>
    </row>
    <row r="166" spans="1:11" ht="12.75" customHeight="1" thickTop="1" thickBot="1" x14ac:dyDescent="0.25">
      <c r="A166" s="1433" t="s">
        <v>348</v>
      </c>
      <c r="B166" s="574">
        <v>3920</v>
      </c>
      <c r="C166" s="566"/>
      <c r="D166" s="578"/>
      <c r="E166" s="468"/>
      <c r="F166" s="566"/>
      <c r="G166" s="468"/>
      <c r="H166" s="530"/>
      <c r="I166" s="468"/>
      <c r="J166" s="468"/>
      <c r="K166" s="468"/>
    </row>
    <row r="167" spans="1:11" ht="12.75" customHeight="1" thickTop="1" thickBot="1" x14ac:dyDescent="0.25">
      <c r="A167" s="1433" t="s">
        <v>349</v>
      </c>
      <c r="B167" s="574">
        <v>3925</v>
      </c>
      <c r="C167" s="521"/>
      <c r="D167" s="576"/>
      <c r="E167" s="521"/>
      <c r="F167" s="521"/>
      <c r="G167" s="468"/>
      <c r="H167" s="531"/>
      <c r="I167" s="468"/>
      <c r="J167" s="468"/>
      <c r="K167" s="530"/>
    </row>
    <row r="168" spans="1:11" ht="14.25" thickTop="1" thickBot="1" x14ac:dyDescent="0.25">
      <c r="A168" s="1433" t="s">
        <v>70</v>
      </c>
      <c r="B168" s="574">
        <v>3999</v>
      </c>
      <c r="C168" s="579">
        <v>9647585</v>
      </c>
      <c r="D168" s="580"/>
      <c r="E168" s="580"/>
      <c r="F168" s="580"/>
      <c r="G168" s="581"/>
      <c r="H168" s="582">
        <v>13515104</v>
      </c>
      <c r="I168" s="581"/>
      <c r="J168" s="581"/>
      <c r="K168" s="582"/>
    </row>
    <row r="169" spans="1:11" ht="12.75" customHeight="1" thickTop="1" thickBot="1" x14ac:dyDescent="0.25">
      <c r="A169" s="2181" t="s">
        <v>398</v>
      </c>
      <c r="B169" s="2182"/>
      <c r="C169" s="1654">
        <f t="shared" ref="C169:K169" si="6">SUM(C132,C141,C145,C146:C150,C155,C156:C167,C168)</f>
        <v>324774486</v>
      </c>
      <c r="D169" s="1654">
        <f t="shared" si="6"/>
        <v>0</v>
      </c>
      <c r="E169" s="1654">
        <f t="shared" si="6"/>
        <v>0</v>
      </c>
      <c r="F169" s="1654">
        <f t="shared" si="6"/>
        <v>0</v>
      </c>
      <c r="G169" s="1654">
        <f t="shared" si="6"/>
        <v>0</v>
      </c>
      <c r="H169" s="1654">
        <f t="shared" si="6"/>
        <v>13515104</v>
      </c>
      <c r="I169" s="1654">
        <f t="shared" si="6"/>
        <v>0</v>
      </c>
      <c r="J169" s="1654">
        <f t="shared" si="6"/>
        <v>0</v>
      </c>
      <c r="K169" s="1635">
        <f t="shared" si="6"/>
        <v>0</v>
      </c>
    </row>
    <row r="170" spans="1:11" ht="12.75" customHeight="1" thickTop="1" thickBot="1" x14ac:dyDescent="0.25">
      <c r="A170" s="1640" t="s">
        <v>399</v>
      </c>
      <c r="B170" s="1646" t="s">
        <v>575</v>
      </c>
      <c r="C170" s="1647">
        <f t="shared" ref="C170:K170" si="7">SUM(C122,C169)</f>
        <v>1276006425</v>
      </c>
      <c r="D170" s="1647">
        <f t="shared" si="7"/>
        <v>371894094</v>
      </c>
      <c r="E170" s="1647">
        <f t="shared" si="7"/>
        <v>282656538</v>
      </c>
      <c r="F170" s="1647">
        <f t="shared" si="7"/>
        <v>0</v>
      </c>
      <c r="G170" s="1647">
        <f t="shared" si="7"/>
        <v>0</v>
      </c>
      <c r="H170" s="1647">
        <f t="shared" si="7"/>
        <v>13515104</v>
      </c>
      <c r="I170" s="1647">
        <f t="shared" si="7"/>
        <v>0</v>
      </c>
      <c r="J170" s="1647">
        <f t="shared" si="7"/>
        <v>0</v>
      </c>
      <c r="K170" s="1634">
        <f t="shared" si="7"/>
        <v>0</v>
      </c>
    </row>
    <row r="171" spans="1:11" ht="16.7" customHeight="1" thickTop="1" x14ac:dyDescent="0.2">
      <c r="A171" s="1522" t="s">
        <v>804</v>
      </c>
      <c r="B171" s="1500"/>
      <c r="C171" s="1503"/>
      <c r="D171" s="1504"/>
      <c r="E171" s="1504"/>
      <c r="F171" s="1504"/>
      <c r="G171" s="1504"/>
      <c r="H171" s="1504"/>
      <c r="I171" s="1504"/>
      <c r="J171" s="1504"/>
      <c r="K171" s="1505"/>
    </row>
    <row r="172" spans="1:11" ht="15.75" customHeight="1" x14ac:dyDescent="0.2">
      <c r="A172" s="2183" t="s">
        <v>1487</v>
      </c>
      <c r="B172" s="2184"/>
      <c r="C172" s="520"/>
      <c r="D172" s="520"/>
      <c r="E172" s="509"/>
      <c r="F172" s="468"/>
      <c r="G172" s="468"/>
      <c r="H172" s="468"/>
      <c r="I172" s="468"/>
      <c r="J172" s="468"/>
      <c r="K172" s="468"/>
    </row>
    <row r="173" spans="1:11" ht="12.6" customHeight="1" x14ac:dyDescent="0.2">
      <c r="A173" s="493" t="s">
        <v>1044</v>
      </c>
      <c r="B173" s="491">
        <v>4001</v>
      </c>
      <c r="C173" s="516">
        <v>102661</v>
      </c>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87" t="s">
        <v>1654</v>
      </c>
      <c r="B175" s="2188"/>
      <c r="C175" s="1639">
        <f>SUM(C173:C174)</f>
        <v>102661</v>
      </c>
      <c r="D175" s="1639">
        <f t="shared" ref="D175:K175" si="8">SUM(D173:D174)</f>
        <v>0</v>
      </c>
      <c r="E175" s="1639">
        <f t="shared" si="8"/>
        <v>0</v>
      </c>
      <c r="F175" s="1639">
        <f t="shared" si="8"/>
        <v>0</v>
      </c>
      <c r="G175" s="1639">
        <f t="shared" si="8"/>
        <v>0</v>
      </c>
      <c r="H175" s="1639">
        <f t="shared" si="8"/>
        <v>0</v>
      </c>
      <c r="I175" s="1639">
        <f t="shared" si="8"/>
        <v>0</v>
      </c>
      <c r="J175" s="1639">
        <f t="shared" si="8"/>
        <v>0</v>
      </c>
      <c r="K175" s="1620">
        <f t="shared" si="8"/>
        <v>0</v>
      </c>
    </row>
    <row r="176" spans="1:11" s="457" customFormat="1" ht="15.75" customHeight="1" thickTop="1" x14ac:dyDescent="0.2">
      <c r="A176" s="2191" t="s">
        <v>1653</v>
      </c>
      <c r="B176" s="2192"/>
      <c r="C176" s="598"/>
      <c r="D176" s="599"/>
      <c r="E176" s="600"/>
      <c r="F176" s="601"/>
      <c r="G176" s="601"/>
      <c r="H176" s="601"/>
      <c r="I176" s="601"/>
      <c r="J176" s="601"/>
      <c r="K176" s="601"/>
    </row>
    <row r="177" spans="1:11" ht="12.75" customHeight="1" x14ac:dyDescent="0.2">
      <c r="A177" s="463" t="s">
        <v>1045</v>
      </c>
      <c r="B177" s="470">
        <v>4045</v>
      </c>
      <c r="C177" s="551">
        <v>35509457</v>
      </c>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v>10981608</v>
      </c>
      <c r="D180" s="466"/>
      <c r="E180" s="468"/>
      <c r="F180" s="466"/>
      <c r="G180" s="466"/>
      <c r="H180" s="466"/>
      <c r="I180" s="468"/>
      <c r="J180" s="468"/>
      <c r="K180" s="466"/>
    </row>
    <row r="181" spans="1:11" ht="13.5" thickBot="1" x14ac:dyDescent="0.25">
      <c r="A181" s="2189" t="s">
        <v>785</v>
      </c>
      <c r="B181" s="2190"/>
      <c r="C181" s="1639">
        <f>SUM(C177:C180)</f>
        <v>46491065</v>
      </c>
      <c r="D181" s="1639">
        <f>SUM(D177:D180)</f>
        <v>0</v>
      </c>
      <c r="E181" s="468"/>
      <c r="F181" s="1639">
        <f>SUM(F177:F180)</f>
        <v>0</v>
      </c>
      <c r="G181" s="1639">
        <f>SUM(G177:G180)</f>
        <v>0</v>
      </c>
      <c r="H181" s="1639">
        <f>SUM(H177:H180)</f>
        <v>0</v>
      </c>
      <c r="I181" s="468"/>
      <c r="J181" s="468"/>
      <c r="K181" s="1620">
        <f>SUM(K177:K180)</f>
        <v>0</v>
      </c>
    </row>
    <row r="182" spans="1:11" ht="22.5" customHeight="1" thickTop="1" x14ac:dyDescent="0.2">
      <c r="A182" s="2185" t="s">
        <v>1781</v>
      </c>
      <c r="B182" s="2186"/>
      <c r="C182" s="584"/>
      <c r="D182" s="566"/>
      <c r="E182" s="509"/>
      <c r="F182" s="566"/>
      <c r="G182" s="566"/>
      <c r="H182" s="468"/>
      <c r="I182" s="468"/>
      <c r="J182" s="468"/>
      <c r="K182" s="468"/>
    </row>
    <row r="183" spans="1:11" ht="15.75" customHeight="1" x14ac:dyDescent="0.2">
      <c r="A183" s="1536" t="s">
        <v>1591</v>
      </c>
      <c r="B183" s="1537"/>
      <c r="C183" s="522"/>
      <c r="D183" s="521"/>
      <c r="E183" s="509"/>
      <c r="F183" s="521"/>
      <c r="G183" s="521"/>
      <c r="H183" s="468"/>
      <c r="I183" s="468"/>
      <c r="J183" s="468"/>
      <c r="K183" s="468"/>
    </row>
    <row r="184" spans="1:11" ht="12.75" customHeight="1" x14ac:dyDescent="0.2">
      <c r="A184" s="463" t="s">
        <v>1592</v>
      </c>
      <c r="B184" s="470">
        <v>4100</v>
      </c>
      <c r="C184" s="516"/>
      <c r="D184" s="481"/>
      <c r="E184" s="561"/>
      <c r="F184" s="481"/>
      <c r="G184" s="481"/>
      <c r="H184" s="468"/>
      <c r="I184" s="468"/>
      <c r="J184" s="468"/>
      <c r="K184" s="468"/>
    </row>
    <row r="185" spans="1:11" ht="12.75" customHeight="1" x14ac:dyDescent="0.2">
      <c r="A185" s="463" t="s">
        <v>1593</v>
      </c>
      <c r="B185" s="470">
        <v>4105</v>
      </c>
      <c r="C185" s="551"/>
      <c r="D185" s="466"/>
      <c r="E185" s="561"/>
      <c r="F185" s="466"/>
      <c r="G185" s="466"/>
      <c r="H185" s="468"/>
      <c r="I185" s="468"/>
      <c r="J185" s="468"/>
      <c r="K185" s="468"/>
    </row>
    <row r="186" spans="1:11" ht="12.75" customHeight="1" x14ac:dyDescent="0.2">
      <c r="A186" s="463" t="s">
        <v>1595</v>
      </c>
      <c r="B186" s="470">
        <v>4107</v>
      </c>
      <c r="C186" s="551"/>
      <c r="D186" s="466"/>
      <c r="E186" s="561"/>
      <c r="F186" s="466"/>
      <c r="G186" s="466"/>
      <c r="H186" s="468"/>
      <c r="I186" s="468"/>
      <c r="J186" s="468"/>
      <c r="K186" s="468"/>
    </row>
    <row r="187" spans="1:11" ht="12.75" customHeight="1" x14ac:dyDescent="0.2">
      <c r="A187" s="463" t="s">
        <v>1594</v>
      </c>
      <c r="B187" s="470">
        <v>4199</v>
      </c>
      <c r="C187" s="551"/>
      <c r="D187" s="466"/>
      <c r="E187" s="561"/>
      <c r="F187" s="466"/>
      <c r="G187" s="466"/>
      <c r="H187" s="468"/>
      <c r="I187" s="468"/>
      <c r="J187" s="468"/>
      <c r="K187" s="468"/>
    </row>
    <row r="188" spans="1:11" ht="12.75" customHeight="1" thickBot="1" x14ac:dyDescent="0.25">
      <c r="A188" s="1640" t="s">
        <v>1596</v>
      </c>
      <c r="B188" s="1641"/>
      <c r="C188" s="1639">
        <f>SUM(C184:C187)</f>
        <v>0</v>
      </c>
      <c r="D188" s="1639">
        <f>SUM(D184:D187)</f>
        <v>0</v>
      </c>
      <c r="E188" s="561"/>
      <c r="F188" s="1639">
        <f>SUM(F184:F187)</f>
        <v>0</v>
      </c>
      <c r="G188" s="1639">
        <f>SUM(G184:G187)</f>
        <v>0</v>
      </c>
      <c r="H188" s="468"/>
      <c r="I188" s="468"/>
      <c r="J188" s="468"/>
      <c r="K188" s="468"/>
    </row>
    <row r="189" spans="1:11" ht="15.75" customHeight="1" thickTop="1" x14ac:dyDescent="0.2">
      <c r="A189" s="1533" t="s">
        <v>455</v>
      </c>
      <c r="B189" s="1538"/>
      <c r="C189" s="553"/>
      <c r="D189" s="566"/>
      <c r="E189" s="561"/>
      <c r="F189" s="553"/>
      <c r="G189" s="553"/>
      <c r="H189" s="468"/>
      <c r="I189" s="468"/>
      <c r="J189" s="468"/>
      <c r="K189" s="468"/>
    </row>
    <row r="190" spans="1:11" x14ac:dyDescent="0.2">
      <c r="A190" s="463" t="s">
        <v>1445</v>
      </c>
      <c r="B190" s="470">
        <v>4200</v>
      </c>
      <c r="C190" s="467"/>
      <c r="D190" s="468"/>
      <c r="E190" s="561"/>
      <c r="F190" s="553"/>
      <c r="G190" s="585"/>
      <c r="H190" s="468"/>
      <c r="I190" s="468"/>
      <c r="J190" s="468"/>
      <c r="K190" s="468"/>
    </row>
    <row r="191" spans="1:11" ht="12.75" customHeight="1" x14ac:dyDescent="0.2">
      <c r="A191" s="463" t="s">
        <v>1058</v>
      </c>
      <c r="B191" s="470">
        <v>4210</v>
      </c>
      <c r="C191" s="466">
        <v>124870209</v>
      </c>
      <c r="D191" s="468"/>
      <c r="E191" s="561"/>
      <c r="F191" s="468"/>
      <c r="G191" s="585"/>
      <c r="H191" s="468"/>
      <c r="I191" s="468"/>
      <c r="J191" s="468"/>
      <c r="K191" s="468"/>
    </row>
    <row r="192" spans="1:11" ht="12.75" customHeight="1" x14ac:dyDescent="0.2">
      <c r="A192" s="463" t="s">
        <v>1047</v>
      </c>
      <c r="B192" s="470">
        <v>4215</v>
      </c>
      <c r="C192" s="551">
        <v>47583073</v>
      </c>
      <c r="D192" s="468"/>
      <c r="E192" s="561"/>
      <c r="F192" s="468"/>
      <c r="G192" s="585"/>
      <c r="H192" s="468"/>
      <c r="I192" s="468"/>
      <c r="J192" s="468"/>
      <c r="K192" s="468"/>
    </row>
    <row r="193" spans="1:11" ht="12.75" customHeight="1" x14ac:dyDescent="0.2">
      <c r="A193" s="463" t="s">
        <v>1059</v>
      </c>
      <c r="B193" s="470">
        <v>4220</v>
      </c>
      <c r="C193" s="551">
        <v>0</v>
      </c>
      <c r="D193" s="468"/>
      <c r="E193" s="561"/>
      <c r="F193" s="468"/>
      <c r="G193" s="585"/>
      <c r="H193" s="468"/>
      <c r="I193" s="468"/>
      <c r="J193" s="468"/>
      <c r="K193" s="468"/>
    </row>
    <row r="194" spans="1:11" ht="12.75" customHeight="1" x14ac:dyDescent="0.2">
      <c r="A194" s="463" t="s">
        <v>1446</v>
      </c>
      <c r="B194" s="470">
        <v>4225</v>
      </c>
      <c r="C194" s="551">
        <v>3035328</v>
      </c>
      <c r="D194" s="468"/>
      <c r="E194" s="561"/>
      <c r="F194" s="468"/>
      <c r="G194" s="585"/>
      <c r="H194" s="468"/>
      <c r="I194" s="468"/>
      <c r="J194" s="468"/>
      <c r="K194" s="468"/>
    </row>
    <row r="195" spans="1:11" ht="12.75" customHeight="1" x14ac:dyDescent="0.2">
      <c r="A195" s="463" t="s">
        <v>1447</v>
      </c>
      <c r="B195" s="470">
        <v>4226</v>
      </c>
      <c r="C195" s="551">
        <v>8216819</v>
      </c>
      <c r="D195" s="468"/>
      <c r="E195" s="561"/>
      <c r="F195" s="468"/>
      <c r="G195" s="585"/>
      <c r="H195" s="468"/>
      <c r="I195" s="468"/>
      <c r="J195" s="468"/>
      <c r="K195" s="468"/>
    </row>
    <row r="196" spans="1:11" ht="12.75" customHeight="1" x14ac:dyDescent="0.2">
      <c r="A196" s="463" t="s">
        <v>792</v>
      </c>
      <c r="B196" s="470">
        <v>4240</v>
      </c>
      <c r="C196" s="489">
        <v>1740780</v>
      </c>
      <c r="D196" s="468"/>
      <c r="E196" s="561"/>
      <c r="F196" s="468"/>
      <c r="G196" s="586"/>
      <c r="H196" s="468"/>
      <c r="I196" s="468"/>
      <c r="J196" s="468"/>
      <c r="K196" s="468"/>
    </row>
    <row r="197" spans="1:11" ht="12.75" customHeight="1" x14ac:dyDescent="0.2">
      <c r="A197" s="463" t="s">
        <v>71</v>
      </c>
      <c r="B197" s="470">
        <v>4299</v>
      </c>
      <c r="C197" s="551">
        <v>12847939</v>
      </c>
      <c r="D197" s="468"/>
      <c r="E197" s="561"/>
      <c r="F197" s="468"/>
      <c r="G197" s="585"/>
      <c r="H197" s="468"/>
      <c r="I197" s="468"/>
      <c r="J197" s="468"/>
      <c r="K197" s="468"/>
    </row>
    <row r="198" spans="1:11" ht="12.75" customHeight="1" thickBot="1" x14ac:dyDescent="0.25">
      <c r="A198" s="1640" t="s">
        <v>548</v>
      </c>
      <c r="B198" s="1641"/>
      <c r="C198" s="1620">
        <f>SUM(C190:C197)</f>
        <v>198294148</v>
      </c>
      <c r="D198" s="468"/>
      <c r="E198" s="468"/>
      <c r="F198" s="468"/>
      <c r="G198" s="1620">
        <f>SUM(G190:G197)</f>
        <v>0</v>
      </c>
      <c r="H198" s="468"/>
      <c r="I198" s="468"/>
      <c r="J198" s="468"/>
      <c r="K198" s="468"/>
    </row>
    <row r="199" spans="1:11" ht="15.75" customHeight="1" thickTop="1" x14ac:dyDescent="0.2">
      <c r="A199" s="1533" t="s">
        <v>1138</v>
      </c>
      <c r="B199" s="1538"/>
      <c r="C199" s="553"/>
      <c r="D199" s="468"/>
      <c r="E199" s="468"/>
      <c r="F199" s="468"/>
      <c r="G199" s="468"/>
      <c r="H199" s="468"/>
      <c r="I199" s="468"/>
      <c r="J199" s="468"/>
      <c r="K199" s="468"/>
    </row>
    <row r="200" spans="1:11" ht="12.75" customHeight="1" x14ac:dyDescent="0.2">
      <c r="A200" s="463" t="s">
        <v>918</v>
      </c>
      <c r="B200" s="470">
        <v>4300</v>
      </c>
      <c r="C200" s="466">
        <v>229952301</v>
      </c>
      <c r="D200" s="466"/>
      <c r="E200" s="468"/>
      <c r="F200" s="466"/>
      <c r="G200" s="466"/>
      <c r="H200" s="468"/>
      <c r="I200" s="468"/>
      <c r="J200" s="468"/>
      <c r="K200" s="468"/>
    </row>
    <row r="201" spans="1:11" ht="12.75" customHeight="1" x14ac:dyDescent="0.2">
      <c r="A201" s="463" t="s">
        <v>919</v>
      </c>
      <c r="B201" s="470">
        <v>4305</v>
      </c>
      <c r="C201" s="551">
        <v>458017</v>
      </c>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f>7158235+2995311</f>
        <v>10153546</v>
      </c>
      <c r="D203" s="466"/>
      <c r="E203" s="468"/>
      <c r="F203" s="466"/>
      <c r="G203" s="466"/>
      <c r="H203" s="468"/>
      <c r="I203" s="468"/>
      <c r="J203" s="468"/>
      <c r="K203" s="468"/>
    </row>
    <row r="204" spans="1:11" ht="12.75" customHeight="1" thickBot="1" x14ac:dyDescent="0.25">
      <c r="A204" s="1640" t="s">
        <v>400</v>
      </c>
      <c r="B204" s="1641"/>
      <c r="C204" s="1639">
        <f>SUM(C200:C203)</f>
        <v>240563864</v>
      </c>
      <c r="D204" s="1639">
        <f>SUM(D200:D203)</f>
        <v>0</v>
      </c>
      <c r="E204" s="468"/>
      <c r="F204" s="1639">
        <f>SUM(F200:F203)</f>
        <v>0</v>
      </c>
      <c r="G204" s="1639">
        <f>SUM(G200:G203)</f>
        <v>0</v>
      </c>
      <c r="H204" s="468"/>
      <c r="I204" s="468"/>
      <c r="J204" s="468"/>
      <c r="K204" s="468"/>
    </row>
    <row r="205" spans="1:11" ht="15.75" customHeight="1" thickTop="1" x14ac:dyDescent="0.2">
      <c r="A205" s="1533" t="s">
        <v>1139</v>
      </c>
      <c r="B205" s="1538"/>
      <c r="C205" s="553"/>
      <c r="D205" s="553"/>
      <c r="E205" s="468"/>
      <c r="F205" s="553"/>
      <c r="G205" s="553"/>
      <c r="H205" s="468"/>
      <c r="I205" s="468"/>
      <c r="J205" s="468"/>
      <c r="K205" s="468"/>
    </row>
    <row r="206" spans="1:11" ht="12.75" customHeight="1" x14ac:dyDescent="0.2">
      <c r="A206" s="463" t="s">
        <v>759</v>
      </c>
      <c r="B206" s="470">
        <v>4400</v>
      </c>
      <c r="C206" s="551">
        <v>7061485</v>
      </c>
      <c r="D206" s="466"/>
      <c r="E206" s="468"/>
      <c r="F206" s="466"/>
      <c r="G206" s="466"/>
      <c r="H206" s="468"/>
      <c r="I206" s="468"/>
      <c r="J206" s="468"/>
      <c r="K206" s="468"/>
    </row>
    <row r="207" spans="1:11" ht="12.75" customHeight="1" x14ac:dyDescent="0.2">
      <c r="A207" s="463" t="s">
        <v>1448</v>
      </c>
      <c r="B207" s="470">
        <v>4421</v>
      </c>
      <c r="C207" s="551">
        <v>6683536</v>
      </c>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640" t="s">
        <v>889</v>
      </c>
      <c r="B209" s="1641"/>
      <c r="C209" s="1639">
        <f>SUM(C206:C208)</f>
        <v>13745021</v>
      </c>
      <c r="D209" s="1639">
        <f>SUM(D206:D208)</f>
        <v>0</v>
      </c>
      <c r="E209" s="468" t="s">
        <v>1169</v>
      </c>
      <c r="F209" s="1639">
        <f>SUM(F206:F208)</f>
        <v>0</v>
      </c>
      <c r="G209" s="1639">
        <f>SUM(G206:G208)</f>
        <v>0</v>
      </c>
      <c r="H209" s="468"/>
      <c r="I209" s="468"/>
      <c r="J209" s="468"/>
      <c r="K209" s="468"/>
    </row>
    <row r="210" spans="1:11" ht="15.75" customHeight="1" thickTop="1" x14ac:dyDescent="0.2">
      <c r="A210" s="1533" t="s">
        <v>1092</v>
      </c>
      <c r="B210" s="1538"/>
      <c r="C210" s="553"/>
      <c r="D210" s="553"/>
      <c r="E210" s="468"/>
      <c r="F210" s="553"/>
      <c r="G210" s="553"/>
      <c r="H210" s="468"/>
      <c r="I210" s="468"/>
      <c r="J210" s="468"/>
      <c r="K210" s="468"/>
    </row>
    <row r="211" spans="1:11" ht="12.75" customHeight="1" x14ac:dyDescent="0.2">
      <c r="A211" s="463" t="s">
        <v>1052</v>
      </c>
      <c r="B211" s="470">
        <v>4600</v>
      </c>
      <c r="C211" s="551">
        <v>987118</v>
      </c>
      <c r="D211" s="466"/>
      <c r="E211" s="468"/>
      <c r="F211" s="466"/>
      <c r="G211" s="466"/>
      <c r="H211" s="468"/>
      <c r="I211" s="468"/>
      <c r="J211" s="468"/>
      <c r="K211" s="468"/>
    </row>
    <row r="212" spans="1:11" ht="12.75" customHeight="1" x14ac:dyDescent="0.2">
      <c r="A212" s="463" t="s">
        <v>1053</v>
      </c>
      <c r="B212" s="470">
        <v>4605</v>
      </c>
      <c r="C212" s="551">
        <v>371914</v>
      </c>
      <c r="D212" s="466"/>
      <c r="E212" s="468"/>
      <c r="F212" s="466"/>
      <c r="G212" s="466"/>
      <c r="H212" s="468"/>
      <c r="I212" s="468"/>
      <c r="J212" s="468"/>
      <c r="K212" s="468"/>
    </row>
    <row r="213" spans="1:11" ht="12.75" customHeight="1" x14ac:dyDescent="0.2">
      <c r="A213" s="463" t="s">
        <v>1449</v>
      </c>
      <c r="B213" s="557">
        <v>4620</v>
      </c>
      <c r="C213" s="551">
        <v>89492400</v>
      </c>
      <c r="D213" s="466"/>
      <c r="E213" s="468"/>
      <c r="F213" s="466"/>
      <c r="G213" s="466"/>
      <c r="H213" s="468"/>
      <c r="I213" s="468"/>
      <c r="J213" s="468"/>
      <c r="K213" s="468"/>
    </row>
    <row r="214" spans="1:11" ht="12.75" customHeight="1" x14ac:dyDescent="0.2">
      <c r="A214" s="463" t="s">
        <v>1054</v>
      </c>
      <c r="B214" s="470">
        <v>4625</v>
      </c>
      <c r="C214" s="551">
        <v>2333886</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434" t="s">
        <v>74</v>
      </c>
      <c r="B216" s="557">
        <v>4699</v>
      </c>
      <c r="C216" s="551"/>
      <c r="D216" s="466"/>
      <c r="E216" s="468"/>
      <c r="F216" s="466"/>
      <c r="G216" s="466"/>
      <c r="H216" s="468"/>
      <c r="I216" s="468"/>
      <c r="J216" s="468"/>
      <c r="K216" s="468"/>
    </row>
    <row r="217" spans="1:11" ht="12.75" customHeight="1" thickBot="1" x14ac:dyDescent="0.25">
      <c r="A217" s="1640" t="s">
        <v>447</v>
      </c>
      <c r="B217" s="1641"/>
      <c r="C217" s="1639">
        <f>SUM(C211:C216)</f>
        <v>93185318</v>
      </c>
      <c r="D217" s="1639">
        <f>SUM(D211:D216)</f>
        <v>0</v>
      </c>
      <c r="E217" s="468"/>
      <c r="F217" s="1639">
        <f>SUM(F211:F216)</f>
        <v>0</v>
      </c>
      <c r="G217" s="1639">
        <f>SUM(G211:G216)</f>
        <v>0</v>
      </c>
      <c r="H217" s="468"/>
      <c r="I217" s="468"/>
      <c r="J217" s="468"/>
      <c r="K217" s="468"/>
    </row>
    <row r="218" spans="1:11" ht="15.75" customHeight="1" thickTop="1" x14ac:dyDescent="0.2">
      <c r="A218" s="1533" t="s">
        <v>1093</v>
      </c>
      <c r="B218" s="1538"/>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v>5734224</v>
      </c>
      <c r="D220" s="466"/>
      <c r="E220" s="468"/>
      <c r="F220" s="468"/>
      <c r="G220" s="466"/>
      <c r="H220" s="468"/>
      <c r="I220" s="468"/>
      <c r="J220" s="468"/>
      <c r="K220" s="468"/>
    </row>
    <row r="221" spans="1:11" ht="12.75" customHeight="1" thickBot="1" x14ac:dyDescent="0.25">
      <c r="A221" s="1655" t="s">
        <v>1085</v>
      </c>
      <c r="B221" s="1656"/>
      <c r="C221" s="1639">
        <f>SUM(C219:C220)</f>
        <v>5734224</v>
      </c>
      <c r="D221" s="1639">
        <f>SUM(D219:D220)</f>
        <v>0</v>
      </c>
      <c r="E221" s="468"/>
      <c r="F221" s="468"/>
      <c r="G221" s="1639">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v>24886885</v>
      </c>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1450</v>
      </c>
      <c r="B251" s="587">
        <v>4880</v>
      </c>
      <c r="C251" s="489"/>
      <c r="D251" s="467"/>
      <c r="E251" s="467"/>
      <c r="F251" s="467"/>
      <c r="G251" s="467"/>
      <c r="H251" s="467"/>
      <c r="I251" s="468"/>
      <c r="J251" s="467"/>
      <c r="K251" s="467"/>
    </row>
    <row r="252" spans="1:11" ht="12.75" customHeight="1" thickBot="1" x14ac:dyDescent="0.25">
      <c r="A252" s="1657" t="s">
        <v>774</v>
      </c>
      <c r="B252" s="1658"/>
      <c r="C252" s="1650">
        <f t="shared" ref="C252:H252" si="9">SUM(C223:C251)</f>
        <v>0</v>
      </c>
      <c r="D252" s="1639">
        <f t="shared" si="9"/>
        <v>0</v>
      </c>
      <c r="E252" s="1639">
        <f t="shared" si="9"/>
        <v>24886885</v>
      </c>
      <c r="F252" s="1639">
        <f t="shared" si="9"/>
        <v>0</v>
      </c>
      <c r="G252" s="1639">
        <f t="shared" si="9"/>
        <v>0</v>
      </c>
      <c r="H252" s="1639">
        <f t="shared" si="9"/>
        <v>0</v>
      </c>
      <c r="I252" s="553"/>
      <c r="J252" s="1639">
        <f>SUM(J223:J251)</f>
        <v>0</v>
      </c>
      <c r="K252" s="1620">
        <f>SUM(K223:K251)</f>
        <v>0</v>
      </c>
    </row>
    <row r="253" spans="1:11" ht="12.75" customHeight="1" thickTop="1" thickBot="1" x14ac:dyDescent="0.25">
      <c r="A253" s="1435" t="s">
        <v>1416</v>
      </c>
      <c r="B253" s="588">
        <v>4901</v>
      </c>
      <c r="C253" s="589"/>
      <c r="D253" s="469"/>
      <c r="E253" s="468"/>
      <c r="F253" s="468"/>
      <c r="G253" s="468"/>
      <c r="H253" s="468"/>
      <c r="I253" s="468"/>
      <c r="J253" s="468"/>
      <c r="K253" s="468"/>
    </row>
    <row r="254" spans="1:11" ht="12.75" customHeight="1" thickTop="1" thickBot="1" x14ac:dyDescent="0.25">
      <c r="A254" s="1436" t="s">
        <v>1458</v>
      </c>
      <c r="B254" s="590">
        <v>4902</v>
      </c>
      <c r="C254" s="591"/>
      <c r="D254" s="592"/>
      <c r="E254" s="469"/>
      <c r="F254" s="592"/>
      <c r="G254" s="592"/>
      <c r="H254" s="469"/>
      <c r="I254" s="468"/>
      <c r="J254" s="469"/>
      <c r="K254" s="469"/>
    </row>
    <row r="255" spans="1:11" ht="12.75" customHeight="1" thickTop="1" thickBot="1" x14ac:dyDescent="0.25">
      <c r="A255" s="463" t="s">
        <v>1451</v>
      </c>
      <c r="B255" s="470">
        <v>4905</v>
      </c>
      <c r="C255" s="573">
        <v>563132</v>
      </c>
      <c r="D255" s="468"/>
      <c r="E255" s="468"/>
      <c r="F255" s="578"/>
      <c r="G255" s="573"/>
      <c r="H255" s="468"/>
      <c r="I255" s="468"/>
      <c r="J255" s="468"/>
      <c r="K255" s="468"/>
    </row>
    <row r="256" spans="1:11" ht="12.75" customHeight="1" thickTop="1" thickBot="1" x14ac:dyDescent="0.25">
      <c r="A256" s="463" t="s">
        <v>1452</v>
      </c>
      <c r="B256" s="470">
        <v>4909</v>
      </c>
      <c r="C256" s="576">
        <v>9429198</v>
      </c>
      <c r="D256" s="468"/>
      <c r="E256" s="468"/>
      <c r="F256" s="576"/>
      <c r="G256" s="576"/>
      <c r="H256" s="468"/>
      <c r="I256" s="468"/>
      <c r="J256" s="468"/>
      <c r="K256" s="468"/>
    </row>
    <row r="257" spans="1:11" ht="12.75" customHeight="1" thickTop="1" thickBot="1" x14ac:dyDescent="0.25">
      <c r="A257" s="463" t="s">
        <v>193</v>
      </c>
      <c r="B257" s="470">
        <v>4920</v>
      </c>
      <c r="C257" s="576">
        <v>877030</v>
      </c>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18462819</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862" t="s">
        <v>1912</v>
      </c>
      <c r="B261" s="470">
        <v>4981</v>
      </c>
      <c r="C261" s="575"/>
      <c r="D261" s="576"/>
      <c r="E261" s="468"/>
      <c r="F261" s="576"/>
      <c r="G261" s="576"/>
      <c r="H261" s="468"/>
      <c r="I261" s="468"/>
      <c r="J261" s="468"/>
      <c r="K261" s="468"/>
    </row>
    <row r="262" spans="1:11" ht="12.75" customHeight="1" thickTop="1" thickBot="1" x14ac:dyDescent="0.25">
      <c r="A262" s="1863" t="s">
        <v>1913</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7960001</v>
      </c>
      <c r="D263" s="576"/>
      <c r="E263" s="468"/>
      <c r="F263" s="576"/>
      <c r="G263" s="576"/>
      <c r="H263" s="468"/>
      <c r="I263" s="468"/>
      <c r="J263" s="468"/>
      <c r="K263" s="468"/>
    </row>
    <row r="264" spans="1:11" ht="12.75" customHeight="1" thickTop="1" thickBot="1" x14ac:dyDescent="0.25">
      <c r="A264" s="463" t="s">
        <v>377</v>
      </c>
      <c r="B264" s="470">
        <v>4992</v>
      </c>
      <c r="C264" s="575">
        <v>27014979</v>
      </c>
      <c r="D264" s="576"/>
      <c r="E264" s="468"/>
      <c r="F264" s="576"/>
      <c r="G264" s="576"/>
      <c r="H264" s="468"/>
      <c r="I264" s="468"/>
      <c r="J264" s="468"/>
      <c r="K264" s="468"/>
    </row>
    <row r="265" spans="1:11" s="593" customFormat="1" ht="12.75" customHeight="1" thickTop="1" thickBot="1" x14ac:dyDescent="0.25">
      <c r="A265" s="563" t="s">
        <v>75</v>
      </c>
      <c r="B265" s="557">
        <v>4999</v>
      </c>
      <c r="C265" s="575">
        <v>4015539</v>
      </c>
      <c r="D265" s="576"/>
      <c r="E265" s="468"/>
      <c r="F265" s="576"/>
      <c r="G265" s="576"/>
      <c r="H265" s="530">
        <v>0</v>
      </c>
      <c r="I265" s="468"/>
      <c r="J265" s="468"/>
      <c r="K265" s="530"/>
    </row>
    <row r="266" spans="1:11" ht="14.25" thickTop="1" thickBot="1" x14ac:dyDescent="0.25">
      <c r="A266" s="1640" t="s">
        <v>1655</v>
      </c>
      <c r="B266" s="1659"/>
      <c r="C266" s="1647">
        <f t="shared" ref="C266:H266" si="10">SUM(C188,C198,C204,C209,C217,C221,C222,C252:C265)</f>
        <v>619845273</v>
      </c>
      <c r="D266" s="1647">
        <f t="shared" si="10"/>
        <v>0</v>
      </c>
      <c r="E266" s="1647">
        <f t="shared" si="10"/>
        <v>24886885</v>
      </c>
      <c r="F266" s="1647">
        <f t="shared" si="10"/>
        <v>0</v>
      </c>
      <c r="G266" s="1647">
        <f t="shared" si="10"/>
        <v>0</v>
      </c>
      <c r="H266" s="1647">
        <f t="shared" si="10"/>
        <v>0</v>
      </c>
      <c r="I266" s="468"/>
      <c r="J266" s="1647">
        <f>SUM(J188,J198,J204,J209,J217,J221,J222,J252:J265)</f>
        <v>0</v>
      </c>
      <c r="K266" s="1634">
        <f>SUM(K188,K198,K204,K209,K217,K221,K222,K252:K265)</f>
        <v>0</v>
      </c>
    </row>
    <row r="267" spans="1:11" ht="14.25" thickTop="1" thickBot="1" x14ac:dyDescent="0.25">
      <c r="A267" s="1660" t="s">
        <v>1086</v>
      </c>
      <c r="B267" s="1661" t="s">
        <v>860</v>
      </c>
      <c r="C267" s="1647">
        <f>SUM(C175,C181,C266)</f>
        <v>666438999</v>
      </c>
      <c r="D267" s="1647">
        <f>SUM(D175,D181,D266)</f>
        <v>0</v>
      </c>
      <c r="E267" s="1647">
        <f>SUM(E175,E266)</f>
        <v>24886885</v>
      </c>
      <c r="F267" s="1647">
        <f t="shared" ref="F267:K267" si="11">SUM(F175,F181,F266)</f>
        <v>0</v>
      </c>
      <c r="G267" s="1647">
        <f t="shared" si="11"/>
        <v>0</v>
      </c>
      <c r="H267" s="1647">
        <f t="shared" si="11"/>
        <v>0</v>
      </c>
      <c r="I267" s="1647">
        <f t="shared" si="11"/>
        <v>0</v>
      </c>
      <c r="J267" s="1647">
        <f t="shared" si="11"/>
        <v>0</v>
      </c>
      <c r="K267" s="1634">
        <f t="shared" si="11"/>
        <v>0</v>
      </c>
    </row>
    <row r="268" spans="1:11" ht="14.25" thickTop="1" thickBot="1" x14ac:dyDescent="0.25">
      <c r="A268" s="1662" t="s">
        <v>251</v>
      </c>
      <c r="B268" s="1663"/>
      <c r="C268" s="1647">
        <f t="shared" ref="C268:K268" si="12">SUM(C109,C114,C170,C267)</f>
        <v>5191612989</v>
      </c>
      <c r="D268" s="1647">
        <f t="shared" si="12"/>
        <v>379924577</v>
      </c>
      <c r="E268" s="1647">
        <f t="shared" si="12"/>
        <v>559712917</v>
      </c>
      <c r="F268" s="1647">
        <f t="shared" si="12"/>
        <v>0</v>
      </c>
      <c r="G268" s="1647">
        <f t="shared" si="12"/>
        <v>0</v>
      </c>
      <c r="H268" s="1647">
        <f t="shared" si="12"/>
        <v>76398485</v>
      </c>
      <c r="I268" s="1647">
        <f t="shared" si="12"/>
        <v>0</v>
      </c>
      <c r="J268" s="1647">
        <f t="shared" si="12"/>
        <v>76465878</v>
      </c>
      <c r="K268" s="1634">
        <f t="shared" si="12"/>
        <v>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2D050"/>
  </sheetPr>
  <dimension ref="A1:N368"/>
  <sheetViews>
    <sheetView showGridLines="0" defaultGridColor="0" colorId="8" zoomScale="110" zoomScaleNormal="110" workbookViewId="0">
      <pane ySplit="2" topLeftCell="A156" activePane="bottomLeft" state="frozen"/>
      <selection pane="bottomLeft" activeCell="E166" sqref="E166:E167"/>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61" t="s">
        <v>1780</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93"/>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99" t="s">
        <v>297</v>
      </c>
      <c r="B3" s="2200"/>
      <c r="C3" s="1481"/>
      <c r="D3" s="1481"/>
      <c r="E3" s="1481"/>
      <c r="F3" s="1481"/>
      <c r="G3" s="1481"/>
      <c r="H3" s="1481"/>
      <c r="I3" s="1481"/>
      <c r="J3" s="1481"/>
      <c r="K3" s="1482"/>
      <c r="L3" s="1483"/>
      <c r="M3" s="609"/>
      <c r="N3" s="609"/>
    </row>
    <row r="4" spans="1:14" s="259" customFormat="1" ht="15.75" customHeight="1" x14ac:dyDescent="0.2">
      <c r="A4" s="1539" t="s">
        <v>44</v>
      </c>
      <c r="B4" s="1540" t="s">
        <v>570</v>
      </c>
      <c r="C4" s="610"/>
      <c r="D4" s="610"/>
      <c r="E4" s="610"/>
      <c r="F4" s="610"/>
      <c r="G4" s="610"/>
      <c r="H4" s="610"/>
      <c r="I4" s="611"/>
      <c r="J4" s="610"/>
      <c r="K4" s="612"/>
      <c r="L4" s="610"/>
      <c r="M4" s="613"/>
      <c r="N4" s="613"/>
    </row>
    <row r="5" spans="1:14" x14ac:dyDescent="0.2">
      <c r="A5" s="1437" t="s">
        <v>961</v>
      </c>
      <c r="B5" s="614">
        <v>1100</v>
      </c>
      <c r="C5" s="466">
        <f>1235744225-C7-2786</f>
        <v>1145637203</v>
      </c>
      <c r="D5" s="466">
        <f>755380512-D7</f>
        <v>723176283</v>
      </c>
      <c r="E5" s="466">
        <f>32726918</f>
        <v>32726918</v>
      </c>
      <c r="F5" s="466">
        <f>63150231-F7</f>
        <v>57810212</v>
      </c>
      <c r="G5" s="466">
        <v>41865</v>
      </c>
      <c r="H5" s="466">
        <v>3102553</v>
      </c>
      <c r="I5" s="467">
        <f>27121509-I7</f>
        <v>22272873</v>
      </c>
      <c r="J5" s="467">
        <f>11931355-J7</f>
        <v>11803239</v>
      </c>
      <c r="K5" s="1603">
        <f>SUM(C5:J5)</f>
        <v>1996571146</v>
      </c>
      <c r="L5" s="466">
        <v>2286544001</v>
      </c>
    </row>
    <row r="6" spans="1:14" x14ac:dyDescent="0.2">
      <c r="A6" s="1437" t="s">
        <v>1428</v>
      </c>
      <c r="B6" s="614" t="s">
        <v>1426</v>
      </c>
      <c r="C6" s="477"/>
      <c r="D6" s="477"/>
      <c r="E6" s="466">
        <v>711820662</v>
      </c>
      <c r="F6" s="477"/>
      <c r="G6" s="477"/>
      <c r="H6" s="477"/>
      <c r="I6" s="477"/>
      <c r="J6" s="477"/>
      <c r="K6" s="1603">
        <f>SUM(C6,E6)</f>
        <v>711820662</v>
      </c>
      <c r="L6" s="466">
        <v>653966943</v>
      </c>
    </row>
    <row r="7" spans="1:14" x14ac:dyDescent="0.2">
      <c r="A7" s="1437" t="s">
        <v>163</v>
      </c>
      <c r="B7" s="614" t="s">
        <v>967</v>
      </c>
      <c r="C7" s="467">
        <v>90104236</v>
      </c>
      <c r="D7" s="467">
        <v>32204229</v>
      </c>
      <c r="E7" s="467">
        <v>215703</v>
      </c>
      <c r="F7" s="467">
        <v>5340019</v>
      </c>
      <c r="G7" s="467"/>
      <c r="H7" s="467"/>
      <c r="I7" s="467">
        <v>4848636</v>
      </c>
      <c r="J7" s="467">
        <v>128116</v>
      </c>
      <c r="K7" s="1603">
        <f t="shared" ref="K7:K32" si="0">SUM(C7:J7)</f>
        <v>132840939</v>
      </c>
      <c r="L7" s="466">
        <v>207427383</v>
      </c>
    </row>
    <row r="8" spans="1:14" x14ac:dyDescent="0.2">
      <c r="A8" s="1437" t="s">
        <v>164</v>
      </c>
      <c r="B8" s="614">
        <v>1200</v>
      </c>
      <c r="C8" s="466">
        <v>409972534</v>
      </c>
      <c r="D8" s="466">
        <v>119666259</v>
      </c>
      <c r="E8" s="466">
        <v>24345295</v>
      </c>
      <c r="F8" s="466">
        <v>149088</v>
      </c>
      <c r="G8" s="466"/>
      <c r="H8" s="466"/>
      <c r="I8" s="467">
        <v>551650</v>
      </c>
      <c r="J8" s="467">
        <v>3995482</v>
      </c>
      <c r="K8" s="1603">
        <f t="shared" si="0"/>
        <v>558680308</v>
      </c>
      <c r="L8" s="466">
        <v>590336010</v>
      </c>
    </row>
    <row r="9" spans="1:14" x14ac:dyDescent="0.2">
      <c r="A9" s="1437" t="s">
        <v>721</v>
      </c>
      <c r="B9" s="614" t="s">
        <v>968</v>
      </c>
      <c r="C9" s="467">
        <v>27759187</v>
      </c>
      <c r="D9" s="467">
        <v>8117659</v>
      </c>
      <c r="E9" s="467">
        <v>25653</v>
      </c>
      <c r="F9" s="467">
        <v>16098</v>
      </c>
      <c r="G9" s="467"/>
      <c r="H9" s="467"/>
      <c r="I9" s="467"/>
      <c r="J9" s="467">
        <v>106287</v>
      </c>
      <c r="K9" s="1603">
        <f t="shared" si="0"/>
        <v>36024884</v>
      </c>
      <c r="L9" s="466">
        <v>40172585</v>
      </c>
    </row>
    <row r="10" spans="1:14" x14ac:dyDescent="0.2">
      <c r="A10" s="1437" t="s">
        <v>722</v>
      </c>
      <c r="B10" s="614">
        <v>1250</v>
      </c>
      <c r="C10" s="466">
        <v>1040005</v>
      </c>
      <c r="D10" s="466">
        <v>218574</v>
      </c>
      <c r="E10" s="466">
        <v>1644664</v>
      </c>
      <c r="F10" s="466">
        <v>89082</v>
      </c>
      <c r="G10" s="466"/>
      <c r="H10" s="466"/>
      <c r="I10" s="467">
        <v>29187</v>
      </c>
      <c r="J10" s="467">
        <v>4588</v>
      </c>
      <c r="K10" s="1603">
        <f t="shared" si="0"/>
        <v>3026100</v>
      </c>
      <c r="L10" s="466">
        <v>2461786</v>
      </c>
    </row>
    <row r="11" spans="1:14" x14ac:dyDescent="0.2">
      <c r="A11" s="1437" t="s">
        <v>1130</v>
      </c>
      <c r="B11" s="614" t="s">
        <v>161</v>
      </c>
      <c r="C11" s="467"/>
      <c r="D11" s="467"/>
      <c r="E11" s="467"/>
      <c r="F11" s="467"/>
      <c r="G11" s="467"/>
      <c r="H11" s="467"/>
      <c r="I11" s="467"/>
      <c r="J11" s="467"/>
      <c r="K11" s="1603">
        <f t="shared" si="0"/>
        <v>0</v>
      </c>
      <c r="L11" s="466">
        <v>0</v>
      </c>
    </row>
    <row r="12" spans="1:14" x14ac:dyDescent="0.2">
      <c r="A12" s="1437" t="s">
        <v>962</v>
      </c>
      <c r="B12" s="614">
        <v>1300</v>
      </c>
      <c r="C12" s="466">
        <v>2892660</v>
      </c>
      <c r="D12" s="466">
        <v>60513</v>
      </c>
      <c r="E12" s="466">
        <v>377234</v>
      </c>
      <c r="F12" s="466"/>
      <c r="G12" s="466"/>
      <c r="H12" s="466"/>
      <c r="I12" s="467"/>
      <c r="J12" s="467">
        <v>1574</v>
      </c>
      <c r="K12" s="1603">
        <f t="shared" si="0"/>
        <v>3331981</v>
      </c>
      <c r="L12" s="466">
        <v>2618786</v>
      </c>
    </row>
    <row r="13" spans="1:14" x14ac:dyDescent="0.2">
      <c r="A13" s="1437" t="s">
        <v>723</v>
      </c>
      <c r="B13" s="614">
        <v>1400</v>
      </c>
      <c r="C13" s="466">
        <v>12053279</v>
      </c>
      <c r="D13" s="466">
        <v>3199569</v>
      </c>
      <c r="E13" s="466">
        <v>1985227</v>
      </c>
      <c r="F13" s="466">
        <v>1462238</v>
      </c>
      <c r="G13" s="466"/>
      <c r="H13" s="466"/>
      <c r="I13" s="467">
        <v>2383558</v>
      </c>
      <c r="J13" s="467">
        <v>95642</v>
      </c>
      <c r="K13" s="1603">
        <f t="shared" si="0"/>
        <v>21179513</v>
      </c>
      <c r="L13" s="466">
        <v>16215208</v>
      </c>
    </row>
    <row r="14" spans="1:14" x14ac:dyDescent="0.2">
      <c r="A14" s="1437" t="s">
        <v>963</v>
      </c>
      <c r="B14" s="614">
        <v>1500</v>
      </c>
      <c r="C14" s="466">
        <v>13221310</v>
      </c>
      <c r="D14" s="466">
        <v>532887</v>
      </c>
      <c r="E14" s="466">
        <v>2618087</v>
      </c>
      <c r="F14" s="466">
        <v>1370393</v>
      </c>
      <c r="G14" s="466"/>
      <c r="H14" s="466">
        <v>4200</v>
      </c>
      <c r="I14" s="467">
        <v>246476</v>
      </c>
      <c r="J14" s="467">
        <v>20919</v>
      </c>
      <c r="K14" s="1603">
        <f t="shared" si="0"/>
        <v>18014272</v>
      </c>
      <c r="L14" s="466">
        <v>17145526</v>
      </c>
    </row>
    <row r="15" spans="1:14" x14ac:dyDescent="0.2">
      <c r="A15" s="1437" t="s">
        <v>964</v>
      </c>
      <c r="B15" s="614">
        <v>1600</v>
      </c>
      <c r="C15" s="466">
        <v>11973111</v>
      </c>
      <c r="D15" s="466">
        <v>262496</v>
      </c>
      <c r="E15" s="466">
        <v>1013181</v>
      </c>
      <c r="F15" s="466">
        <v>266507</v>
      </c>
      <c r="G15" s="466"/>
      <c r="H15" s="466"/>
      <c r="I15" s="467">
        <v>4004</v>
      </c>
      <c r="J15" s="467"/>
      <c r="K15" s="1603">
        <f t="shared" si="0"/>
        <v>13519299</v>
      </c>
      <c r="L15" s="466">
        <v>12747212</v>
      </c>
    </row>
    <row r="16" spans="1:14" x14ac:dyDescent="0.2">
      <c r="A16" s="1437" t="s">
        <v>987</v>
      </c>
      <c r="B16" s="614" t="s">
        <v>424</v>
      </c>
      <c r="C16" s="466"/>
      <c r="D16" s="466"/>
      <c r="E16" s="466"/>
      <c r="F16" s="466"/>
      <c r="G16" s="466"/>
      <c r="H16" s="466"/>
      <c r="I16" s="467"/>
      <c r="J16" s="467"/>
      <c r="K16" s="1603">
        <f t="shared" si="0"/>
        <v>0</v>
      </c>
      <c r="L16" s="466">
        <v>0</v>
      </c>
    </row>
    <row r="17" spans="1:12" x14ac:dyDescent="0.2">
      <c r="A17" s="1437" t="s">
        <v>724</v>
      </c>
      <c r="B17" s="614" t="s">
        <v>162</v>
      </c>
      <c r="C17" s="467">
        <v>2459257</v>
      </c>
      <c r="D17" s="467">
        <v>70062</v>
      </c>
      <c r="E17" s="467">
        <v>0</v>
      </c>
      <c r="F17" s="467">
        <v>682037</v>
      </c>
      <c r="G17" s="467"/>
      <c r="H17" s="467">
        <v>49950</v>
      </c>
      <c r="I17" s="467">
        <v>1375</v>
      </c>
      <c r="J17" s="467">
        <v>1338</v>
      </c>
      <c r="K17" s="1603">
        <f t="shared" si="0"/>
        <v>3264019</v>
      </c>
      <c r="L17" s="466">
        <v>2567756</v>
      </c>
    </row>
    <row r="18" spans="1:12" x14ac:dyDescent="0.2">
      <c r="A18" s="1437" t="s">
        <v>1087</v>
      </c>
      <c r="B18" s="614">
        <v>1800</v>
      </c>
      <c r="C18" s="466">
        <v>45565836</v>
      </c>
      <c r="D18" s="466">
        <v>12567323</v>
      </c>
      <c r="E18" s="466">
        <v>106645</v>
      </c>
      <c r="F18" s="466">
        <v>226386</v>
      </c>
      <c r="G18" s="466"/>
      <c r="H18" s="466"/>
      <c r="I18" s="467">
        <v>5734</v>
      </c>
      <c r="J18" s="467">
        <v>364630</v>
      </c>
      <c r="K18" s="1603">
        <f t="shared" si="0"/>
        <v>58836554</v>
      </c>
      <c r="L18" s="466">
        <v>62601037</v>
      </c>
    </row>
    <row r="19" spans="1:12" x14ac:dyDescent="0.2">
      <c r="A19" s="1437" t="s">
        <v>134</v>
      </c>
      <c r="B19" s="614">
        <v>1900</v>
      </c>
      <c r="C19" s="466"/>
      <c r="D19" s="466"/>
      <c r="E19" s="466"/>
      <c r="F19" s="466"/>
      <c r="G19" s="466"/>
      <c r="H19" s="466"/>
      <c r="I19" s="467"/>
      <c r="J19" s="467"/>
      <c r="K19" s="1603">
        <f t="shared" si="0"/>
        <v>0</v>
      </c>
      <c r="L19" s="466"/>
    </row>
    <row r="20" spans="1:12" x14ac:dyDescent="0.2">
      <c r="A20" s="1438" t="s">
        <v>738</v>
      </c>
      <c r="B20" s="602" t="s">
        <v>725</v>
      </c>
      <c r="C20" s="477"/>
      <c r="D20" s="477"/>
      <c r="E20" s="477"/>
      <c r="F20" s="477"/>
      <c r="G20" s="477"/>
      <c r="H20" s="474"/>
      <c r="I20" s="616"/>
      <c r="J20" s="475"/>
      <c r="K20" s="1603">
        <f t="shared" si="0"/>
        <v>0</v>
      </c>
      <c r="L20" s="471"/>
    </row>
    <row r="21" spans="1:12" x14ac:dyDescent="0.2">
      <c r="A21" s="1438" t="s">
        <v>739</v>
      </c>
      <c r="B21" s="602" t="s">
        <v>726</v>
      </c>
      <c r="C21" s="477"/>
      <c r="D21" s="477"/>
      <c r="E21" s="477"/>
      <c r="F21" s="477"/>
      <c r="G21" s="477"/>
      <c r="H21" s="474"/>
      <c r="I21" s="616"/>
      <c r="J21" s="477"/>
      <c r="K21" s="1603">
        <f t="shared" si="0"/>
        <v>0</v>
      </c>
      <c r="L21" s="471"/>
    </row>
    <row r="22" spans="1:12" x14ac:dyDescent="0.2">
      <c r="A22" s="1438" t="s">
        <v>740</v>
      </c>
      <c r="B22" s="602" t="s">
        <v>727</v>
      </c>
      <c r="C22" s="477"/>
      <c r="D22" s="477"/>
      <c r="E22" s="477"/>
      <c r="F22" s="477"/>
      <c r="G22" s="477"/>
      <c r="H22" s="474">
        <v>53664369</v>
      </c>
      <c r="I22" s="616"/>
      <c r="J22" s="477"/>
      <c r="K22" s="1603">
        <f t="shared" si="0"/>
        <v>53664369</v>
      </c>
      <c r="L22" s="471">
        <v>57500000</v>
      </c>
    </row>
    <row r="23" spans="1:12" x14ac:dyDescent="0.2">
      <c r="A23" s="1438" t="s">
        <v>741</v>
      </c>
      <c r="B23" s="602" t="s">
        <v>728</v>
      </c>
      <c r="C23" s="477"/>
      <c r="D23" s="477"/>
      <c r="E23" s="477"/>
      <c r="F23" s="477"/>
      <c r="G23" s="477"/>
      <c r="H23" s="474"/>
      <c r="I23" s="616"/>
      <c r="J23" s="477"/>
      <c r="K23" s="1603">
        <f t="shared" si="0"/>
        <v>0</v>
      </c>
      <c r="L23" s="471"/>
    </row>
    <row r="24" spans="1:12" ht="12.75" customHeight="1" x14ac:dyDescent="0.2">
      <c r="A24" s="1438" t="s">
        <v>742</v>
      </c>
      <c r="B24" s="602" t="s">
        <v>729</v>
      </c>
      <c r="C24" s="477"/>
      <c r="D24" s="477"/>
      <c r="E24" s="477"/>
      <c r="F24" s="477"/>
      <c r="G24" s="477"/>
      <c r="H24" s="474"/>
      <c r="I24" s="616"/>
      <c r="J24" s="477"/>
      <c r="K24" s="1603">
        <f t="shared" si="0"/>
        <v>0</v>
      </c>
      <c r="L24" s="471"/>
    </row>
    <row r="25" spans="1:12" ht="12.75" customHeight="1" x14ac:dyDescent="0.2">
      <c r="A25" s="1438" t="s">
        <v>802</v>
      </c>
      <c r="B25" s="602" t="s">
        <v>730</v>
      </c>
      <c r="C25" s="477"/>
      <c r="D25" s="477"/>
      <c r="E25" s="477"/>
      <c r="F25" s="477"/>
      <c r="G25" s="477"/>
      <c r="H25" s="474"/>
      <c r="I25" s="616"/>
      <c r="J25" s="477"/>
      <c r="K25" s="1603">
        <f t="shared" si="0"/>
        <v>0</v>
      </c>
      <c r="L25" s="471"/>
    </row>
    <row r="26" spans="1:12" x14ac:dyDescent="0.2">
      <c r="A26" s="1438" t="s">
        <v>622</v>
      </c>
      <c r="B26" s="602" t="s">
        <v>731</v>
      </c>
      <c r="C26" s="477"/>
      <c r="D26" s="477"/>
      <c r="E26" s="477"/>
      <c r="F26" s="477"/>
      <c r="G26" s="477"/>
      <c r="H26" s="474"/>
      <c r="I26" s="616"/>
      <c r="J26" s="477"/>
      <c r="K26" s="1603">
        <f t="shared" si="0"/>
        <v>0</v>
      </c>
      <c r="L26" s="471"/>
    </row>
    <row r="27" spans="1:12" x14ac:dyDescent="0.2">
      <c r="A27" s="1438" t="s">
        <v>623</v>
      </c>
      <c r="B27" s="602" t="s">
        <v>732</v>
      </c>
      <c r="C27" s="477"/>
      <c r="D27" s="477"/>
      <c r="E27" s="477"/>
      <c r="F27" s="477"/>
      <c r="G27" s="477"/>
      <c r="H27" s="474"/>
      <c r="I27" s="616"/>
      <c r="J27" s="477"/>
      <c r="K27" s="1603">
        <f t="shared" si="0"/>
        <v>0</v>
      </c>
      <c r="L27" s="471"/>
    </row>
    <row r="28" spans="1:12" x14ac:dyDescent="0.2">
      <c r="A28" s="1438" t="s">
        <v>150</v>
      </c>
      <c r="B28" s="602" t="s">
        <v>733</v>
      </c>
      <c r="C28" s="477"/>
      <c r="D28" s="477"/>
      <c r="E28" s="477"/>
      <c r="F28" s="477"/>
      <c r="G28" s="477"/>
      <c r="H28" s="474"/>
      <c r="I28" s="616"/>
      <c r="J28" s="477"/>
      <c r="K28" s="1603">
        <f t="shared" si="0"/>
        <v>0</v>
      </c>
      <c r="L28" s="471"/>
    </row>
    <row r="29" spans="1:12" x14ac:dyDescent="0.2">
      <c r="A29" s="1438" t="s">
        <v>151</v>
      </c>
      <c r="B29" s="602" t="s">
        <v>734</v>
      </c>
      <c r="C29" s="477"/>
      <c r="D29" s="477"/>
      <c r="E29" s="477"/>
      <c r="F29" s="477"/>
      <c r="G29" s="477"/>
      <c r="H29" s="474"/>
      <c r="I29" s="616"/>
      <c r="J29" s="477"/>
      <c r="K29" s="1603">
        <f t="shared" si="0"/>
        <v>0</v>
      </c>
      <c r="L29" s="471"/>
    </row>
    <row r="30" spans="1:12" x14ac:dyDescent="0.2">
      <c r="A30" s="1438" t="s">
        <v>152</v>
      </c>
      <c r="B30" s="602" t="s">
        <v>735</v>
      </c>
      <c r="C30" s="477"/>
      <c r="D30" s="477"/>
      <c r="E30" s="477"/>
      <c r="F30" s="477"/>
      <c r="G30" s="477"/>
      <c r="H30" s="474"/>
      <c r="I30" s="616"/>
      <c r="J30" s="477"/>
      <c r="K30" s="1603">
        <f t="shared" si="0"/>
        <v>0</v>
      </c>
      <c r="L30" s="471"/>
    </row>
    <row r="31" spans="1:12" x14ac:dyDescent="0.2">
      <c r="A31" s="1438" t="s">
        <v>153</v>
      </c>
      <c r="B31" s="602" t="s">
        <v>736</v>
      </c>
      <c r="C31" s="477"/>
      <c r="D31" s="477"/>
      <c r="E31" s="477"/>
      <c r="F31" s="477"/>
      <c r="G31" s="477"/>
      <c r="H31" s="474"/>
      <c r="I31" s="616"/>
      <c r="J31" s="477"/>
      <c r="K31" s="1603">
        <f t="shared" si="0"/>
        <v>0</v>
      </c>
      <c r="L31" s="471"/>
    </row>
    <row r="32" spans="1:12" x14ac:dyDescent="0.2">
      <c r="A32" s="1439" t="s">
        <v>1129</v>
      </c>
      <c r="B32" s="614" t="s">
        <v>737</v>
      </c>
      <c r="C32" s="477"/>
      <c r="D32" s="477"/>
      <c r="E32" s="477"/>
      <c r="F32" s="477"/>
      <c r="G32" s="477"/>
      <c r="H32" s="474"/>
      <c r="I32" s="616"/>
      <c r="J32" s="480"/>
      <c r="K32" s="1603">
        <f t="shared" si="0"/>
        <v>0</v>
      </c>
      <c r="L32" s="471"/>
    </row>
    <row r="33" spans="1:14" ht="12.75" customHeight="1" thickBot="1" x14ac:dyDescent="0.25">
      <c r="A33" s="1600" t="s">
        <v>1657</v>
      </c>
      <c r="B33" s="1601" t="s">
        <v>570</v>
      </c>
      <c r="C33" s="1602">
        <f>SUM(C5:C32)</f>
        <v>1762678618</v>
      </c>
      <c r="D33" s="1602">
        <f t="shared" ref="D33:L33" si="1">SUM(D5:D32)</f>
        <v>900075854</v>
      </c>
      <c r="E33" s="1602">
        <f t="shared" si="1"/>
        <v>776879269</v>
      </c>
      <c r="F33" s="1602">
        <f t="shared" si="1"/>
        <v>67412060</v>
      </c>
      <c r="G33" s="1602">
        <f t="shared" si="1"/>
        <v>41865</v>
      </c>
      <c r="H33" s="1602">
        <f t="shared" si="1"/>
        <v>56821072</v>
      </c>
      <c r="I33" s="1602">
        <f t="shared" si="1"/>
        <v>30343493</v>
      </c>
      <c r="J33" s="1602">
        <f t="shared" si="1"/>
        <v>16521815</v>
      </c>
      <c r="K33" s="1602">
        <f t="shared" si="1"/>
        <v>3610774046</v>
      </c>
      <c r="L33" s="1602">
        <f t="shared" si="1"/>
        <v>3952304233</v>
      </c>
    </row>
    <row r="34" spans="1:14" s="620" customFormat="1" ht="15.75" customHeight="1" thickTop="1" x14ac:dyDescent="0.2">
      <c r="A34" s="1541" t="s">
        <v>46</v>
      </c>
      <c r="B34" s="1542"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437" t="s">
        <v>1089</v>
      </c>
      <c r="B36" s="614">
        <v>2110</v>
      </c>
      <c r="C36" s="481">
        <v>41445364</v>
      </c>
      <c r="D36" s="481">
        <v>10321929</v>
      </c>
      <c r="E36" s="481">
        <v>4800949</v>
      </c>
      <c r="F36" s="481">
        <v>4063248</v>
      </c>
      <c r="G36" s="481"/>
      <c r="H36" s="481"/>
      <c r="I36" s="467">
        <v>213880</v>
      </c>
      <c r="J36" s="467">
        <v>362411</v>
      </c>
      <c r="K36" s="1603">
        <f t="shared" ref="K36:K41" si="2">SUM(C36:J36)</f>
        <v>61207781</v>
      </c>
      <c r="L36" s="466">
        <v>59395097</v>
      </c>
    </row>
    <row r="37" spans="1:14" x14ac:dyDescent="0.2">
      <c r="A37" s="1437" t="s">
        <v>1090</v>
      </c>
      <c r="B37" s="614">
        <v>2120</v>
      </c>
      <c r="C37" s="466">
        <v>86064729</v>
      </c>
      <c r="D37" s="466">
        <v>22382643</v>
      </c>
      <c r="E37" s="466">
        <v>9021200</v>
      </c>
      <c r="F37" s="466">
        <v>456766</v>
      </c>
      <c r="G37" s="466"/>
      <c r="H37" s="466">
        <v>535085</v>
      </c>
      <c r="I37" s="467">
        <v>117161</v>
      </c>
      <c r="J37" s="467">
        <v>753900</v>
      </c>
      <c r="K37" s="1603">
        <f t="shared" si="2"/>
        <v>119331484</v>
      </c>
      <c r="L37" s="466">
        <v>118160986</v>
      </c>
    </row>
    <row r="38" spans="1:14" x14ac:dyDescent="0.2">
      <c r="A38" s="1437" t="s">
        <v>198</v>
      </c>
      <c r="B38" s="614">
        <v>2130</v>
      </c>
      <c r="C38" s="466">
        <v>18749294</v>
      </c>
      <c r="D38" s="466">
        <v>4702542</v>
      </c>
      <c r="E38" s="466">
        <v>7721111</v>
      </c>
      <c r="F38" s="466">
        <v>137057</v>
      </c>
      <c r="G38" s="466"/>
      <c r="H38" s="466">
        <v>164180</v>
      </c>
      <c r="I38" s="467">
        <v>15246</v>
      </c>
      <c r="J38" s="467">
        <v>225292</v>
      </c>
      <c r="K38" s="1603">
        <f t="shared" si="2"/>
        <v>31714722</v>
      </c>
      <c r="L38" s="466">
        <v>42913397</v>
      </c>
    </row>
    <row r="39" spans="1:14" x14ac:dyDescent="0.2">
      <c r="A39" s="1437" t="s">
        <v>199</v>
      </c>
      <c r="B39" s="614">
        <v>2140</v>
      </c>
      <c r="C39" s="466">
        <v>19869046</v>
      </c>
      <c r="D39" s="466">
        <v>5089242</v>
      </c>
      <c r="E39" s="466">
        <v>310689</v>
      </c>
      <c r="F39" s="466">
        <v>144349</v>
      </c>
      <c r="G39" s="466"/>
      <c r="H39" s="466"/>
      <c r="I39" s="467"/>
      <c r="J39" s="467">
        <v>163913</v>
      </c>
      <c r="K39" s="1603">
        <f t="shared" si="2"/>
        <v>25577239</v>
      </c>
      <c r="L39" s="466">
        <v>28311663</v>
      </c>
    </row>
    <row r="40" spans="1:14" x14ac:dyDescent="0.2">
      <c r="A40" s="1437" t="s">
        <v>200</v>
      </c>
      <c r="B40" s="614">
        <v>2150</v>
      </c>
      <c r="C40" s="466">
        <v>26738393</v>
      </c>
      <c r="D40" s="466">
        <v>6821089</v>
      </c>
      <c r="E40" s="466">
        <v>779134</v>
      </c>
      <c r="F40" s="466">
        <v>54571</v>
      </c>
      <c r="G40" s="466"/>
      <c r="H40" s="466"/>
      <c r="I40" s="467"/>
      <c r="J40" s="467">
        <v>218567</v>
      </c>
      <c r="K40" s="1603">
        <f t="shared" si="2"/>
        <v>34611754</v>
      </c>
      <c r="L40" s="466">
        <v>38166592</v>
      </c>
    </row>
    <row r="41" spans="1:14" x14ac:dyDescent="0.2">
      <c r="A41" s="1437" t="s">
        <v>1658</v>
      </c>
      <c r="B41" s="614">
        <v>2190</v>
      </c>
      <c r="C41" s="466">
        <v>18987408</v>
      </c>
      <c r="D41" s="466">
        <v>3535809</v>
      </c>
      <c r="E41" s="466">
        <v>3242971</v>
      </c>
      <c r="F41" s="466">
        <v>138443</v>
      </c>
      <c r="G41" s="466"/>
      <c r="H41" s="466"/>
      <c r="I41" s="467">
        <v>8857</v>
      </c>
      <c r="J41" s="467">
        <v>108709</v>
      </c>
      <c r="K41" s="1603">
        <f t="shared" si="2"/>
        <v>26022197</v>
      </c>
      <c r="L41" s="466">
        <v>25971438</v>
      </c>
    </row>
    <row r="42" spans="1:14" ht="12.75" customHeight="1" thickBot="1" x14ac:dyDescent="0.25">
      <c r="A42" s="1600" t="s">
        <v>560</v>
      </c>
      <c r="B42" s="1601" t="s">
        <v>716</v>
      </c>
      <c r="C42" s="1602">
        <f>SUM(C36:C41)</f>
        <v>211854234</v>
      </c>
      <c r="D42" s="1602">
        <f t="shared" ref="D42:L42" si="3">SUM(D36:D41)</f>
        <v>52853254</v>
      </c>
      <c r="E42" s="1602">
        <f t="shared" si="3"/>
        <v>25876054</v>
      </c>
      <c r="F42" s="1602">
        <f t="shared" si="3"/>
        <v>4994434</v>
      </c>
      <c r="G42" s="1602">
        <f t="shared" si="3"/>
        <v>0</v>
      </c>
      <c r="H42" s="1602">
        <f t="shared" si="3"/>
        <v>699265</v>
      </c>
      <c r="I42" s="1602">
        <f t="shared" si="3"/>
        <v>355144</v>
      </c>
      <c r="J42" s="1602">
        <f t="shared" si="3"/>
        <v>1832792</v>
      </c>
      <c r="K42" s="1602">
        <f t="shared" si="3"/>
        <v>298465177</v>
      </c>
      <c r="L42" s="1602">
        <f t="shared" si="3"/>
        <v>312919173</v>
      </c>
    </row>
    <row r="43" spans="1:14" ht="15.75" customHeight="1" thickTop="1" x14ac:dyDescent="0.2">
      <c r="A43" s="624" t="s">
        <v>592</v>
      </c>
      <c r="B43" s="625"/>
      <c r="C43" s="626"/>
      <c r="D43" s="626"/>
      <c r="E43" s="626"/>
      <c r="F43" s="626"/>
      <c r="G43" s="626"/>
      <c r="H43" s="626"/>
      <c r="I43" s="616"/>
      <c r="J43" s="616"/>
      <c r="K43" s="626"/>
      <c r="L43" s="626"/>
    </row>
    <row r="44" spans="1:14" x14ac:dyDescent="0.2">
      <c r="A44" s="1437" t="s">
        <v>814</v>
      </c>
      <c r="B44" s="614">
        <v>2210</v>
      </c>
      <c r="C44" s="481">
        <v>73588556</v>
      </c>
      <c r="D44" s="481">
        <v>14940260</v>
      </c>
      <c r="E44" s="481">
        <v>22870609</v>
      </c>
      <c r="F44" s="481">
        <v>29223632</v>
      </c>
      <c r="G44" s="481"/>
      <c r="H44" s="481">
        <v>170770</v>
      </c>
      <c r="I44" s="467">
        <v>474292</v>
      </c>
      <c r="J44" s="467">
        <v>343441</v>
      </c>
      <c r="K44" s="1604">
        <f>SUM(C44:J44)</f>
        <v>141611560</v>
      </c>
      <c r="L44" s="481">
        <v>120758730</v>
      </c>
    </row>
    <row r="45" spans="1:14" x14ac:dyDescent="0.2">
      <c r="A45" s="1437" t="s">
        <v>815</v>
      </c>
      <c r="B45" s="614">
        <v>2220</v>
      </c>
      <c r="C45" s="466">
        <v>19373589</v>
      </c>
      <c r="D45" s="466">
        <v>5060837</v>
      </c>
      <c r="E45" s="466">
        <v>1830672</v>
      </c>
      <c r="F45" s="466">
        <v>2807031</v>
      </c>
      <c r="G45" s="466">
        <v>6750</v>
      </c>
      <c r="H45" s="466"/>
      <c r="I45" s="467">
        <v>8745783</v>
      </c>
      <c r="J45" s="467">
        <v>205251</v>
      </c>
      <c r="K45" s="1604">
        <f>SUM(C45:J45)</f>
        <v>38029913</v>
      </c>
      <c r="L45" s="466">
        <v>29552827</v>
      </c>
    </row>
    <row r="46" spans="1:14" x14ac:dyDescent="0.2">
      <c r="A46" s="1437" t="s">
        <v>816</v>
      </c>
      <c r="B46" s="614">
        <v>2230</v>
      </c>
      <c r="C46" s="466">
        <v>4945384</v>
      </c>
      <c r="D46" s="466">
        <v>242308</v>
      </c>
      <c r="E46" s="466">
        <v>5607933</v>
      </c>
      <c r="F46" s="466">
        <v>1325817</v>
      </c>
      <c r="G46" s="466"/>
      <c r="H46" s="466"/>
      <c r="I46" s="467">
        <v>4405</v>
      </c>
      <c r="J46" s="467">
        <v>13924</v>
      </c>
      <c r="K46" s="1604">
        <f>SUM(C46:J46)</f>
        <v>12139771</v>
      </c>
      <c r="L46" s="466">
        <v>10590100</v>
      </c>
    </row>
    <row r="47" spans="1:14" ht="12.75" customHeight="1" thickBot="1" x14ac:dyDescent="0.25">
      <c r="A47" s="1600" t="s">
        <v>561</v>
      </c>
      <c r="B47" s="1601" t="s">
        <v>32</v>
      </c>
      <c r="C47" s="1602">
        <f>SUM(C44:C46)</f>
        <v>97907529</v>
      </c>
      <c r="D47" s="1602">
        <f t="shared" ref="D47:K47" si="4">SUM(D44:D46)</f>
        <v>20243405</v>
      </c>
      <c r="E47" s="1602">
        <f t="shared" si="4"/>
        <v>30309214</v>
      </c>
      <c r="F47" s="1602">
        <f t="shared" si="4"/>
        <v>33356480</v>
      </c>
      <c r="G47" s="1602">
        <f t="shared" si="4"/>
        <v>6750</v>
      </c>
      <c r="H47" s="1602">
        <f t="shared" si="4"/>
        <v>170770</v>
      </c>
      <c r="I47" s="1602">
        <f t="shared" si="4"/>
        <v>9224480</v>
      </c>
      <c r="J47" s="1602">
        <f t="shared" si="4"/>
        <v>562616</v>
      </c>
      <c r="K47" s="1602">
        <f t="shared" si="4"/>
        <v>191781244</v>
      </c>
      <c r="L47" s="1602">
        <f>SUM(L44:L46)</f>
        <v>160901657</v>
      </c>
    </row>
    <row r="48" spans="1:14" ht="15.75" customHeight="1" thickTop="1" x14ac:dyDescent="0.2">
      <c r="A48" s="624" t="s">
        <v>610</v>
      </c>
      <c r="B48" s="625"/>
      <c r="C48" s="626"/>
      <c r="D48" s="626"/>
      <c r="E48" s="626"/>
      <c r="F48" s="626"/>
      <c r="G48" s="626"/>
      <c r="H48" s="626"/>
      <c r="I48" s="616"/>
      <c r="J48" s="616"/>
      <c r="K48" s="626"/>
      <c r="L48" s="626"/>
    </row>
    <row r="49" spans="1:14" x14ac:dyDescent="0.2">
      <c r="A49" s="1437" t="s">
        <v>817</v>
      </c>
      <c r="B49" s="614">
        <v>2310</v>
      </c>
      <c r="C49" s="481">
        <v>18709150</v>
      </c>
      <c r="D49" s="481">
        <v>2988042</v>
      </c>
      <c r="E49" s="481">
        <v>14762896</v>
      </c>
      <c r="F49" s="481">
        <v>386328</v>
      </c>
      <c r="G49" s="481"/>
      <c r="H49" s="481">
        <v>14300000</v>
      </c>
      <c r="I49" s="467">
        <v>25814</v>
      </c>
      <c r="J49" s="467">
        <v>249232</v>
      </c>
      <c r="K49" s="1604">
        <f>SUM(C49:J49)</f>
        <v>51421462</v>
      </c>
      <c r="L49" s="481">
        <v>56111312</v>
      </c>
    </row>
    <row r="50" spans="1:14" x14ac:dyDescent="0.2">
      <c r="A50" s="1437" t="s">
        <v>818</v>
      </c>
      <c r="B50" s="614">
        <v>2320</v>
      </c>
      <c r="C50" s="466">
        <v>2923048</v>
      </c>
      <c r="D50" s="466">
        <v>414154</v>
      </c>
      <c r="E50" s="466">
        <v>467812</v>
      </c>
      <c r="F50" s="466">
        <v>26127</v>
      </c>
      <c r="G50" s="466"/>
      <c r="H50" s="466"/>
      <c r="I50" s="467">
        <v>643</v>
      </c>
      <c r="J50" s="467">
        <v>38940</v>
      </c>
      <c r="K50" s="1604">
        <f>SUM(C50:J50)</f>
        <v>3870724</v>
      </c>
      <c r="L50" s="466">
        <v>3759156</v>
      </c>
    </row>
    <row r="51" spans="1:14" x14ac:dyDescent="0.2">
      <c r="A51" s="1437" t="s">
        <v>42</v>
      </c>
      <c r="B51" s="614">
        <v>2330</v>
      </c>
      <c r="C51" s="466">
        <v>7964710</v>
      </c>
      <c r="D51" s="466">
        <v>1407075</v>
      </c>
      <c r="E51" s="466">
        <v>1155943</v>
      </c>
      <c r="F51" s="466">
        <v>108293</v>
      </c>
      <c r="G51" s="466">
        <v>12800</v>
      </c>
      <c r="H51" s="466">
        <v>123709</v>
      </c>
      <c r="I51" s="467">
        <v>252515</v>
      </c>
      <c r="J51" s="467">
        <v>56883</v>
      </c>
      <c r="K51" s="1604">
        <f>SUM(C51:J51)</f>
        <v>11081928</v>
      </c>
      <c r="L51" s="466">
        <v>10016676</v>
      </c>
    </row>
    <row r="52" spans="1:14" ht="22.5" x14ac:dyDescent="0.2">
      <c r="A52" s="1438" t="s">
        <v>298</v>
      </c>
      <c r="B52" s="627" t="s">
        <v>366</v>
      </c>
      <c r="C52" s="474"/>
      <c r="D52" s="474"/>
      <c r="E52" s="474"/>
      <c r="F52" s="474"/>
      <c r="G52" s="474"/>
      <c r="H52" s="474"/>
      <c r="I52" s="474"/>
      <c r="J52" s="474"/>
      <c r="K52" s="1604">
        <f>SUM(C52:J52)</f>
        <v>0</v>
      </c>
      <c r="L52" s="474">
        <v>0</v>
      </c>
    </row>
    <row r="53" spans="1:14" ht="12.75" customHeight="1" thickBot="1" x14ac:dyDescent="0.25">
      <c r="A53" s="1600" t="s">
        <v>717</v>
      </c>
      <c r="B53" s="1601" t="s">
        <v>33</v>
      </c>
      <c r="C53" s="1602">
        <f>SUM(C49:C52)</f>
        <v>29596908</v>
      </c>
      <c r="D53" s="1602">
        <f t="shared" ref="D53:L53" si="5">SUM(D49:D52)</f>
        <v>4809271</v>
      </c>
      <c r="E53" s="1602">
        <f t="shared" si="5"/>
        <v>16386651</v>
      </c>
      <c r="F53" s="1602">
        <f t="shared" si="5"/>
        <v>520748</v>
      </c>
      <c r="G53" s="1602">
        <f t="shared" si="5"/>
        <v>12800</v>
      </c>
      <c r="H53" s="1602">
        <f t="shared" si="5"/>
        <v>14423709</v>
      </c>
      <c r="I53" s="1602">
        <f t="shared" si="5"/>
        <v>278972</v>
      </c>
      <c r="J53" s="1602">
        <f t="shared" si="5"/>
        <v>345055</v>
      </c>
      <c r="K53" s="1602">
        <f t="shared" si="5"/>
        <v>66374114</v>
      </c>
      <c r="L53" s="1602">
        <f t="shared" si="5"/>
        <v>69887144</v>
      </c>
    </row>
    <row r="54" spans="1:14" ht="15.75" customHeight="1" thickTop="1" x14ac:dyDescent="0.2">
      <c r="A54" s="624" t="s">
        <v>611</v>
      </c>
      <c r="B54" s="625"/>
      <c r="C54" s="626"/>
      <c r="D54" s="626"/>
      <c r="E54" s="626"/>
      <c r="F54" s="626"/>
      <c r="G54" s="626"/>
      <c r="H54" s="626"/>
      <c r="I54" s="616"/>
      <c r="J54" s="616"/>
      <c r="K54" s="626"/>
      <c r="L54" s="626"/>
    </row>
    <row r="55" spans="1:14" x14ac:dyDescent="0.2">
      <c r="A55" s="1437" t="s">
        <v>1067</v>
      </c>
      <c r="B55" s="614">
        <v>2410</v>
      </c>
      <c r="C55" s="481">
        <v>159499437</v>
      </c>
      <c r="D55" s="481">
        <v>38087828</v>
      </c>
      <c r="E55" s="481">
        <v>3581682</v>
      </c>
      <c r="F55" s="481">
        <v>5965635</v>
      </c>
      <c r="G55" s="481"/>
      <c r="H55" s="481"/>
      <c r="I55" s="467">
        <v>2170922</v>
      </c>
      <c r="J55" s="467">
        <v>1700769</v>
      </c>
      <c r="K55" s="1604">
        <f>SUM(C55:J55)</f>
        <v>211006273</v>
      </c>
      <c r="L55" s="481">
        <v>213854054</v>
      </c>
    </row>
    <row r="56" spans="1:14" ht="12.75" customHeight="1" x14ac:dyDescent="0.2">
      <c r="A56" s="1441" t="s">
        <v>376</v>
      </c>
      <c r="B56" s="628">
        <v>2490</v>
      </c>
      <c r="C56" s="466">
        <v>553660</v>
      </c>
      <c r="D56" s="466">
        <v>85614</v>
      </c>
      <c r="E56" s="466">
        <v>74785</v>
      </c>
      <c r="F56" s="466">
        <v>6387</v>
      </c>
      <c r="G56" s="466"/>
      <c r="H56" s="466"/>
      <c r="I56" s="467"/>
      <c r="J56" s="467">
        <v>6624</v>
      </c>
      <c r="K56" s="1604">
        <f>SUM(C56:J56)</f>
        <v>727070</v>
      </c>
      <c r="L56" s="466">
        <v>1290511</v>
      </c>
    </row>
    <row r="57" spans="1:14" s="343" customFormat="1" ht="12.75" customHeight="1" thickBot="1" x14ac:dyDescent="0.25">
      <c r="A57" s="1600" t="s">
        <v>263</v>
      </c>
      <c r="B57" s="1605" t="s">
        <v>34</v>
      </c>
      <c r="C57" s="1606">
        <f>SUM(C55:C56)</f>
        <v>160053097</v>
      </c>
      <c r="D57" s="1606">
        <f t="shared" ref="D57:K57" si="6">SUM(D55:D56)</f>
        <v>38173442</v>
      </c>
      <c r="E57" s="1606">
        <f t="shared" si="6"/>
        <v>3656467</v>
      </c>
      <c r="F57" s="1606">
        <f t="shared" si="6"/>
        <v>5972022</v>
      </c>
      <c r="G57" s="1606">
        <f t="shared" si="6"/>
        <v>0</v>
      </c>
      <c r="H57" s="1606">
        <f t="shared" si="6"/>
        <v>0</v>
      </c>
      <c r="I57" s="1606">
        <f t="shared" si="6"/>
        <v>2170922</v>
      </c>
      <c r="J57" s="1606">
        <f t="shared" si="6"/>
        <v>1707393</v>
      </c>
      <c r="K57" s="1606">
        <f t="shared" si="6"/>
        <v>211733343</v>
      </c>
      <c r="L57" s="1602">
        <f>SUM(L55:L56)</f>
        <v>215144565</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437" t="s">
        <v>1068</v>
      </c>
      <c r="B59" s="614">
        <v>2510</v>
      </c>
      <c r="C59" s="481">
        <v>4097915</v>
      </c>
      <c r="D59" s="481">
        <v>783263</v>
      </c>
      <c r="E59" s="481">
        <v>434730</v>
      </c>
      <c r="F59" s="481">
        <v>43080</v>
      </c>
      <c r="G59" s="481"/>
      <c r="H59" s="481"/>
      <c r="I59" s="467">
        <v>6595</v>
      </c>
      <c r="J59" s="467">
        <v>61301</v>
      </c>
      <c r="K59" s="1604">
        <f t="shared" ref="K59:K64" si="7">SUM(C59:J59)</f>
        <v>5426884</v>
      </c>
      <c r="L59" s="481">
        <v>7245991</v>
      </c>
      <c r="M59" s="609"/>
      <c r="N59" s="609"/>
    </row>
    <row r="60" spans="1:14" s="343" customFormat="1" x14ac:dyDescent="0.2">
      <c r="A60" s="1437" t="s">
        <v>463</v>
      </c>
      <c r="B60" s="614">
        <v>2520</v>
      </c>
      <c r="C60" s="466">
        <v>10066663</v>
      </c>
      <c r="D60" s="466">
        <v>1631700</v>
      </c>
      <c r="E60" s="466">
        <v>5272022</v>
      </c>
      <c r="F60" s="466">
        <v>77170</v>
      </c>
      <c r="G60" s="466"/>
      <c r="H60" s="466"/>
      <c r="I60" s="467">
        <v>2681</v>
      </c>
      <c r="J60" s="467">
        <v>159801</v>
      </c>
      <c r="K60" s="1604">
        <f t="shared" si="7"/>
        <v>17210037</v>
      </c>
      <c r="L60" s="466">
        <v>37193577</v>
      </c>
      <c r="M60" s="609"/>
      <c r="N60" s="609"/>
    </row>
    <row r="61" spans="1:14" s="343" customFormat="1" x14ac:dyDescent="0.2">
      <c r="A61" s="1437" t="s">
        <v>197</v>
      </c>
      <c r="B61" s="614">
        <v>2540</v>
      </c>
      <c r="C61" s="466">
        <v>18215057</v>
      </c>
      <c r="D61" s="466">
        <v>4695294</v>
      </c>
      <c r="E61" s="466">
        <v>51368111</v>
      </c>
      <c r="F61" s="466">
        <v>3745693</v>
      </c>
      <c r="G61" s="466">
        <v>18691</v>
      </c>
      <c r="H61" s="466">
        <v>152233</v>
      </c>
      <c r="I61" s="467">
        <f>318626+1154262</f>
        <v>1472888</v>
      </c>
      <c r="J61" s="467">
        <v>169885</v>
      </c>
      <c r="K61" s="1604">
        <f t="shared" si="7"/>
        <v>79837852</v>
      </c>
      <c r="L61" s="466">
        <v>106052245</v>
      </c>
      <c r="M61" s="609"/>
      <c r="N61" s="609"/>
    </row>
    <row r="62" spans="1:14" s="343" customFormat="1" x14ac:dyDescent="0.2">
      <c r="A62" s="1437" t="s">
        <v>953</v>
      </c>
      <c r="B62" s="614">
        <v>2550</v>
      </c>
      <c r="C62" s="466">
        <v>17562570</v>
      </c>
      <c r="D62" s="466">
        <v>6145531</v>
      </c>
      <c r="E62" s="466">
        <v>98137545</v>
      </c>
      <c r="F62" s="466">
        <v>213239</v>
      </c>
      <c r="G62" s="466"/>
      <c r="H62" s="466">
        <v>387</v>
      </c>
      <c r="I62" s="467">
        <v>200521</v>
      </c>
      <c r="J62" s="467">
        <v>262376</v>
      </c>
      <c r="K62" s="1604">
        <f t="shared" si="7"/>
        <v>122522169</v>
      </c>
      <c r="L62" s="466">
        <v>128264699</v>
      </c>
      <c r="M62" s="609"/>
      <c r="N62" s="609"/>
    </row>
    <row r="63" spans="1:14" s="609" customFormat="1" x14ac:dyDescent="0.2">
      <c r="A63" s="1437" t="s">
        <v>100</v>
      </c>
      <c r="B63" s="614">
        <v>2560</v>
      </c>
      <c r="C63" s="466">
        <v>69321548</v>
      </c>
      <c r="D63" s="466">
        <v>26089872</v>
      </c>
      <c r="E63" s="466">
        <v>5335214</v>
      </c>
      <c r="F63" s="466">
        <v>99102559</v>
      </c>
      <c r="G63" s="466"/>
      <c r="H63" s="466">
        <v>7240</v>
      </c>
      <c r="I63" s="467">
        <v>4001574</v>
      </c>
      <c r="J63" s="467">
        <v>941951</v>
      </c>
      <c r="K63" s="1604">
        <f t="shared" si="7"/>
        <v>204799958</v>
      </c>
      <c r="L63" s="466">
        <v>230767388</v>
      </c>
    </row>
    <row r="64" spans="1:14" s="609" customFormat="1" x14ac:dyDescent="0.2">
      <c r="A64" s="1442" t="s">
        <v>101</v>
      </c>
      <c r="B64" s="630">
        <v>2570</v>
      </c>
      <c r="C64" s="481">
        <v>2987447</v>
      </c>
      <c r="D64" s="481">
        <v>549719</v>
      </c>
      <c r="E64" s="481">
        <v>217137</v>
      </c>
      <c r="F64" s="481">
        <v>130287</v>
      </c>
      <c r="G64" s="481"/>
      <c r="H64" s="481"/>
      <c r="I64" s="467"/>
      <c r="J64" s="467">
        <v>48019</v>
      </c>
      <c r="K64" s="1604">
        <f t="shared" si="7"/>
        <v>3932609</v>
      </c>
      <c r="L64" s="481">
        <v>4444333</v>
      </c>
    </row>
    <row r="65" spans="1:14" s="343" customFormat="1" ht="12.75" customHeight="1" thickBot="1" x14ac:dyDescent="0.25">
      <c r="A65" s="1600" t="s">
        <v>719</v>
      </c>
      <c r="B65" s="1601" t="s">
        <v>35</v>
      </c>
      <c r="C65" s="1602">
        <f>SUM(C59:C64)</f>
        <v>122251200</v>
      </c>
      <c r="D65" s="1602">
        <f t="shared" ref="D65:L65" si="8">SUM(D59:D64)</f>
        <v>39895379</v>
      </c>
      <c r="E65" s="1602">
        <f t="shared" si="8"/>
        <v>160764759</v>
      </c>
      <c r="F65" s="1602">
        <f t="shared" si="8"/>
        <v>103312028</v>
      </c>
      <c r="G65" s="1602">
        <f t="shared" si="8"/>
        <v>18691</v>
      </c>
      <c r="H65" s="1602">
        <f t="shared" si="8"/>
        <v>159860</v>
      </c>
      <c r="I65" s="1602">
        <f t="shared" si="8"/>
        <v>5684259</v>
      </c>
      <c r="J65" s="1602">
        <f t="shared" si="8"/>
        <v>1643333</v>
      </c>
      <c r="K65" s="1602">
        <f t="shared" si="8"/>
        <v>433729509</v>
      </c>
      <c r="L65" s="1602">
        <f t="shared" si="8"/>
        <v>513968233</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437" t="s">
        <v>1060</v>
      </c>
      <c r="B67" s="614">
        <v>2610</v>
      </c>
      <c r="C67" s="466">
        <v>5387634</v>
      </c>
      <c r="D67" s="466">
        <v>1232001</v>
      </c>
      <c r="E67" s="466">
        <v>460858</v>
      </c>
      <c r="F67" s="466">
        <v>29736</v>
      </c>
      <c r="G67" s="466"/>
      <c r="H67" s="466"/>
      <c r="I67" s="467">
        <v>50990</v>
      </c>
      <c r="J67" s="467">
        <v>72819</v>
      </c>
      <c r="K67" s="1604">
        <f>SUM(C67:J67)</f>
        <v>7234038</v>
      </c>
      <c r="L67" s="481">
        <v>4120206</v>
      </c>
      <c r="M67" s="609"/>
      <c r="N67" s="609"/>
    </row>
    <row r="68" spans="1:14" s="343" customFormat="1" x14ac:dyDescent="0.2">
      <c r="A68" s="1437" t="s">
        <v>607</v>
      </c>
      <c r="B68" s="614">
        <v>2620</v>
      </c>
      <c r="C68" s="466">
        <v>4843182</v>
      </c>
      <c r="D68" s="466">
        <v>872780</v>
      </c>
      <c r="E68" s="466">
        <v>2064839</v>
      </c>
      <c r="F68" s="466">
        <v>24172</v>
      </c>
      <c r="G68" s="466"/>
      <c r="H68" s="466"/>
      <c r="I68" s="467">
        <v>1856</v>
      </c>
      <c r="J68" s="467">
        <v>52230</v>
      </c>
      <c r="K68" s="1604">
        <f>SUM(C68:J68)</f>
        <v>7859059</v>
      </c>
      <c r="L68" s="466">
        <v>8539172</v>
      </c>
      <c r="M68" s="609"/>
      <c r="N68" s="609"/>
    </row>
    <row r="69" spans="1:14" s="343" customFormat="1" x14ac:dyDescent="0.2">
      <c r="A69" s="1437" t="s">
        <v>1061</v>
      </c>
      <c r="B69" s="614">
        <v>2630</v>
      </c>
      <c r="C69" s="466">
        <v>157005</v>
      </c>
      <c r="D69" s="466">
        <v>9057</v>
      </c>
      <c r="E69" s="466">
        <v>233234</v>
      </c>
      <c r="F69" s="466">
        <v>21529</v>
      </c>
      <c r="G69" s="466"/>
      <c r="H69" s="466"/>
      <c r="I69" s="467"/>
      <c r="J69" s="467">
        <v>644</v>
      </c>
      <c r="K69" s="1604">
        <f>SUM(C69:J69)</f>
        <v>421469</v>
      </c>
      <c r="L69" s="466">
        <v>212748</v>
      </c>
      <c r="M69" s="609"/>
      <c r="N69" s="609"/>
    </row>
    <row r="70" spans="1:14" s="343" customFormat="1" x14ac:dyDescent="0.2">
      <c r="A70" s="1437" t="s">
        <v>403</v>
      </c>
      <c r="B70" s="614">
        <v>2640</v>
      </c>
      <c r="C70" s="466">
        <v>14743657</v>
      </c>
      <c r="D70" s="466">
        <v>5477653</v>
      </c>
      <c r="E70" s="466">
        <v>2561840</v>
      </c>
      <c r="F70" s="466">
        <v>130305</v>
      </c>
      <c r="G70" s="466"/>
      <c r="H70" s="466"/>
      <c r="I70" s="467">
        <v>1733</v>
      </c>
      <c r="J70" s="467">
        <v>95601</v>
      </c>
      <c r="K70" s="1604">
        <f>SUM(C70:J70)</f>
        <v>23010789</v>
      </c>
      <c r="L70" s="466">
        <v>29289806</v>
      </c>
      <c r="M70" s="609"/>
      <c r="N70" s="609"/>
    </row>
    <row r="71" spans="1:14" s="343" customFormat="1" x14ac:dyDescent="0.2">
      <c r="A71" s="1437" t="s">
        <v>404</v>
      </c>
      <c r="B71" s="614">
        <v>2660</v>
      </c>
      <c r="C71" s="466">
        <v>8821079</v>
      </c>
      <c r="D71" s="466">
        <v>1144098</v>
      </c>
      <c r="E71" s="466">
        <v>16120103</v>
      </c>
      <c r="F71" s="466">
        <v>12271383</v>
      </c>
      <c r="G71" s="466"/>
      <c r="H71" s="466">
        <v>155</v>
      </c>
      <c r="I71" s="467">
        <v>1086317</v>
      </c>
      <c r="J71" s="467">
        <v>110922</v>
      </c>
      <c r="K71" s="1604">
        <f>SUM(C71:J71)</f>
        <v>39554057</v>
      </c>
      <c r="L71" s="466">
        <v>47574584</v>
      </c>
      <c r="M71" s="609"/>
      <c r="N71" s="609"/>
    </row>
    <row r="72" spans="1:14" s="343" customFormat="1" ht="12.75" customHeight="1" thickBot="1" x14ac:dyDescent="0.25">
      <c r="A72" s="1600" t="s">
        <v>37</v>
      </c>
      <c r="B72" s="1607" t="s">
        <v>36</v>
      </c>
      <c r="C72" s="1602">
        <f>SUM(C67:C71)</f>
        <v>33952557</v>
      </c>
      <c r="D72" s="1602">
        <f t="shared" ref="D72:K72" si="9">SUM(D67:D71)</f>
        <v>8735589</v>
      </c>
      <c r="E72" s="1602">
        <f t="shared" si="9"/>
        <v>21440874</v>
      </c>
      <c r="F72" s="1602">
        <f t="shared" si="9"/>
        <v>12477125</v>
      </c>
      <c r="G72" s="1602">
        <f t="shared" si="9"/>
        <v>0</v>
      </c>
      <c r="H72" s="1602">
        <f t="shared" si="9"/>
        <v>155</v>
      </c>
      <c r="I72" s="1602">
        <f t="shared" si="9"/>
        <v>1140896</v>
      </c>
      <c r="J72" s="1602">
        <f t="shared" si="9"/>
        <v>332216</v>
      </c>
      <c r="K72" s="1602">
        <f t="shared" si="9"/>
        <v>78079412</v>
      </c>
      <c r="L72" s="1602">
        <f>SUM(L67:L71)</f>
        <v>89736516</v>
      </c>
      <c r="M72" s="609"/>
      <c r="N72" s="609"/>
    </row>
    <row r="73" spans="1:14" s="343" customFormat="1" ht="14.25" thickTop="1" thickBot="1" x14ac:dyDescent="0.25">
      <c r="A73" s="1443" t="s">
        <v>980</v>
      </c>
      <c r="B73" s="632" t="s">
        <v>574</v>
      </c>
      <c r="C73" s="573">
        <v>4271522</v>
      </c>
      <c r="D73" s="573">
        <v>715570</v>
      </c>
      <c r="E73" s="573">
        <v>3987347</v>
      </c>
      <c r="F73" s="573">
        <v>2662782</v>
      </c>
      <c r="G73" s="573"/>
      <c r="H73" s="573">
        <v>-3940</v>
      </c>
      <c r="I73" s="531">
        <v>1376</v>
      </c>
      <c r="J73" s="531">
        <v>43477</v>
      </c>
      <c r="K73" s="1602">
        <f>SUM(C73:J73)</f>
        <v>11678134</v>
      </c>
      <c r="L73" s="576">
        <v>21418578</v>
      </c>
      <c r="M73" s="609"/>
      <c r="N73" s="609"/>
    </row>
    <row r="74" spans="1:14" ht="12.75" customHeight="1" thickTop="1" thickBot="1" x14ac:dyDescent="0.25">
      <c r="A74" s="1600" t="s">
        <v>811</v>
      </c>
      <c r="B74" s="1608">
        <v>2000</v>
      </c>
      <c r="C74" s="1609">
        <f>SUM(C42,C47,C53,C57,C65,C72,C73)</f>
        <v>659887047</v>
      </c>
      <c r="D74" s="1609">
        <f t="shared" ref="D74:K74" si="10">SUM(D42,D47,D53,D57,D65,D72,D73)</f>
        <v>165425910</v>
      </c>
      <c r="E74" s="1609">
        <f t="shared" si="10"/>
        <v>262421366</v>
      </c>
      <c r="F74" s="1609">
        <f t="shared" si="10"/>
        <v>163295619</v>
      </c>
      <c r="G74" s="1609">
        <f t="shared" si="10"/>
        <v>38241</v>
      </c>
      <c r="H74" s="1609">
        <f t="shared" si="10"/>
        <v>15449819</v>
      </c>
      <c r="I74" s="1609">
        <f t="shared" si="10"/>
        <v>18856049</v>
      </c>
      <c r="J74" s="1609">
        <f t="shared" si="10"/>
        <v>6466882</v>
      </c>
      <c r="K74" s="1609">
        <f t="shared" si="10"/>
        <v>1291840933</v>
      </c>
      <c r="L74" s="1609">
        <f>SUM(L42,L47,L53,L57,L65,L72,L73)</f>
        <v>1383975866</v>
      </c>
    </row>
    <row r="75" spans="1:14" s="259" customFormat="1" ht="15.75" customHeight="1" thickTop="1" thickBot="1" x14ac:dyDescent="0.25">
      <c r="A75" s="1543" t="s">
        <v>47</v>
      </c>
      <c r="B75" s="1544" t="s">
        <v>575</v>
      </c>
      <c r="C75" s="573">
        <v>20444627</v>
      </c>
      <c r="D75" s="573">
        <v>2850054</v>
      </c>
      <c r="E75" s="573">
        <v>35519539</v>
      </c>
      <c r="F75" s="573">
        <v>3910657</v>
      </c>
      <c r="G75" s="573"/>
      <c r="H75" s="573">
        <v>88425</v>
      </c>
      <c r="I75" s="531">
        <v>912952</v>
      </c>
      <c r="J75" s="531">
        <v>72217</v>
      </c>
      <c r="K75" s="1602">
        <f>SUM(C75:J75)</f>
        <v>63798471</v>
      </c>
      <c r="L75" s="576">
        <v>57058458</v>
      </c>
      <c r="M75" s="613"/>
      <c r="N75" s="613"/>
    </row>
    <row r="76" spans="1:14" s="633" customFormat="1" ht="15.75" customHeight="1" thickTop="1" x14ac:dyDescent="0.2">
      <c r="A76" s="1545" t="s">
        <v>365</v>
      </c>
      <c r="B76" s="1542"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437" t="s">
        <v>496</v>
      </c>
      <c r="B78" s="614">
        <v>4110</v>
      </c>
      <c r="C78" s="616"/>
      <c r="D78" s="616"/>
      <c r="E78" s="481">
        <v>69035986</v>
      </c>
      <c r="F78" s="616"/>
      <c r="G78" s="616"/>
      <c r="H78" s="634">
        <v>165309</v>
      </c>
      <c r="I78" s="477"/>
      <c r="J78" s="477"/>
      <c r="K78" s="1603">
        <f t="shared" ref="K78:K83" si="11">SUM(C78:J78)</f>
        <v>69201295</v>
      </c>
      <c r="L78" s="481">
        <v>3436835</v>
      </c>
    </row>
    <row r="79" spans="1:14" x14ac:dyDescent="0.2">
      <c r="A79" s="1437" t="s">
        <v>304</v>
      </c>
      <c r="B79" s="614">
        <v>4120</v>
      </c>
      <c r="C79" s="616"/>
      <c r="D79" s="616"/>
      <c r="E79" s="466"/>
      <c r="F79" s="616"/>
      <c r="G79" s="616"/>
      <c r="H79" s="466"/>
      <c r="I79" s="477"/>
      <c r="J79" s="477"/>
      <c r="K79" s="1603">
        <f t="shared" si="11"/>
        <v>0</v>
      </c>
      <c r="L79" s="466"/>
    </row>
    <row r="80" spans="1:14" x14ac:dyDescent="0.2">
      <c r="A80" s="1437" t="s">
        <v>305</v>
      </c>
      <c r="B80" s="614">
        <v>4130</v>
      </c>
      <c r="C80" s="616"/>
      <c r="D80" s="616"/>
      <c r="E80" s="466"/>
      <c r="F80" s="616"/>
      <c r="G80" s="616"/>
      <c r="H80" s="466"/>
      <c r="I80" s="477"/>
      <c r="J80" s="477"/>
      <c r="K80" s="1603">
        <f t="shared" si="11"/>
        <v>0</v>
      </c>
      <c r="L80" s="466"/>
    </row>
    <row r="81" spans="1:12" x14ac:dyDescent="0.2">
      <c r="A81" s="1437" t="s">
        <v>697</v>
      </c>
      <c r="B81" s="614">
        <v>4140</v>
      </c>
      <c r="C81" s="616"/>
      <c r="D81" s="616"/>
      <c r="E81" s="466"/>
      <c r="F81" s="616"/>
      <c r="G81" s="616"/>
      <c r="H81" s="466"/>
      <c r="I81" s="477"/>
      <c r="J81" s="477"/>
      <c r="K81" s="1603">
        <f t="shared" si="11"/>
        <v>0</v>
      </c>
      <c r="L81" s="466"/>
    </row>
    <row r="82" spans="1:12" x14ac:dyDescent="0.2">
      <c r="A82" s="1437" t="s">
        <v>86</v>
      </c>
      <c r="B82" s="614">
        <v>4170</v>
      </c>
      <c r="C82" s="616"/>
      <c r="D82" s="616"/>
      <c r="E82" s="466"/>
      <c r="F82" s="616"/>
      <c r="G82" s="616"/>
      <c r="H82" s="466"/>
      <c r="I82" s="477"/>
      <c r="J82" s="477"/>
      <c r="K82" s="1603">
        <f t="shared" si="11"/>
        <v>0</v>
      </c>
      <c r="L82" s="466"/>
    </row>
    <row r="83" spans="1:12" x14ac:dyDescent="0.2">
      <c r="A83" s="1441" t="s">
        <v>698</v>
      </c>
      <c r="B83" s="628">
        <v>4190</v>
      </c>
      <c r="C83" s="616"/>
      <c r="D83" s="616"/>
      <c r="E83" s="466"/>
      <c r="F83" s="616"/>
      <c r="G83" s="616"/>
      <c r="H83" s="466"/>
      <c r="I83" s="477"/>
      <c r="J83" s="477"/>
      <c r="K83" s="1603">
        <f t="shared" si="11"/>
        <v>0</v>
      </c>
      <c r="L83" s="466"/>
    </row>
    <row r="84" spans="1:12" ht="13.5" thickBot="1" x14ac:dyDescent="0.25">
      <c r="A84" s="1600" t="s">
        <v>1480</v>
      </c>
      <c r="B84" s="1610">
        <v>4100</v>
      </c>
      <c r="C84" s="616"/>
      <c r="D84" s="616"/>
      <c r="E84" s="1602">
        <f>SUM(E78:E83)</f>
        <v>69035986</v>
      </c>
      <c r="F84" s="616"/>
      <c r="G84" s="616"/>
      <c r="H84" s="1602">
        <f>SUM(H78:H83)</f>
        <v>165309</v>
      </c>
      <c r="I84" s="477"/>
      <c r="J84" s="477"/>
      <c r="K84" s="1602">
        <f>SUM(K78:K83)</f>
        <v>69201295</v>
      </c>
      <c r="L84" s="1602">
        <f>SUM(L78:L83)</f>
        <v>3436835</v>
      </c>
    </row>
    <row r="85" spans="1:12" ht="12.75" customHeight="1" thickTop="1" thickBot="1" x14ac:dyDescent="0.25">
      <c r="A85" s="1444" t="s">
        <v>255</v>
      </c>
      <c r="B85" s="635">
        <v>4210</v>
      </c>
      <c r="C85" s="616"/>
      <c r="D85" s="616"/>
      <c r="E85" s="636"/>
      <c r="F85" s="616"/>
      <c r="G85" s="616"/>
      <c r="H85" s="535"/>
      <c r="I85" s="477"/>
      <c r="J85" s="477"/>
      <c r="K85" s="1609">
        <f>H85</f>
        <v>0</v>
      </c>
      <c r="L85" s="530"/>
    </row>
    <row r="86" spans="1:12" ht="12.75" customHeight="1" thickTop="1" thickBot="1" x14ac:dyDescent="0.25">
      <c r="A86" s="1445" t="s">
        <v>699</v>
      </c>
      <c r="B86" s="637">
        <v>4220</v>
      </c>
      <c r="C86" s="616"/>
      <c r="D86" s="616"/>
      <c r="E86" s="638"/>
      <c r="F86" s="616"/>
      <c r="G86" s="616"/>
      <c r="H86" s="467"/>
      <c r="I86" s="477"/>
      <c r="J86" s="477"/>
      <c r="K86" s="1609">
        <f t="shared" ref="K86:K98" si="12">H86</f>
        <v>0</v>
      </c>
      <c r="L86" s="530"/>
    </row>
    <row r="87" spans="1:12" ht="14.25" thickTop="1" thickBot="1" x14ac:dyDescent="0.25">
      <c r="A87" s="1446" t="s">
        <v>700</v>
      </c>
      <c r="B87" s="639">
        <v>4230</v>
      </c>
      <c r="C87" s="616"/>
      <c r="D87" s="616"/>
      <c r="E87" s="638"/>
      <c r="F87" s="616"/>
      <c r="G87" s="616"/>
      <c r="H87" s="467"/>
      <c r="I87" s="477"/>
      <c r="J87" s="477"/>
      <c r="K87" s="1609">
        <f t="shared" si="12"/>
        <v>0</v>
      </c>
      <c r="L87" s="530"/>
    </row>
    <row r="88" spans="1:12" ht="12.75" customHeight="1" thickTop="1" thickBot="1" x14ac:dyDescent="0.25">
      <c r="A88" s="1446" t="s">
        <v>765</v>
      </c>
      <c r="B88" s="639">
        <v>4240</v>
      </c>
      <c r="C88" s="616"/>
      <c r="D88" s="616"/>
      <c r="E88" s="638"/>
      <c r="F88" s="616"/>
      <c r="G88" s="616"/>
      <c r="H88" s="467"/>
      <c r="I88" s="477"/>
      <c r="J88" s="477"/>
      <c r="K88" s="1609">
        <f t="shared" si="12"/>
        <v>0</v>
      </c>
      <c r="L88" s="530"/>
    </row>
    <row r="89" spans="1:12" ht="12.75" customHeight="1" thickTop="1" thickBot="1" x14ac:dyDescent="0.25">
      <c r="A89" s="1446" t="s">
        <v>701</v>
      </c>
      <c r="B89" s="639">
        <v>4270</v>
      </c>
      <c r="C89" s="616"/>
      <c r="D89" s="616"/>
      <c r="E89" s="638"/>
      <c r="F89" s="616"/>
      <c r="G89" s="616"/>
      <c r="H89" s="467"/>
      <c r="I89" s="477"/>
      <c r="J89" s="477"/>
      <c r="K89" s="1609">
        <f t="shared" si="12"/>
        <v>0</v>
      </c>
      <c r="L89" s="530"/>
    </row>
    <row r="90" spans="1:12" ht="12.75" customHeight="1" thickTop="1" thickBot="1" x14ac:dyDescent="0.25">
      <c r="A90" s="1446" t="s">
        <v>686</v>
      </c>
      <c r="B90" s="639">
        <v>4280</v>
      </c>
      <c r="C90" s="616"/>
      <c r="D90" s="616"/>
      <c r="E90" s="638"/>
      <c r="F90" s="616"/>
      <c r="G90" s="616"/>
      <c r="H90" s="467"/>
      <c r="I90" s="477"/>
      <c r="J90" s="477"/>
      <c r="K90" s="1609">
        <f t="shared" si="12"/>
        <v>0</v>
      </c>
      <c r="L90" s="530"/>
    </row>
    <row r="91" spans="1:12" ht="12.75" customHeight="1" thickTop="1" thickBot="1" x14ac:dyDescent="0.25">
      <c r="A91" s="1446" t="s">
        <v>687</v>
      </c>
      <c r="B91" s="639">
        <v>4290</v>
      </c>
      <c r="C91" s="616"/>
      <c r="D91" s="616"/>
      <c r="E91" s="638"/>
      <c r="F91" s="616"/>
      <c r="G91" s="616"/>
      <c r="H91" s="467"/>
      <c r="I91" s="477"/>
      <c r="J91" s="477"/>
      <c r="K91" s="1609">
        <f t="shared" si="12"/>
        <v>0</v>
      </c>
      <c r="L91" s="530"/>
    </row>
    <row r="92" spans="1:12" ht="14.25" thickTop="1" thickBot="1" x14ac:dyDescent="0.25">
      <c r="A92" s="1612" t="s">
        <v>1555</v>
      </c>
      <c r="B92" s="1610">
        <v>4200</v>
      </c>
      <c r="C92" s="616"/>
      <c r="D92" s="616"/>
      <c r="E92" s="638"/>
      <c r="F92" s="616"/>
      <c r="G92" s="616"/>
      <c r="H92" s="1602">
        <f>SUM(H85:H91)</f>
        <v>0</v>
      </c>
      <c r="I92" s="477"/>
      <c r="J92" s="477"/>
      <c r="K92" s="1609">
        <f t="shared" si="12"/>
        <v>0</v>
      </c>
      <c r="L92" s="1602">
        <f>SUM(L85:L91)</f>
        <v>0</v>
      </c>
    </row>
    <row r="93" spans="1:12" ht="14.25" thickTop="1" thickBot="1" x14ac:dyDescent="0.25">
      <c r="A93" s="1445" t="s">
        <v>688</v>
      </c>
      <c r="B93" s="640">
        <v>4310</v>
      </c>
      <c r="C93" s="616"/>
      <c r="D93" s="616"/>
      <c r="E93" s="638"/>
      <c r="F93" s="616"/>
      <c r="G93" s="616"/>
      <c r="H93" s="641"/>
      <c r="I93" s="477"/>
      <c r="J93" s="477"/>
      <c r="K93" s="1609">
        <f t="shared" si="12"/>
        <v>0</v>
      </c>
      <c r="L93" s="532"/>
    </row>
    <row r="94" spans="1:12" ht="12.75" customHeight="1" thickTop="1" thickBot="1" x14ac:dyDescent="0.25">
      <c r="A94" s="1446" t="s">
        <v>689</v>
      </c>
      <c r="B94" s="639">
        <v>4320</v>
      </c>
      <c r="C94" s="616"/>
      <c r="D94" s="616"/>
      <c r="E94" s="638"/>
      <c r="F94" s="616"/>
      <c r="G94" s="616"/>
      <c r="H94" s="467"/>
      <c r="I94" s="477"/>
      <c r="J94" s="477"/>
      <c r="K94" s="1609">
        <f t="shared" si="12"/>
        <v>0</v>
      </c>
      <c r="L94" s="530"/>
    </row>
    <row r="95" spans="1:12" ht="15" customHeight="1" thickTop="1" thickBot="1" x14ac:dyDescent="0.25">
      <c r="A95" s="1446" t="s">
        <v>1483</v>
      </c>
      <c r="B95" s="639">
        <v>4330</v>
      </c>
      <c r="C95" s="616"/>
      <c r="D95" s="616"/>
      <c r="E95" s="638"/>
      <c r="F95" s="616"/>
      <c r="G95" s="616"/>
      <c r="H95" s="467"/>
      <c r="I95" s="477"/>
      <c r="J95" s="477"/>
      <c r="K95" s="1609">
        <f t="shared" si="12"/>
        <v>0</v>
      </c>
      <c r="L95" s="530"/>
    </row>
    <row r="96" spans="1:12" ht="14.25" thickTop="1" thickBot="1" x14ac:dyDescent="0.25">
      <c r="A96" s="1446" t="s">
        <v>690</v>
      </c>
      <c r="B96" s="639">
        <v>4340</v>
      </c>
      <c r="C96" s="616"/>
      <c r="D96" s="616"/>
      <c r="E96" s="638"/>
      <c r="F96" s="616"/>
      <c r="G96" s="616"/>
      <c r="H96" s="467"/>
      <c r="I96" s="477"/>
      <c r="J96" s="477"/>
      <c r="K96" s="1609">
        <f t="shared" si="12"/>
        <v>0</v>
      </c>
      <c r="L96" s="530"/>
    </row>
    <row r="97" spans="1:14" ht="12.75" customHeight="1" thickTop="1" thickBot="1" x14ac:dyDescent="0.25">
      <c r="A97" s="1446" t="s">
        <v>763</v>
      </c>
      <c r="B97" s="639">
        <v>4370</v>
      </c>
      <c r="C97" s="616"/>
      <c r="D97" s="616"/>
      <c r="E97" s="638"/>
      <c r="F97" s="616"/>
      <c r="G97" s="616"/>
      <c r="H97" s="467"/>
      <c r="I97" s="477"/>
      <c r="J97" s="477"/>
      <c r="K97" s="1609">
        <f t="shared" si="12"/>
        <v>0</v>
      </c>
      <c r="L97" s="530"/>
    </row>
    <row r="98" spans="1:14" ht="14.25" thickTop="1" thickBot="1" x14ac:dyDescent="0.25">
      <c r="A98" s="1446" t="s">
        <v>764</v>
      </c>
      <c r="B98" s="639">
        <v>4380</v>
      </c>
      <c r="C98" s="616"/>
      <c r="D98" s="616"/>
      <c r="E98" s="642"/>
      <c r="F98" s="616"/>
      <c r="G98" s="616"/>
      <c r="H98" s="467"/>
      <c r="I98" s="477"/>
      <c r="J98" s="477"/>
      <c r="K98" s="1609">
        <f t="shared" si="12"/>
        <v>0</v>
      </c>
      <c r="L98" s="530"/>
    </row>
    <row r="99" spans="1:14" ht="14.25" thickTop="1" thickBot="1" x14ac:dyDescent="0.25">
      <c r="A99" s="1446" t="s">
        <v>367</v>
      </c>
      <c r="B99" s="639">
        <v>4390</v>
      </c>
      <c r="C99" s="616"/>
      <c r="D99" s="616"/>
      <c r="E99" s="532"/>
      <c r="F99" s="616"/>
      <c r="G99" s="616"/>
      <c r="H99" s="467"/>
      <c r="I99" s="477"/>
      <c r="J99" s="477"/>
      <c r="K99" s="1609">
        <f>SUM(E99,H99)</f>
        <v>0</v>
      </c>
      <c r="L99" s="530"/>
    </row>
    <row r="100" spans="1:14" ht="14.25" thickTop="1" thickBot="1" x14ac:dyDescent="0.25">
      <c r="A100" s="1612" t="s">
        <v>1481</v>
      </c>
      <c r="B100" s="1613">
        <v>4300</v>
      </c>
      <c r="C100" s="616"/>
      <c r="D100" s="616"/>
      <c r="E100" s="1609">
        <f>SUM(E93:E99)</f>
        <v>0</v>
      </c>
      <c r="F100" s="616"/>
      <c r="G100" s="616"/>
      <c r="H100" s="1609">
        <f>SUM(H93:H99)</f>
        <v>0</v>
      </c>
      <c r="I100" s="477"/>
      <c r="J100" s="477"/>
      <c r="K100" s="1609">
        <f>SUM(K93:K99)</f>
        <v>0</v>
      </c>
      <c r="L100" s="1609">
        <f>SUM(L93:L99)</f>
        <v>0</v>
      </c>
    </row>
    <row r="101" spans="1:14" ht="12.75" customHeight="1" thickTop="1" thickBot="1" x14ac:dyDescent="0.25">
      <c r="A101" s="1443" t="s">
        <v>1484</v>
      </c>
      <c r="B101" s="643" t="s">
        <v>931</v>
      </c>
      <c r="C101" s="616"/>
      <c r="D101" s="616"/>
      <c r="E101" s="531"/>
      <c r="F101" s="616"/>
      <c r="G101" s="616"/>
      <c r="H101" s="531"/>
      <c r="I101" s="477"/>
      <c r="J101" s="477"/>
      <c r="K101" s="1611">
        <f>SUM(C101:J101)</f>
        <v>0</v>
      </c>
      <c r="L101" s="530"/>
    </row>
    <row r="102" spans="1:14" ht="12.75" customHeight="1" thickTop="1" thickBot="1" x14ac:dyDescent="0.25">
      <c r="A102" s="1600" t="s">
        <v>1482</v>
      </c>
      <c r="B102" s="1610">
        <v>4000</v>
      </c>
      <c r="C102" s="616"/>
      <c r="D102" s="616"/>
      <c r="E102" s="1609">
        <f>SUM(E84,E92,E100,E101)</f>
        <v>69035986</v>
      </c>
      <c r="F102" s="616"/>
      <c r="G102" s="616"/>
      <c r="H102" s="1609">
        <f>SUM(H84,H92,H100,H101)</f>
        <v>165309</v>
      </c>
      <c r="I102" s="477"/>
      <c r="J102" s="477"/>
      <c r="K102" s="1609">
        <f>SUM(K84,K92,K100,K101)</f>
        <v>69201295</v>
      </c>
      <c r="L102" s="1609">
        <f>SUM(L84,L92,L100,L101)</f>
        <v>3436835</v>
      </c>
    </row>
    <row r="103" spans="1:14" s="633" customFormat="1" ht="15.75" customHeight="1" thickTop="1" x14ac:dyDescent="0.2">
      <c r="A103" s="1545" t="s">
        <v>513</v>
      </c>
      <c r="B103" s="1542"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437" t="s">
        <v>87</v>
      </c>
      <c r="B105" s="614">
        <v>5110</v>
      </c>
      <c r="C105" s="616"/>
      <c r="D105" s="616"/>
      <c r="E105" s="616"/>
      <c r="F105" s="616"/>
      <c r="G105" s="616"/>
      <c r="H105" s="481"/>
      <c r="I105" s="468"/>
      <c r="J105" s="468"/>
      <c r="K105" s="1603">
        <f>H105</f>
        <v>0</v>
      </c>
      <c r="L105" s="481"/>
      <c r="M105" s="210"/>
      <c r="N105" s="210"/>
    </row>
    <row r="106" spans="1:14" s="597" customFormat="1" x14ac:dyDescent="0.2">
      <c r="A106" s="1437" t="s">
        <v>88</v>
      </c>
      <c r="B106" s="614">
        <v>5120</v>
      </c>
      <c r="C106" s="616"/>
      <c r="D106" s="616"/>
      <c r="E106" s="616"/>
      <c r="F106" s="616"/>
      <c r="G106" s="616"/>
      <c r="H106" s="466"/>
      <c r="I106" s="468"/>
      <c r="J106" s="468"/>
      <c r="K106" s="1603">
        <f>H106</f>
        <v>0</v>
      </c>
      <c r="L106" s="466"/>
      <c r="M106" s="210"/>
      <c r="N106" s="210"/>
    </row>
    <row r="107" spans="1:14" s="597" customFormat="1" ht="12.75" customHeight="1" x14ac:dyDescent="0.2">
      <c r="A107" s="1437" t="s">
        <v>1170</v>
      </c>
      <c r="B107" s="614">
        <v>5130</v>
      </c>
      <c r="C107" s="616"/>
      <c r="D107" s="616"/>
      <c r="E107" s="616"/>
      <c r="F107" s="616"/>
      <c r="G107" s="616"/>
      <c r="H107" s="466"/>
      <c r="I107" s="468"/>
      <c r="J107" s="468"/>
      <c r="K107" s="1603">
        <f>H107</f>
        <v>0</v>
      </c>
      <c r="L107" s="466"/>
      <c r="M107" s="210"/>
      <c r="N107" s="210"/>
    </row>
    <row r="108" spans="1:14" s="597" customFormat="1" x14ac:dyDescent="0.2">
      <c r="A108" s="1437" t="s">
        <v>89</v>
      </c>
      <c r="B108" s="614" t="s">
        <v>589</v>
      </c>
      <c r="C108" s="616"/>
      <c r="D108" s="616"/>
      <c r="E108" s="616"/>
      <c r="F108" s="616"/>
      <c r="G108" s="616"/>
      <c r="H108" s="466">
        <v>6659083</v>
      </c>
      <c r="I108" s="468"/>
      <c r="J108" s="468"/>
      <c r="K108" s="1603">
        <f>H108</f>
        <v>6659083</v>
      </c>
      <c r="L108" s="466">
        <v>21000000</v>
      </c>
      <c r="M108" s="210"/>
      <c r="N108" s="210"/>
    </row>
    <row r="109" spans="1:14" s="597" customFormat="1" x14ac:dyDescent="0.2">
      <c r="A109" s="1437" t="s">
        <v>254</v>
      </c>
      <c r="B109" s="628">
        <v>5150</v>
      </c>
      <c r="C109" s="616"/>
      <c r="D109" s="616"/>
      <c r="E109" s="616"/>
      <c r="F109" s="616"/>
      <c r="G109" s="616"/>
      <c r="H109" s="466"/>
      <c r="I109" s="468"/>
      <c r="J109" s="468"/>
      <c r="K109" s="1603">
        <f>H109</f>
        <v>0</v>
      </c>
      <c r="L109" s="466"/>
      <c r="M109" s="210"/>
      <c r="N109" s="210"/>
    </row>
    <row r="110" spans="1:14" s="597" customFormat="1" ht="12.75" customHeight="1" thickBot="1" x14ac:dyDescent="0.25">
      <c r="A110" s="1600" t="s">
        <v>1102</v>
      </c>
      <c r="B110" s="1607" t="s">
        <v>718</v>
      </c>
      <c r="C110" s="616"/>
      <c r="D110" s="616"/>
      <c r="E110" s="616"/>
      <c r="F110" s="616"/>
      <c r="G110" s="616"/>
      <c r="H110" s="1602">
        <f>SUM(H105:H109)</f>
        <v>6659083</v>
      </c>
      <c r="I110" s="468"/>
      <c r="J110" s="468"/>
      <c r="K110" s="1602">
        <f>SUM(K105:K109)</f>
        <v>6659083</v>
      </c>
      <c r="L110" s="1602">
        <f>SUM(L105:L109)</f>
        <v>21000000</v>
      </c>
      <c r="M110" s="210"/>
      <c r="N110" s="210"/>
    </row>
    <row r="111" spans="1:14" s="597" customFormat="1" ht="12.75" customHeight="1" thickTop="1" thickBot="1" x14ac:dyDescent="0.25">
      <c r="A111" s="1447" t="s">
        <v>368</v>
      </c>
      <c r="B111" s="647" t="s">
        <v>38</v>
      </c>
      <c r="C111" s="616"/>
      <c r="D111" s="616"/>
      <c r="E111" s="616"/>
      <c r="F111" s="616"/>
      <c r="G111" s="616"/>
      <c r="H111" s="535"/>
      <c r="I111" s="468"/>
      <c r="J111" s="468"/>
      <c r="K111" s="1615">
        <f>H111</f>
        <v>0</v>
      </c>
      <c r="L111" s="532"/>
      <c r="M111" s="210"/>
      <c r="N111" s="210"/>
    </row>
    <row r="112" spans="1:14" s="597" customFormat="1" ht="12.75" customHeight="1" thickTop="1" thickBot="1" x14ac:dyDescent="0.25">
      <c r="A112" s="1600" t="s">
        <v>638</v>
      </c>
      <c r="B112" s="1601" t="s">
        <v>492</v>
      </c>
      <c r="C112" s="616"/>
      <c r="D112" s="616"/>
      <c r="E112" s="616"/>
      <c r="F112" s="616"/>
      <c r="G112" s="616"/>
      <c r="H112" s="1602">
        <f>SUM(H110:H111)</f>
        <v>6659083</v>
      </c>
      <c r="I112" s="468"/>
      <c r="J112" s="468"/>
      <c r="K112" s="1602">
        <f>SUM(K110:K111)</f>
        <v>6659083</v>
      </c>
      <c r="L112" s="1609">
        <f>SUM(L110,L111)</f>
        <v>21000000</v>
      </c>
      <c r="M112" s="210"/>
      <c r="N112" s="210"/>
    </row>
    <row r="113" spans="1:14" s="259" customFormat="1" ht="15.75" customHeight="1" thickTop="1" thickBot="1" x14ac:dyDescent="0.25">
      <c r="A113" s="1539" t="s">
        <v>514</v>
      </c>
      <c r="B113" s="1546" t="s">
        <v>861</v>
      </c>
      <c r="C113" s="623"/>
      <c r="D113" s="623"/>
      <c r="E113" s="616"/>
      <c r="F113" s="616"/>
      <c r="G113" s="616"/>
      <c r="H113" s="623"/>
      <c r="I113" s="468"/>
      <c r="J113" s="468"/>
      <c r="K113" s="623"/>
      <c r="L113" s="531">
        <v>131630663</v>
      </c>
      <c r="M113" s="613"/>
      <c r="N113" s="613"/>
    </row>
    <row r="114" spans="1:14" ht="12.75" customHeight="1" thickTop="1" thickBot="1" x14ac:dyDescent="0.25">
      <c r="A114" s="1600" t="s">
        <v>48</v>
      </c>
      <c r="B114" s="1614"/>
      <c r="C114" s="1602">
        <f>SUM(C33,C74,C75,C102,C112,C113)</f>
        <v>2443010292</v>
      </c>
      <c r="D114" s="1602">
        <f t="shared" ref="D114:K114" si="13">SUM(D33,D74,D75,D102,D112,D113)</f>
        <v>1068351818</v>
      </c>
      <c r="E114" s="1602">
        <f t="shared" si="13"/>
        <v>1143856160</v>
      </c>
      <c r="F114" s="1602">
        <f t="shared" si="13"/>
        <v>234618336</v>
      </c>
      <c r="G114" s="1602">
        <f t="shared" si="13"/>
        <v>80106</v>
      </c>
      <c r="H114" s="1602">
        <f>SUM(H33,H74,H75,H102,H112,H113)</f>
        <v>79183708</v>
      </c>
      <c r="I114" s="1602">
        <f t="shared" si="13"/>
        <v>50112494</v>
      </c>
      <c r="J114" s="1602">
        <f t="shared" si="13"/>
        <v>23060914</v>
      </c>
      <c r="K114" s="1602">
        <f t="shared" si="13"/>
        <v>5042273828</v>
      </c>
      <c r="L114" s="1602">
        <f>SUM(L33,L74,L75,L102,L112,L113)</f>
        <v>5549406055</v>
      </c>
    </row>
    <row r="115" spans="1:14" ht="13.5" thickTop="1" x14ac:dyDescent="0.2">
      <c r="A115" s="2218" t="s">
        <v>996</v>
      </c>
      <c r="B115" s="2219"/>
      <c r="C115" s="618"/>
      <c r="D115" s="618"/>
      <c r="E115" s="618"/>
      <c r="F115" s="618"/>
      <c r="G115" s="618"/>
      <c r="H115" s="618"/>
      <c r="I115" s="618"/>
      <c r="J115" s="618"/>
      <c r="K115" s="1616">
        <f>'Revenues 9-14'!C268-'Expenditures 15-22'!K114</f>
        <v>149339161</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96" t="s">
        <v>296</v>
      </c>
      <c r="B117" s="2197"/>
      <c r="C117" s="1559"/>
      <c r="D117" s="1560"/>
      <c r="E117" s="1560"/>
      <c r="F117" s="1560"/>
      <c r="G117" s="1560"/>
      <c r="H117" s="1560"/>
      <c r="I117" s="1560"/>
      <c r="J117" s="1560"/>
      <c r="K117" s="1560"/>
      <c r="L117" s="1561"/>
      <c r="M117" s="175"/>
      <c r="N117" s="175"/>
    </row>
    <row r="118" spans="1:14" ht="15.75" customHeight="1" x14ac:dyDescent="0.2">
      <c r="A118" s="1547" t="s">
        <v>1035</v>
      </c>
      <c r="B118" s="1548"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441" t="s">
        <v>2035</v>
      </c>
      <c r="B120" s="628" t="s">
        <v>716</v>
      </c>
      <c r="C120" s="466"/>
      <c r="D120" s="466"/>
      <c r="E120" s="466"/>
      <c r="F120" s="466"/>
      <c r="G120" s="466"/>
      <c r="H120" s="466"/>
      <c r="I120" s="467"/>
      <c r="J120" s="467"/>
      <c r="K120" s="1603">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437" t="s">
        <v>1068</v>
      </c>
      <c r="B122" s="614">
        <v>2510</v>
      </c>
      <c r="C122" s="466">
        <v>749226</v>
      </c>
      <c r="D122" s="466">
        <v>90877</v>
      </c>
      <c r="E122" s="466">
        <f>10002+2683</f>
        <v>12685</v>
      </c>
      <c r="F122" s="466"/>
      <c r="G122" s="466"/>
      <c r="H122" s="466"/>
      <c r="I122" s="467"/>
      <c r="J122" s="467">
        <v>11751</v>
      </c>
      <c r="K122" s="1602">
        <f>SUM(C122:J122)</f>
        <v>864539</v>
      </c>
      <c r="L122" s="466">
        <v>1096942</v>
      </c>
    </row>
    <row r="123" spans="1:14" ht="14.25" thickTop="1" thickBot="1" x14ac:dyDescent="0.25">
      <c r="A123" s="1437" t="s">
        <v>4</v>
      </c>
      <c r="B123" s="614">
        <v>2530</v>
      </c>
      <c r="C123" s="466">
        <v>309722</v>
      </c>
      <c r="D123" s="466">
        <v>36369</v>
      </c>
      <c r="E123" s="466">
        <f>3519467+2454005</f>
        <v>5973472</v>
      </c>
      <c r="F123" s="466">
        <f>49137</f>
        <v>49137</v>
      </c>
      <c r="G123" s="466"/>
      <c r="H123" s="466"/>
      <c r="I123" s="467">
        <f>8354+340426</f>
        <v>348780</v>
      </c>
      <c r="J123" s="467">
        <f>834+3719</f>
        <v>4553</v>
      </c>
      <c r="K123" s="1602">
        <f>SUM(C123:J123)</f>
        <v>6722033</v>
      </c>
      <c r="L123" s="466">
        <v>4072283</v>
      </c>
    </row>
    <row r="124" spans="1:14" ht="14.25" thickTop="1" thickBot="1" x14ac:dyDescent="0.25">
      <c r="A124" s="1437" t="s">
        <v>197</v>
      </c>
      <c r="B124" s="614">
        <v>2540</v>
      </c>
      <c r="C124" s="466">
        <f>32426495</f>
        <v>32426495</v>
      </c>
      <c r="D124" s="466">
        <v>9350804</v>
      </c>
      <c r="E124" s="466">
        <f>254157549+394</f>
        <v>254157943</v>
      </c>
      <c r="F124" s="466">
        <f>75768836+36092</f>
        <v>75804928</v>
      </c>
      <c r="G124" s="466"/>
      <c r="H124" s="466"/>
      <c r="I124" s="467">
        <v>89011</v>
      </c>
      <c r="J124" s="467">
        <f>502344+6480</f>
        <v>508824</v>
      </c>
      <c r="K124" s="1602">
        <f>SUM(C124:J124)</f>
        <v>372338005</v>
      </c>
      <c r="L124" s="466">
        <v>349171089</v>
      </c>
    </row>
    <row r="125" spans="1:14" ht="14.25" thickTop="1" thickBot="1" x14ac:dyDescent="0.25">
      <c r="A125" s="1437" t="s">
        <v>953</v>
      </c>
      <c r="B125" s="614">
        <v>2550</v>
      </c>
      <c r="C125" s="466"/>
      <c r="D125" s="466"/>
      <c r="E125" s="466"/>
      <c r="F125" s="466"/>
      <c r="G125" s="466"/>
      <c r="H125" s="466"/>
      <c r="I125" s="467"/>
      <c r="J125" s="467"/>
      <c r="K125" s="1602">
        <f>SUM(C125:J125)</f>
        <v>0</v>
      </c>
      <c r="L125" s="466"/>
    </row>
    <row r="126" spans="1:14" ht="14.25" thickTop="1" thickBot="1" x14ac:dyDescent="0.25">
      <c r="A126" s="1437" t="s">
        <v>100</v>
      </c>
      <c r="B126" s="614">
        <v>2560</v>
      </c>
      <c r="C126" s="654"/>
      <c r="D126" s="654"/>
      <c r="E126" s="654"/>
      <c r="F126" s="654"/>
      <c r="G126" s="466"/>
      <c r="H126" s="654"/>
      <c r="I126" s="474"/>
      <c r="J126" s="616"/>
      <c r="K126" s="1602">
        <f>SUM(C126:J126)</f>
        <v>0</v>
      </c>
      <c r="L126" s="466"/>
    </row>
    <row r="127" spans="1:14" ht="12.75" customHeight="1" thickTop="1" thickBot="1" x14ac:dyDescent="0.25">
      <c r="A127" s="1600" t="s">
        <v>719</v>
      </c>
      <c r="B127" s="1601" t="s">
        <v>35</v>
      </c>
      <c r="C127" s="1602">
        <f>SUM(C122:C126)</f>
        <v>33485443</v>
      </c>
      <c r="D127" s="1602">
        <f t="shared" ref="D127:L127" si="14">SUM(D122:D126)</f>
        <v>9478050</v>
      </c>
      <c r="E127" s="1602">
        <f t="shared" si="14"/>
        <v>260144100</v>
      </c>
      <c r="F127" s="1602">
        <f t="shared" si="14"/>
        <v>75854065</v>
      </c>
      <c r="G127" s="1602">
        <f t="shared" si="14"/>
        <v>0</v>
      </c>
      <c r="H127" s="1602">
        <f t="shared" si="14"/>
        <v>0</v>
      </c>
      <c r="I127" s="1602">
        <f t="shared" si="14"/>
        <v>437791</v>
      </c>
      <c r="J127" s="1602">
        <f t="shared" si="14"/>
        <v>525128</v>
      </c>
      <c r="K127" s="1602">
        <f t="shared" si="14"/>
        <v>379924577</v>
      </c>
      <c r="L127" s="1602">
        <f t="shared" si="14"/>
        <v>354340314</v>
      </c>
    </row>
    <row r="128" spans="1:14" ht="12.75" customHeight="1" thickTop="1" x14ac:dyDescent="0.2">
      <c r="A128" s="1444" t="s">
        <v>980</v>
      </c>
      <c r="B128" s="655" t="s">
        <v>574</v>
      </c>
      <c r="C128" s="656"/>
      <c r="D128" s="656"/>
      <c r="E128" s="656"/>
      <c r="F128" s="656"/>
      <c r="G128" s="656"/>
      <c r="H128" s="656"/>
      <c r="I128" s="535"/>
      <c r="J128" s="535"/>
      <c r="K128" s="1617">
        <f>SUM(C128:J128)</f>
        <v>0</v>
      </c>
      <c r="L128" s="656"/>
    </row>
    <row r="129" spans="1:14" ht="12.75" customHeight="1" thickBot="1" x14ac:dyDescent="0.25">
      <c r="A129" s="1618" t="s">
        <v>811</v>
      </c>
      <c r="B129" s="1619" t="s">
        <v>569</v>
      </c>
      <c r="C129" s="1609">
        <f>SUM(C120,C127,C128)</f>
        <v>33485443</v>
      </c>
      <c r="D129" s="1609">
        <f t="shared" ref="D129:L129" si="15">SUM(D120,D127,D128)</f>
        <v>9478050</v>
      </c>
      <c r="E129" s="1609">
        <f t="shared" si="15"/>
        <v>260144100</v>
      </c>
      <c r="F129" s="1609">
        <f t="shared" si="15"/>
        <v>75854065</v>
      </c>
      <c r="G129" s="1609">
        <f t="shared" si="15"/>
        <v>0</v>
      </c>
      <c r="H129" s="1609">
        <f t="shared" si="15"/>
        <v>0</v>
      </c>
      <c r="I129" s="1609">
        <f t="shared" si="15"/>
        <v>437791</v>
      </c>
      <c r="J129" s="1609">
        <f t="shared" si="15"/>
        <v>525128</v>
      </c>
      <c r="K129" s="1609">
        <f t="shared" si="15"/>
        <v>379924577</v>
      </c>
      <c r="L129" s="1609">
        <f t="shared" si="15"/>
        <v>354340314</v>
      </c>
    </row>
    <row r="130" spans="1:14" ht="15.75" customHeight="1" thickTop="1" thickBot="1" x14ac:dyDescent="0.25">
      <c r="A130" s="1543" t="s">
        <v>1036</v>
      </c>
      <c r="B130" s="1544" t="s">
        <v>575</v>
      </c>
      <c r="C130" s="576"/>
      <c r="D130" s="576"/>
      <c r="E130" s="576"/>
      <c r="F130" s="576"/>
      <c r="G130" s="576"/>
      <c r="H130" s="576"/>
      <c r="I130" s="531"/>
      <c r="J130" s="531"/>
      <c r="K130" s="1602">
        <f>SUM(C130:J130)</f>
        <v>0</v>
      </c>
      <c r="L130" s="576"/>
    </row>
    <row r="131" spans="1:14" ht="15.75" customHeight="1" thickTop="1" x14ac:dyDescent="0.2">
      <c r="A131" s="1549" t="s">
        <v>616</v>
      </c>
      <c r="B131" s="1542"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23" t="s">
        <v>496</v>
      </c>
      <c r="B133" s="1773" t="s">
        <v>1821</v>
      </c>
      <c r="C133" s="468"/>
      <c r="D133" s="468"/>
      <c r="E133" s="641"/>
      <c r="F133" s="468"/>
      <c r="G133" s="468"/>
      <c r="H133" s="641"/>
      <c r="I133" s="468"/>
      <c r="J133" s="468"/>
      <c r="K133" s="1753">
        <f>SUM(E133,H133)</f>
        <v>0</v>
      </c>
      <c r="L133" s="641"/>
      <c r="M133" s="206"/>
      <c r="N133" s="206"/>
    </row>
    <row r="134" spans="1:14" x14ac:dyDescent="0.2">
      <c r="A134" s="1437" t="s">
        <v>304</v>
      </c>
      <c r="B134" s="614">
        <v>4120</v>
      </c>
      <c r="C134" s="616"/>
      <c r="D134" s="616"/>
      <c r="E134" s="478"/>
      <c r="F134" s="616"/>
      <c r="G134" s="616"/>
      <c r="H134" s="481"/>
      <c r="I134" s="477"/>
      <c r="J134" s="616"/>
      <c r="K134" s="1604">
        <f>SUM(E134,H134)</f>
        <v>0</v>
      </c>
      <c r="L134" s="481"/>
    </row>
    <row r="135" spans="1:14" x14ac:dyDescent="0.2">
      <c r="A135" s="1437" t="s">
        <v>697</v>
      </c>
      <c r="B135" s="614">
        <v>4140</v>
      </c>
      <c r="C135" s="616"/>
      <c r="D135" s="616"/>
      <c r="E135" s="467"/>
      <c r="F135" s="616"/>
      <c r="G135" s="616"/>
      <c r="H135" s="466"/>
      <c r="I135" s="477"/>
      <c r="J135" s="616"/>
      <c r="K135" s="1604">
        <f>SUM(E135,H135)</f>
        <v>0</v>
      </c>
      <c r="L135" s="466"/>
    </row>
    <row r="136" spans="1:14" x14ac:dyDescent="0.2">
      <c r="A136" s="1441" t="s">
        <v>698</v>
      </c>
      <c r="B136" s="628">
        <v>4190</v>
      </c>
      <c r="C136" s="616"/>
      <c r="D136" s="616"/>
      <c r="E136" s="467"/>
      <c r="F136" s="616"/>
      <c r="G136" s="616"/>
      <c r="H136" s="466"/>
      <c r="I136" s="477"/>
      <c r="J136" s="616"/>
      <c r="K136" s="1604">
        <f>SUM(E136,H136)</f>
        <v>0</v>
      </c>
      <c r="L136" s="466"/>
    </row>
    <row r="137" spans="1:14" ht="12.75" customHeight="1" thickBot="1" x14ac:dyDescent="0.25">
      <c r="A137" s="1600" t="s">
        <v>480</v>
      </c>
      <c r="B137" s="1610">
        <v>4100</v>
      </c>
      <c r="C137" s="616"/>
      <c r="D137" s="616"/>
      <c r="E137" s="1602">
        <f>SUM(E133:E136)</f>
        <v>0</v>
      </c>
      <c r="F137" s="616"/>
      <c r="G137" s="616"/>
      <c r="H137" s="1602">
        <f>SUM(H133:H136)</f>
        <v>0</v>
      </c>
      <c r="I137" s="477"/>
      <c r="J137" s="616"/>
      <c r="K137" s="1602">
        <f>SUM(K133:K136)</f>
        <v>0</v>
      </c>
      <c r="L137" s="1602">
        <f>SUM(L133:L136)</f>
        <v>0</v>
      </c>
    </row>
    <row r="138" spans="1:14" ht="12.75" customHeight="1" thickTop="1" thickBot="1" x14ac:dyDescent="0.25">
      <c r="A138" s="1443" t="s">
        <v>96</v>
      </c>
      <c r="B138" s="643" t="s">
        <v>931</v>
      </c>
      <c r="C138" s="616"/>
      <c r="D138" s="616"/>
      <c r="E138" s="479"/>
      <c r="F138" s="616"/>
      <c r="G138" s="616"/>
      <c r="H138" s="576"/>
      <c r="I138" s="477"/>
      <c r="J138" s="616"/>
      <c r="K138" s="1604">
        <f>SUM(E138,H138)</f>
        <v>0</v>
      </c>
      <c r="L138" s="576"/>
    </row>
    <row r="139" spans="1:14" ht="12.75" customHeight="1" thickTop="1" thickBot="1" x14ac:dyDescent="0.25">
      <c r="A139" s="1600" t="s">
        <v>1482</v>
      </c>
      <c r="B139" s="1610">
        <v>4000</v>
      </c>
      <c r="C139" s="616"/>
      <c r="D139" s="616"/>
      <c r="E139" s="1602">
        <f>SUM(E137,E138)</f>
        <v>0</v>
      </c>
      <c r="F139" s="616"/>
      <c r="G139" s="616"/>
      <c r="H139" s="1611">
        <f>SUM(H137:H138)</f>
        <v>0</v>
      </c>
      <c r="I139" s="477"/>
      <c r="J139" s="616"/>
      <c r="K139" s="1604">
        <f>SUM(K137,K138)</f>
        <v>0</v>
      </c>
      <c r="L139" s="1611">
        <f>SUM(L137,L138)</f>
        <v>0</v>
      </c>
    </row>
    <row r="140" spans="1:14" ht="15.75" customHeight="1" thickTop="1" x14ac:dyDescent="0.2">
      <c r="A140" s="1545" t="s">
        <v>1037</v>
      </c>
      <c r="B140" s="1546"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437" t="s">
        <v>87</v>
      </c>
      <c r="B142" s="614">
        <v>5110</v>
      </c>
      <c r="C142" s="616"/>
      <c r="D142" s="616"/>
      <c r="E142" s="616"/>
      <c r="F142" s="616"/>
      <c r="G142" s="616"/>
      <c r="H142" s="481"/>
      <c r="I142" s="468"/>
      <c r="J142" s="616"/>
      <c r="K142" s="1604">
        <f>SUM(H142)</f>
        <v>0</v>
      </c>
      <c r="L142" s="481"/>
    </row>
    <row r="143" spans="1:14" x14ac:dyDescent="0.2">
      <c r="A143" s="1437" t="s">
        <v>88</v>
      </c>
      <c r="B143" s="614">
        <v>5120</v>
      </c>
      <c r="C143" s="616"/>
      <c r="D143" s="616"/>
      <c r="E143" s="616"/>
      <c r="F143" s="616"/>
      <c r="G143" s="616"/>
      <c r="H143" s="466"/>
      <c r="I143" s="468"/>
      <c r="J143" s="616"/>
      <c r="K143" s="1604">
        <f>SUM(H143)</f>
        <v>0</v>
      </c>
      <c r="L143" s="466"/>
    </row>
    <row r="144" spans="1:14" ht="12.75" customHeight="1" x14ac:dyDescent="0.2">
      <c r="A144" s="1437" t="s">
        <v>1170</v>
      </c>
      <c r="B144" s="628" t="s">
        <v>617</v>
      </c>
      <c r="C144" s="616"/>
      <c r="D144" s="616"/>
      <c r="E144" s="616"/>
      <c r="F144" s="616"/>
      <c r="G144" s="616"/>
      <c r="H144" s="466"/>
      <c r="I144" s="468"/>
      <c r="J144" s="616"/>
      <c r="K144" s="1604">
        <f>SUM(H144)</f>
        <v>0</v>
      </c>
      <c r="L144" s="466"/>
    </row>
    <row r="145" spans="1:14" x14ac:dyDescent="0.2">
      <c r="A145" s="1437" t="s">
        <v>89</v>
      </c>
      <c r="B145" s="614" t="s">
        <v>589</v>
      </c>
      <c r="C145" s="616"/>
      <c r="D145" s="616"/>
      <c r="E145" s="616"/>
      <c r="F145" s="616"/>
      <c r="G145" s="616"/>
      <c r="H145" s="466"/>
      <c r="I145" s="468"/>
      <c r="J145" s="616"/>
      <c r="K145" s="1604">
        <f>SUM(H145)</f>
        <v>0</v>
      </c>
      <c r="L145" s="466"/>
    </row>
    <row r="146" spans="1:14" ht="12.75" customHeight="1" x14ac:dyDescent="0.2">
      <c r="A146" s="1437" t="s">
        <v>619</v>
      </c>
      <c r="B146" s="614" t="s">
        <v>618</v>
      </c>
      <c r="C146" s="616"/>
      <c r="D146" s="616"/>
      <c r="E146" s="616"/>
      <c r="F146" s="616"/>
      <c r="G146" s="616"/>
      <c r="H146" s="466"/>
      <c r="I146" s="468"/>
      <c r="J146" s="616"/>
      <c r="K146" s="1604">
        <f>SUM(H146)</f>
        <v>0</v>
      </c>
      <c r="L146" s="466"/>
    </row>
    <row r="147" spans="1:14" ht="12.75" customHeight="1" thickBot="1" x14ac:dyDescent="0.25">
      <c r="A147" s="1448" t="s">
        <v>626</v>
      </c>
      <c r="B147" s="659" t="s">
        <v>718</v>
      </c>
      <c r="C147" s="616"/>
      <c r="D147" s="616"/>
      <c r="E147" s="616"/>
      <c r="F147" s="616"/>
      <c r="G147" s="616"/>
      <c r="H147" s="1620">
        <f>SUM(H142:H146)</f>
        <v>0</v>
      </c>
      <c r="I147" s="468"/>
      <c r="J147" s="616"/>
      <c r="K147" s="1602">
        <f>SUM(K142:K146)</f>
        <v>0</v>
      </c>
      <c r="L147" s="1620">
        <f>SUM(L142:L146)</f>
        <v>0</v>
      </c>
    </row>
    <row r="148" spans="1:14" ht="15.75" customHeight="1" thickTop="1" x14ac:dyDescent="0.2">
      <c r="A148" s="660" t="s">
        <v>1103</v>
      </c>
      <c r="B148" s="661" t="s">
        <v>38</v>
      </c>
      <c r="C148" s="616"/>
      <c r="D148" s="616"/>
      <c r="E148" s="616"/>
      <c r="F148" s="616"/>
      <c r="G148" s="616"/>
      <c r="H148" s="479"/>
      <c r="I148" s="468"/>
      <c r="J148" s="616"/>
      <c r="K148" s="1604">
        <f>SUM(H148)</f>
        <v>0</v>
      </c>
      <c r="L148" s="492"/>
    </row>
    <row r="149" spans="1:14" ht="12.75" customHeight="1" thickBot="1" x14ac:dyDescent="0.25">
      <c r="A149" s="1440" t="s">
        <v>638</v>
      </c>
      <c r="B149" s="617" t="s">
        <v>492</v>
      </c>
      <c r="C149" s="616"/>
      <c r="D149" s="616"/>
      <c r="E149" s="616"/>
      <c r="F149" s="616"/>
      <c r="G149" s="616"/>
      <c r="H149" s="1602">
        <f>SUM(H147,H148)</f>
        <v>0</v>
      </c>
      <c r="I149" s="468"/>
      <c r="J149" s="616"/>
      <c r="K149" s="1602">
        <f>SUM(K147:K148)</f>
        <v>0</v>
      </c>
      <c r="L149" s="1602">
        <f>SUM(L142:L146,L148)</f>
        <v>0</v>
      </c>
    </row>
    <row r="150" spans="1:14" ht="15.75" customHeight="1" thickTop="1" thickBot="1" x14ac:dyDescent="0.25">
      <c r="A150" s="1539" t="s">
        <v>1038</v>
      </c>
      <c r="B150" s="1546" t="s">
        <v>861</v>
      </c>
      <c r="C150" s="616"/>
      <c r="D150" s="616"/>
      <c r="E150" s="616"/>
      <c r="F150" s="616"/>
      <c r="G150" s="616"/>
      <c r="H150" s="662"/>
      <c r="I150" s="521"/>
      <c r="J150" s="616"/>
      <c r="K150" s="623"/>
      <c r="L150" s="573"/>
    </row>
    <row r="151" spans="1:14" ht="12.75" customHeight="1" thickTop="1" thickBot="1" x14ac:dyDescent="0.25">
      <c r="A151" s="2208" t="s">
        <v>620</v>
      </c>
      <c r="B151" s="2190"/>
      <c r="C151" s="1602">
        <f>SUM(C129,C130,C139,C149,C150)</f>
        <v>33485443</v>
      </c>
      <c r="D151" s="1602">
        <f t="shared" ref="D151:K151" si="16">SUM(D129,D130,D139,D149,D150)</f>
        <v>9478050</v>
      </c>
      <c r="E151" s="1602">
        <f t="shared" si="16"/>
        <v>260144100</v>
      </c>
      <c r="F151" s="1602">
        <f t="shared" si="16"/>
        <v>75854065</v>
      </c>
      <c r="G151" s="1602">
        <f t="shared" si="16"/>
        <v>0</v>
      </c>
      <c r="H151" s="1602">
        <f t="shared" si="16"/>
        <v>0</v>
      </c>
      <c r="I151" s="1602">
        <f t="shared" si="16"/>
        <v>437791</v>
      </c>
      <c r="J151" s="1602">
        <f t="shared" si="16"/>
        <v>525128</v>
      </c>
      <c r="K151" s="1602">
        <f t="shared" si="16"/>
        <v>379924577</v>
      </c>
      <c r="L151" s="1602">
        <f>SUM(L129,L130,L139,L149,L150)</f>
        <v>354340314</v>
      </c>
    </row>
    <row r="152" spans="1:14" ht="12.75" customHeight="1" thickTop="1" x14ac:dyDescent="0.2">
      <c r="A152" s="2211" t="s">
        <v>1178</v>
      </c>
      <c r="B152" s="2212"/>
      <c r="C152" s="618"/>
      <c r="D152" s="618"/>
      <c r="E152" s="618"/>
      <c r="F152" s="618"/>
      <c r="G152" s="618"/>
      <c r="H152" s="618"/>
      <c r="I152" s="618"/>
      <c r="J152" s="616"/>
      <c r="K152" s="1616">
        <f>'Revenues 9-14'!D268-'Expenditures 15-22'!K151</f>
        <v>0</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96" t="s">
        <v>621</v>
      </c>
      <c r="B154" s="2198"/>
      <c r="C154" s="1559"/>
      <c r="D154" s="1560"/>
      <c r="E154" s="1560"/>
      <c r="F154" s="1560"/>
      <c r="G154" s="1560"/>
      <c r="H154" s="1560"/>
      <c r="I154" s="1560"/>
      <c r="J154" s="1560"/>
      <c r="K154" s="1560"/>
      <c r="L154" s="1561"/>
      <c r="M154" s="667"/>
      <c r="N154" s="667"/>
    </row>
    <row r="155" spans="1:14" s="620" customFormat="1" ht="15.75" customHeight="1" thickBot="1" x14ac:dyDescent="0.25">
      <c r="A155" s="1550" t="s">
        <v>81</v>
      </c>
      <c r="B155" s="1551" t="s">
        <v>860</v>
      </c>
      <c r="C155" s="616"/>
      <c r="D155" s="616"/>
      <c r="E155" s="616"/>
      <c r="F155" s="616"/>
      <c r="G155" s="616"/>
      <c r="H155" s="1774"/>
      <c r="I155" s="616"/>
      <c r="J155" s="616"/>
      <c r="K155" s="1757"/>
      <c r="L155" s="1774"/>
      <c r="M155" s="619"/>
      <c r="N155" s="619"/>
    </row>
    <row r="156" spans="1:14" s="620" customFormat="1" ht="15.75" customHeight="1" thickTop="1" x14ac:dyDescent="0.2">
      <c r="A156" s="1754" t="s">
        <v>1822</v>
      </c>
      <c r="B156" s="1755"/>
      <c r="C156" s="616"/>
      <c r="D156" s="616"/>
      <c r="E156" s="616"/>
      <c r="F156" s="616"/>
      <c r="G156" s="616"/>
      <c r="H156" s="1775"/>
      <c r="I156" s="616"/>
      <c r="J156" s="616"/>
      <c r="K156" s="1756"/>
      <c r="L156" s="1775"/>
      <c r="M156" s="619"/>
      <c r="N156" s="619"/>
    </row>
    <row r="157" spans="1:14" s="620" customFormat="1" ht="12" x14ac:dyDescent="0.2">
      <c r="A157" s="1758" t="s">
        <v>496</v>
      </c>
      <c r="B157" s="1759" t="s">
        <v>1821</v>
      </c>
      <c r="C157" s="616"/>
      <c r="D157" s="616"/>
      <c r="E157" s="616"/>
      <c r="F157" s="616"/>
      <c r="G157" s="616"/>
      <c r="H157" s="641"/>
      <c r="I157" s="616"/>
      <c r="J157" s="616"/>
      <c r="K157" s="1603">
        <f>H157</f>
        <v>0</v>
      </c>
      <c r="L157" s="467"/>
      <c r="M157" s="619"/>
      <c r="N157" s="619"/>
    </row>
    <row r="158" spans="1:14" s="620" customFormat="1" ht="12" x14ac:dyDescent="0.2">
      <c r="A158" s="1758" t="s">
        <v>304</v>
      </c>
      <c r="B158" s="1759" t="s">
        <v>1823</v>
      </c>
      <c r="C158" s="616"/>
      <c r="D158" s="616"/>
      <c r="E158" s="616"/>
      <c r="F158" s="616"/>
      <c r="G158" s="616"/>
      <c r="H158" s="467"/>
      <c r="I158" s="616"/>
      <c r="J158" s="616"/>
      <c r="K158" s="1603">
        <f>H158</f>
        <v>0</v>
      </c>
      <c r="L158" s="467"/>
      <c r="M158" s="619"/>
      <c r="N158" s="619"/>
    </row>
    <row r="159" spans="1:14" s="620" customFormat="1" ht="12" x14ac:dyDescent="0.2">
      <c r="A159" s="1758" t="s">
        <v>1824</v>
      </c>
      <c r="B159" s="1759" t="s">
        <v>558</v>
      </c>
      <c r="C159" s="616"/>
      <c r="D159" s="616"/>
      <c r="E159" s="616"/>
      <c r="F159" s="616"/>
      <c r="G159" s="616"/>
      <c r="H159" s="467"/>
      <c r="I159" s="616"/>
      <c r="J159" s="616"/>
      <c r="K159" s="1603">
        <f>H159</f>
        <v>0</v>
      </c>
      <c r="L159" s="467"/>
      <c r="M159" s="619"/>
      <c r="N159" s="619"/>
    </row>
    <row r="160" spans="1:14" s="620" customFormat="1" ht="15.75" customHeight="1" thickBot="1" x14ac:dyDescent="0.25">
      <c r="A160" s="1760" t="s">
        <v>1825</v>
      </c>
      <c r="B160" s="1761" t="s">
        <v>860</v>
      </c>
      <c r="C160" s="616"/>
      <c r="D160" s="616"/>
      <c r="E160" s="616"/>
      <c r="F160" s="616"/>
      <c r="G160" s="616"/>
      <c r="H160" s="1620">
        <f>SUM(H157:H159)</f>
        <v>0</v>
      </c>
      <c r="I160" s="616"/>
      <c r="J160" s="616"/>
      <c r="K160" s="1602">
        <f>SUM(K157:K159)</f>
        <v>0</v>
      </c>
      <c r="L160" s="1620">
        <f>SUM(L157:L159)</f>
        <v>0</v>
      </c>
      <c r="M160" s="619"/>
      <c r="N160" s="619"/>
    </row>
    <row r="161" spans="1:14" s="259" customFormat="1" ht="15.75" customHeight="1" thickTop="1" x14ac:dyDescent="0.2">
      <c r="A161" s="1545" t="s">
        <v>82</v>
      </c>
      <c r="B161" s="1546"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437" t="s">
        <v>87</v>
      </c>
      <c r="B163" s="614">
        <v>5110</v>
      </c>
      <c r="C163" s="616"/>
      <c r="D163" s="616"/>
      <c r="E163" s="616"/>
      <c r="F163" s="616"/>
      <c r="G163" s="616"/>
      <c r="H163" s="466"/>
      <c r="I163" s="616"/>
      <c r="J163" s="616"/>
      <c r="K163" s="1603">
        <f>SUM(C163:J163)</f>
        <v>0</v>
      </c>
      <c r="L163" s="466"/>
    </row>
    <row r="164" spans="1:14" x14ac:dyDescent="0.2">
      <c r="A164" s="1437" t="s">
        <v>88</v>
      </c>
      <c r="B164" s="614">
        <v>5120</v>
      </c>
      <c r="C164" s="616"/>
      <c r="D164" s="616"/>
      <c r="E164" s="616"/>
      <c r="F164" s="616"/>
      <c r="G164" s="616"/>
      <c r="H164" s="466"/>
      <c r="I164" s="616"/>
      <c r="J164" s="616"/>
      <c r="K164" s="1603">
        <f>SUM(C164:J164)</f>
        <v>0</v>
      </c>
      <c r="L164" s="466"/>
    </row>
    <row r="165" spans="1:14" ht="12.75" customHeight="1" x14ac:dyDescent="0.2">
      <c r="A165" s="1437" t="s">
        <v>1170</v>
      </c>
      <c r="B165" s="614" t="s">
        <v>617</v>
      </c>
      <c r="C165" s="616"/>
      <c r="D165" s="616"/>
      <c r="E165" s="616"/>
      <c r="F165" s="616"/>
      <c r="G165" s="616"/>
      <c r="H165" s="466"/>
      <c r="I165" s="616"/>
      <c r="J165" s="616"/>
      <c r="K165" s="1603">
        <f>SUM(C165:J165)</f>
        <v>0</v>
      </c>
      <c r="L165" s="466"/>
    </row>
    <row r="166" spans="1:14" x14ac:dyDescent="0.2">
      <c r="A166" s="1437" t="s">
        <v>89</v>
      </c>
      <c r="B166" s="628" t="s">
        <v>589</v>
      </c>
      <c r="C166" s="616"/>
      <c r="D166" s="616"/>
      <c r="E166" s="616"/>
      <c r="F166" s="616"/>
      <c r="G166" s="616"/>
      <c r="H166" s="466"/>
      <c r="I166" s="616"/>
      <c r="J166" s="616"/>
      <c r="K166" s="1603">
        <f>SUM(C166:J166)</f>
        <v>0</v>
      </c>
      <c r="L166" s="466">
        <v>606885202</v>
      </c>
    </row>
    <row r="167" spans="1:14" ht="12.75" customHeight="1" x14ac:dyDescent="0.2">
      <c r="A167" s="1437" t="s">
        <v>619</v>
      </c>
      <c r="B167" s="614" t="s">
        <v>618</v>
      </c>
      <c r="C167" s="616"/>
      <c r="D167" s="616"/>
      <c r="E167" s="616"/>
      <c r="F167" s="616"/>
      <c r="G167" s="616"/>
      <c r="H167" s="466"/>
      <c r="I167" s="616"/>
      <c r="J167" s="616"/>
      <c r="K167" s="1603">
        <f>SUM(C167:J167)</f>
        <v>0</v>
      </c>
      <c r="L167" s="466"/>
    </row>
    <row r="168" spans="1:14" ht="13.5" thickBot="1" x14ac:dyDescent="0.25">
      <c r="A168" s="1600" t="s">
        <v>276</v>
      </c>
      <c r="B168" s="1607" t="s">
        <v>718</v>
      </c>
      <c r="C168" s="616"/>
      <c r="D168" s="616"/>
      <c r="E168" s="616"/>
      <c r="F168" s="616"/>
      <c r="G168" s="616"/>
      <c r="H168" s="1602">
        <f>SUM(H163:H167)</f>
        <v>0</v>
      </c>
      <c r="I168" s="616"/>
      <c r="J168" s="616"/>
      <c r="K168" s="1602">
        <f>SUM(K163:K167)</f>
        <v>0</v>
      </c>
      <c r="L168" s="1602">
        <f>SUM(L163:L167)</f>
        <v>606885202</v>
      </c>
    </row>
    <row r="169" spans="1:14" ht="15.75" customHeight="1" thickTop="1" x14ac:dyDescent="0.2">
      <c r="A169" s="669" t="s">
        <v>83</v>
      </c>
      <c r="B169" s="670" t="s">
        <v>38</v>
      </c>
      <c r="C169" s="616"/>
      <c r="D169" s="616"/>
      <c r="E169" s="616"/>
      <c r="F169" s="616"/>
      <c r="G169" s="616"/>
      <c r="H169" s="656">
        <f>459288954-175000</f>
        <v>459113954</v>
      </c>
      <c r="I169" s="616"/>
      <c r="J169" s="616"/>
      <c r="K169" s="1603">
        <f>SUM(C169:H169)</f>
        <v>459113954</v>
      </c>
      <c r="L169" s="656"/>
    </row>
    <row r="170" spans="1:14" ht="33.75" customHeight="1" x14ac:dyDescent="0.2">
      <c r="A170" s="669" t="s">
        <v>1659</v>
      </c>
      <c r="B170" s="671" t="s">
        <v>31</v>
      </c>
      <c r="C170" s="616"/>
      <c r="D170" s="616"/>
      <c r="E170" s="616"/>
      <c r="F170" s="616"/>
      <c r="G170" s="616"/>
      <c r="H170" s="569">
        <f>158584948+175000</f>
        <v>158759948</v>
      </c>
      <c r="I170" s="616"/>
      <c r="J170" s="616"/>
      <c r="K170" s="1603">
        <f>SUM(C170:J170)</f>
        <v>158759948</v>
      </c>
      <c r="L170" s="569"/>
    </row>
    <row r="171" spans="1:14" ht="15.75" customHeight="1" x14ac:dyDescent="0.2">
      <c r="A171" s="621" t="s">
        <v>766</v>
      </c>
      <c r="B171" s="672" t="s">
        <v>84</v>
      </c>
      <c r="C171" s="616"/>
      <c r="D171" s="616"/>
      <c r="E171" s="466"/>
      <c r="F171" s="616"/>
      <c r="G171" s="616"/>
      <c r="H171" s="569">
        <f>8368595+3312331</f>
        <v>11680926</v>
      </c>
      <c r="I171" s="477"/>
      <c r="J171" s="616"/>
      <c r="K171" s="1603">
        <f>SUM(C171:J171)</f>
        <v>11680926</v>
      </c>
      <c r="L171" s="569"/>
    </row>
    <row r="172" spans="1:14" ht="12.75" customHeight="1" thickBot="1" x14ac:dyDescent="0.25">
      <c r="A172" s="1600" t="s">
        <v>638</v>
      </c>
      <c r="B172" s="1601" t="s">
        <v>492</v>
      </c>
      <c r="C172" s="616"/>
      <c r="D172" s="616"/>
      <c r="E172" s="1609">
        <f>SUM(E168,E169,E170,E171)</f>
        <v>0</v>
      </c>
      <c r="F172" s="616"/>
      <c r="G172" s="616"/>
      <c r="H172" s="1609">
        <f>SUM(H168,H169,H170,H171)</f>
        <v>629554828</v>
      </c>
      <c r="I172" s="638"/>
      <c r="J172" s="616"/>
      <c r="K172" s="1609">
        <f>SUM(K168,K169,K170,K171)</f>
        <v>629554828</v>
      </c>
      <c r="L172" s="1609">
        <f>SUM(L168,L169,L170,L171)</f>
        <v>606885202</v>
      </c>
    </row>
    <row r="173" spans="1:14" ht="15.75" customHeight="1" thickTop="1" thickBot="1" x14ac:dyDescent="0.25">
      <c r="A173" s="1552" t="s">
        <v>85</v>
      </c>
      <c r="B173" s="1544" t="s">
        <v>861</v>
      </c>
      <c r="C173" s="616"/>
      <c r="D173" s="616"/>
      <c r="E173" s="623"/>
      <c r="F173" s="616"/>
      <c r="G173" s="616"/>
      <c r="H173" s="626"/>
      <c r="I173" s="638"/>
      <c r="J173" s="616"/>
      <c r="K173" s="623"/>
      <c r="L173" s="576"/>
    </row>
    <row r="174" spans="1:14" ht="12.75" customHeight="1" thickTop="1" thickBot="1" x14ac:dyDescent="0.25">
      <c r="A174" s="1621" t="s">
        <v>90</v>
      </c>
      <c r="B174" s="1622"/>
      <c r="C174" s="616"/>
      <c r="D174" s="616"/>
      <c r="E174" s="1609">
        <f>SUM(E172,E173)</f>
        <v>0</v>
      </c>
      <c r="F174" s="616"/>
      <c r="G174" s="616"/>
      <c r="H174" s="1609">
        <f>SUM(H160,H172,H173)</f>
        <v>629554828</v>
      </c>
      <c r="I174" s="638"/>
      <c r="J174" s="616"/>
      <c r="K174" s="1609">
        <f>SUM(K160,K172,K173)</f>
        <v>629554828</v>
      </c>
      <c r="L174" s="1609">
        <f>SUM(L160,L172,L173)</f>
        <v>606885202</v>
      </c>
    </row>
    <row r="175" spans="1:14" ht="13.5" thickTop="1" x14ac:dyDescent="0.2">
      <c r="A175" s="2218" t="s">
        <v>996</v>
      </c>
      <c r="B175" s="2219"/>
      <c r="C175" s="616"/>
      <c r="D175" s="616"/>
      <c r="E175" s="616"/>
      <c r="F175" s="616"/>
      <c r="G175" s="616"/>
      <c r="H175" s="618"/>
      <c r="I175" s="616"/>
      <c r="J175" s="616"/>
      <c r="K175" s="1616">
        <f>'Revenues 9-14'!E268-'Expenditures 15-22'!K174</f>
        <v>-69841911</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487" t="s">
        <v>937</v>
      </c>
      <c r="B177" s="1488"/>
      <c r="C177" s="1484"/>
      <c r="D177" s="1485"/>
      <c r="E177" s="1485"/>
      <c r="F177" s="1485"/>
      <c r="G177" s="1485"/>
      <c r="H177" s="1485"/>
      <c r="I177" s="1485"/>
      <c r="J177" s="1485"/>
      <c r="K177" s="1485"/>
      <c r="L177" s="1486"/>
      <c r="M177" s="609"/>
      <c r="N177" s="609"/>
    </row>
    <row r="178" spans="1:14" s="674" customFormat="1" ht="15.75" customHeight="1" x14ac:dyDescent="0.2">
      <c r="A178" s="1553" t="s">
        <v>938</v>
      </c>
      <c r="B178" s="1554"/>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437" t="s">
        <v>2035</v>
      </c>
      <c r="B180" s="614" t="s">
        <v>716</v>
      </c>
      <c r="C180" s="466"/>
      <c r="D180" s="466"/>
      <c r="E180" s="466"/>
      <c r="F180" s="466"/>
      <c r="G180" s="466"/>
      <c r="H180" s="466"/>
      <c r="I180" s="467"/>
      <c r="J180" s="467"/>
      <c r="K180" s="1603">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437" t="s">
        <v>953</v>
      </c>
      <c r="B182" s="614">
        <v>2550</v>
      </c>
      <c r="C182" s="466"/>
      <c r="D182" s="466"/>
      <c r="E182" s="466"/>
      <c r="F182" s="466"/>
      <c r="G182" s="466"/>
      <c r="H182" s="466"/>
      <c r="I182" s="467"/>
      <c r="J182" s="467"/>
      <c r="K182" s="1603">
        <f>SUM(C182:J182)</f>
        <v>0</v>
      </c>
      <c r="L182" s="466"/>
    </row>
    <row r="183" spans="1:14" ht="12.75" customHeight="1" thickBot="1" x14ac:dyDescent="0.25">
      <c r="A183" s="1442" t="s">
        <v>980</v>
      </c>
      <c r="B183" s="677">
        <v>2900</v>
      </c>
      <c r="C183" s="573"/>
      <c r="D183" s="573"/>
      <c r="E183" s="573"/>
      <c r="F183" s="573"/>
      <c r="G183" s="573"/>
      <c r="H183" s="573"/>
      <c r="I183" s="532"/>
      <c r="J183" s="532"/>
      <c r="K183" s="1609">
        <f>SUM(C183:J183)</f>
        <v>0</v>
      </c>
      <c r="L183" s="573"/>
    </row>
    <row r="184" spans="1:14" ht="12.75" customHeight="1" thickTop="1" thickBot="1" x14ac:dyDescent="0.25">
      <c r="A184" s="1623" t="s">
        <v>811</v>
      </c>
      <c r="B184" s="1601" t="s">
        <v>569</v>
      </c>
      <c r="C184" s="1609">
        <f>SUM(C180,C182,C183)</f>
        <v>0</v>
      </c>
      <c r="D184" s="1609">
        <f t="shared" ref="D184:J184" si="17">SUM(D180,D182,D183)</f>
        <v>0</v>
      </c>
      <c r="E184" s="1609">
        <f t="shared" si="17"/>
        <v>0</v>
      </c>
      <c r="F184" s="1609">
        <f t="shared" si="17"/>
        <v>0</v>
      </c>
      <c r="G184" s="1609">
        <f t="shared" si="17"/>
        <v>0</v>
      </c>
      <c r="H184" s="1609">
        <f t="shared" si="17"/>
        <v>0</v>
      </c>
      <c r="I184" s="1609">
        <f t="shared" si="17"/>
        <v>0</v>
      </c>
      <c r="J184" s="1609">
        <f t="shared" si="17"/>
        <v>0</v>
      </c>
      <c r="K184" s="1609">
        <f>SUM(K180,K182,K183)</f>
        <v>0</v>
      </c>
      <c r="L184" s="1609">
        <f>SUM(L180, L182:L183)</f>
        <v>0</v>
      </c>
    </row>
    <row r="185" spans="1:14" ht="15.75" customHeight="1" thickTop="1" thickBot="1" x14ac:dyDescent="0.25">
      <c r="A185" s="1555" t="s">
        <v>939</v>
      </c>
      <c r="B185" s="1544">
        <v>3000</v>
      </c>
      <c r="C185" s="576"/>
      <c r="D185" s="576"/>
      <c r="E185" s="576"/>
      <c r="F185" s="576"/>
      <c r="G185" s="576"/>
      <c r="H185" s="576"/>
      <c r="I185" s="531"/>
      <c r="J185" s="531"/>
      <c r="K185" s="1602">
        <f>SUM(C185:J185)</f>
        <v>0</v>
      </c>
      <c r="L185" s="576"/>
    </row>
    <row r="186" spans="1:14" s="674" customFormat="1" ht="15.75" customHeight="1" thickTop="1" x14ac:dyDescent="0.2">
      <c r="A186" s="1539" t="s">
        <v>91</v>
      </c>
      <c r="B186" s="1542"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437" t="s">
        <v>496</v>
      </c>
      <c r="B188" s="614">
        <v>4110</v>
      </c>
      <c r="C188" s="616"/>
      <c r="D188" s="616"/>
      <c r="E188" s="466"/>
      <c r="F188" s="616"/>
      <c r="G188" s="616"/>
      <c r="H188" s="466"/>
      <c r="I188" s="477"/>
      <c r="J188" s="616"/>
      <c r="K188" s="1603">
        <f t="shared" ref="K188:K193" si="18">SUM(E188,H188)</f>
        <v>0</v>
      </c>
      <c r="L188" s="466"/>
    </row>
    <row r="189" spans="1:14" x14ac:dyDescent="0.2">
      <c r="A189" s="1437" t="s">
        <v>304</v>
      </c>
      <c r="B189" s="614">
        <v>4120</v>
      </c>
      <c r="C189" s="616"/>
      <c r="D189" s="616"/>
      <c r="E189" s="466"/>
      <c r="F189" s="616"/>
      <c r="G189" s="616"/>
      <c r="H189" s="466"/>
      <c r="I189" s="477"/>
      <c r="J189" s="616"/>
      <c r="K189" s="1603">
        <f t="shared" si="18"/>
        <v>0</v>
      </c>
      <c r="L189" s="466"/>
    </row>
    <row r="190" spans="1:14" x14ac:dyDescent="0.2">
      <c r="A190" s="1437" t="s">
        <v>305</v>
      </c>
      <c r="B190" s="628">
        <v>4130</v>
      </c>
      <c r="C190" s="616"/>
      <c r="D190" s="616"/>
      <c r="E190" s="466"/>
      <c r="F190" s="616"/>
      <c r="G190" s="616"/>
      <c r="H190" s="466"/>
      <c r="I190" s="477"/>
      <c r="J190" s="616"/>
      <c r="K190" s="1603">
        <f t="shared" si="18"/>
        <v>0</v>
      </c>
      <c r="L190" s="466"/>
    </row>
    <row r="191" spans="1:14" x14ac:dyDescent="0.2">
      <c r="A191" s="1437" t="s">
        <v>697</v>
      </c>
      <c r="B191" s="614">
        <v>4140</v>
      </c>
      <c r="C191" s="616"/>
      <c r="D191" s="616"/>
      <c r="E191" s="466"/>
      <c r="F191" s="616"/>
      <c r="G191" s="616"/>
      <c r="H191" s="466"/>
      <c r="I191" s="477"/>
      <c r="J191" s="616"/>
      <c r="K191" s="1603">
        <f t="shared" si="18"/>
        <v>0</v>
      </c>
      <c r="L191" s="466"/>
    </row>
    <row r="192" spans="1:14" x14ac:dyDescent="0.2">
      <c r="A192" s="1437" t="s">
        <v>86</v>
      </c>
      <c r="B192" s="614">
        <v>4170</v>
      </c>
      <c r="C192" s="616"/>
      <c r="D192" s="616"/>
      <c r="E192" s="466"/>
      <c r="F192" s="616"/>
      <c r="G192" s="616"/>
      <c r="H192" s="466"/>
      <c r="I192" s="477"/>
      <c r="J192" s="616"/>
      <c r="K192" s="1603">
        <f t="shared" si="18"/>
        <v>0</v>
      </c>
      <c r="L192" s="466"/>
    </row>
    <row r="193" spans="1:14" x14ac:dyDescent="0.2">
      <c r="A193" s="1441" t="s">
        <v>698</v>
      </c>
      <c r="B193" s="628">
        <v>4190</v>
      </c>
      <c r="C193" s="616"/>
      <c r="D193" s="616"/>
      <c r="E193" s="466"/>
      <c r="F193" s="616"/>
      <c r="G193" s="616"/>
      <c r="H193" s="466"/>
      <c r="I193" s="477"/>
      <c r="J193" s="616"/>
      <c r="K193" s="1603">
        <f t="shared" si="18"/>
        <v>0</v>
      </c>
      <c r="L193" s="466"/>
    </row>
    <row r="194" spans="1:14" ht="12.75" customHeight="1" thickBot="1" x14ac:dyDescent="0.25">
      <c r="A194" s="1600" t="s">
        <v>1140</v>
      </c>
      <c r="B194" s="1601" t="s">
        <v>559</v>
      </c>
      <c r="C194" s="616"/>
      <c r="D194" s="616"/>
      <c r="E194" s="1602">
        <f>SUM(E188:E193)</f>
        <v>0</v>
      </c>
      <c r="F194" s="616"/>
      <c r="G194" s="616"/>
      <c r="H194" s="1602">
        <f>SUM(H188:H193)</f>
        <v>0</v>
      </c>
      <c r="I194" s="477"/>
      <c r="J194" s="616"/>
      <c r="K194" s="1602">
        <f>SUM(K188:K193)</f>
        <v>0</v>
      </c>
      <c r="L194" s="1602">
        <f>SUM(L188:L193)</f>
        <v>0</v>
      </c>
    </row>
    <row r="195" spans="1:14" ht="15.75" customHeight="1" thickTop="1" x14ac:dyDescent="0.2">
      <c r="A195" s="669" t="s">
        <v>92</v>
      </c>
      <c r="B195" s="678" t="s">
        <v>931</v>
      </c>
      <c r="C195" s="616"/>
      <c r="D195" s="616"/>
      <c r="E195" s="656"/>
      <c r="F195" s="616"/>
      <c r="G195" s="616"/>
      <c r="H195" s="656"/>
      <c r="I195" s="477"/>
      <c r="J195" s="616"/>
      <c r="K195" s="1617">
        <f>SUM(E195,H195)</f>
        <v>0</v>
      </c>
      <c r="L195" s="656"/>
    </row>
    <row r="196" spans="1:14" ht="12.75" customHeight="1" thickBot="1" x14ac:dyDescent="0.25">
      <c r="A196" s="1600" t="s">
        <v>1482</v>
      </c>
      <c r="B196" s="1601" t="s">
        <v>860</v>
      </c>
      <c r="C196" s="616"/>
      <c r="D196" s="616"/>
      <c r="E196" s="1609">
        <f>SUM(E194,E195)</f>
        <v>0</v>
      </c>
      <c r="F196" s="616"/>
      <c r="G196" s="616"/>
      <c r="H196" s="1609">
        <f>SUM(H194,H195)</f>
        <v>0</v>
      </c>
      <c r="I196" s="477"/>
      <c r="J196" s="616"/>
      <c r="K196" s="1609">
        <f>SUM(K194,K195)</f>
        <v>0</v>
      </c>
      <c r="L196" s="1609">
        <f>SUM(L194,L195)</f>
        <v>0</v>
      </c>
    </row>
    <row r="197" spans="1:14" s="674" customFormat="1" ht="15.75" customHeight="1" thickTop="1" x14ac:dyDescent="0.2">
      <c r="A197" s="1545" t="s">
        <v>940</v>
      </c>
      <c r="B197" s="1542"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437" t="s">
        <v>87</v>
      </c>
      <c r="B199" s="614">
        <v>5110</v>
      </c>
      <c r="C199" s="616"/>
      <c r="D199" s="616"/>
      <c r="E199" s="616"/>
      <c r="F199" s="616"/>
      <c r="G199" s="616"/>
      <c r="H199" s="466"/>
      <c r="I199" s="616"/>
      <c r="J199" s="616"/>
      <c r="K199" s="1603">
        <f>SUM(H199)</f>
        <v>0</v>
      </c>
      <c r="L199" s="466"/>
    </row>
    <row r="200" spans="1:14" x14ac:dyDescent="0.2">
      <c r="A200" s="1437" t="s">
        <v>88</v>
      </c>
      <c r="B200" s="614">
        <v>5120</v>
      </c>
      <c r="C200" s="616"/>
      <c r="D200" s="616"/>
      <c r="E200" s="616"/>
      <c r="F200" s="616"/>
      <c r="G200" s="616"/>
      <c r="H200" s="466"/>
      <c r="I200" s="616"/>
      <c r="J200" s="616"/>
      <c r="K200" s="1603">
        <f>SUM(H200)</f>
        <v>0</v>
      </c>
      <c r="L200" s="466"/>
    </row>
    <row r="201" spans="1:14" ht="12.75" customHeight="1" x14ac:dyDescent="0.2">
      <c r="A201" s="1437" t="s">
        <v>1170</v>
      </c>
      <c r="B201" s="628" t="s">
        <v>617</v>
      </c>
      <c r="C201" s="616"/>
      <c r="D201" s="616"/>
      <c r="E201" s="616"/>
      <c r="F201" s="616"/>
      <c r="G201" s="616"/>
      <c r="H201" s="466"/>
      <c r="I201" s="616"/>
      <c r="J201" s="616"/>
      <c r="K201" s="1603">
        <f>SUM(H201)</f>
        <v>0</v>
      </c>
      <c r="L201" s="466"/>
    </row>
    <row r="202" spans="1:14" x14ac:dyDescent="0.2">
      <c r="A202" s="1437" t="s">
        <v>89</v>
      </c>
      <c r="B202" s="614" t="s">
        <v>589</v>
      </c>
      <c r="C202" s="616"/>
      <c r="D202" s="616"/>
      <c r="E202" s="616"/>
      <c r="F202" s="616"/>
      <c r="G202" s="616"/>
      <c r="H202" s="466"/>
      <c r="I202" s="616"/>
      <c r="J202" s="616"/>
      <c r="K202" s="1603">
        <f>SUM(H202)</f>
        <v>0</v>
      </c>
      <c r="L202" s="466"/>
    </row>
    <row r="203" spans="1:14" x14ac:dyDescent="0.2">
      <c r="A203" s="1449" t="s">
        <v>619</v>
      </c>
      <c r="B203" s="614" t="s">
        <v>618</v>
      </c>
      <c r="C203" s="616"/>
      <c r="D203" s="616"/>
      <c r="E203" s="616"/>
      <c r="F203" s="616"/>
      <c r="G203" s="616"/>
      <c r="H203" s="471"/>
      <c r="I203" s="616"/>
      <c r="J203" s="616"/>
      <c r="K203" s="1603">
        <f>SUM(H203)</f>
        <v>0</v>
      </c>
      <c r="L203" s="471"/>
    </row>
    <row r="204" spans="1:14" ht="13.5" thickBot="1" x14ac:dyDescent="0.25">
      <c r="A204" s="1600" t="s">
        <v>276</v>
      </c>
      <c r="B204" s="1601" t="s">
        <v>718</v>
      </c>
      <c r="C204" s="616"/>
      <c r="D204" s="616"/>
      <c r="E204" s="616"/>
      <c r="F204" s="616"/>
      <c r="G204" s="616"/>
      <c r="H204" s="1602">
        <f>SUM(H199:H203)</f>
        <v>0</v>
      </c>
      <c r="I204" s="616"/>
      <c r="J204" s="616"/>
      <c r="K204" s="1602">
        <f>SUM(K199:K203)</f>
        <v>0</v>
      </c>
      <c r="L204" s="1602">
        <f>SUM(L199:L203)</f>
        <v>0</v>
      </c>
    </row>
    <row r="205" spans="1:14" ht="15.75" customHeight="1" thickTop="1" x14ac:dyDescent="0.2">
      <c r="A205" s="679" t="s">
        <v>83</v>
      </c>
      <c r="B205" s="680" t="s">
        <v>38</v>
      </c>
      <c r="C205" s="616"/>
      <c r="D205" s="616"/>
      <c r="E205" s="616"/>
      <c r="F205" s="616"/>
      <c r="G205" s="616"/>
      <c r="H205" s="535"/>
      <c r="I205" s="616"/>
      <c r="J205" s="616"/>
      <c r="K205" s="1617">
        <f>SUM(H205)</f>
        <v>0</v>
      </c>
      <c r="L205" s="535"/>
    </row>
    <row r="206" spans="1:14" ht="30" customHeight="1" x14ac:dyDescent="0.2">
      <c r="A206" s="681" t="s">
        <v>1660</v>
      </c>
      <c r="B206" s="672" t="s">
        <v>31</v>
      </c>
      <c r="C206" s="616"/>
      <c r="D206" s="616"/>
      <c r="E206" s="616"/>
      <c r="F206" s="616"/>
      <c r="G206" s="616"/>
      <c r="H206" s="466"/>
      <c r="I206" s="616"/>
      <c r="J206" s="616"/>
      <c r="K206" s="1603">
        <f>SUM(H206)</f>
        <v>0</v>
      </c>
      <c r="L206" s="466"/>
    </row>
    <row r="207" spans="1:14" ht="15.75" customHeight="1" x14ac:dyDescent="0.2">
      <c r="A207" s="621" t="s">
        <v>766</v>
      </c>
      <c r="B207" s="672" t="s">
        <v>84</v>
      </c>
      <c r="C207" s="616"/>
      <c r="D207" s="616"/>
      <c r="E207" s="616"/>
      <c r="F207" s="616"/>
      <c r="G207" s="616"/>
      <c r="H207" s="467"/>
      <c r="I207" s="616"/>
      <c r="J207" s="616"/>
      <c r="K207" s="1603">
        <f>H207</f>
        <v>0</v>
      </c>
      <c r="L207" s="466"/>
    </row>
    <row r="208" spans="1:14" ht="12.75" customHeight="1" thickBot="1" x14ac:dyDescent="0.25">
      <c r="A208" s="1618" t="s">
        <v>638</v>
      </c>
      <c r="B208" s="1619" t="s">
        <v>492</v>
      </c>
      <c r="C208" s="616"/>
      <c r="D208" s="616"/>
      <c r="E208" s="616"/>
      <c r="F208" s="616"/>
      <c r="G208" s="616"/>
      <c r="H208" s="1609">
        <f>SUM(H204,H205,H206,H207)</f>
        <v>0</v>
      </c>
      <c r="I208" s="616"/>
      <c r="J208" s="616"/>
      <c r="K208" s="1609">
        <f>SUM(K204,K205,K206,K207)</f>
        <v>0</v>
      </c>
      <c r="L208" s="1609">
        <f>SUM(L204,L205,L206,L207)</f>
        <v>0</v>
      </c>
    </row>
    <row r="209" spans="1:14" ht="15.75" customHeight="1" thickTop="1" thickBot="1" x14ac:dyDescent="0.25">
      <c r="A209" s="1539" t="s">
        <v>872</v>
      </c>
      <c r="B209" s="1546" t="s">
        <v>861</v>
      </c>
      <c r="C209" s="623"/>
      <c r="D209" s="623"/>
      <c r="E209" s="623"/>
      <c r="F209" s="623"/>
      <c r="G209" s="623"/>
      <c r="H209" s="623"/>
      <c r="I209" s="616"/>
      <c r="J209" s="616"/>
      <c r="K209" s="623"/>
      <c r="L209" s="576"/>
    </row>
    <row r="210" spans="1:14" ht="12.75" customHeight="1" thickTop="1" thickBot="1" x14ac:dyDescent="0.25">
      <c r="A210" s="1624" t="s">
        <v>277</v>
      </c>
      <c r="B210" s="1625"/>
      <c r="C210" s="1602">
        <f>SUM(C184,C185)</f>
        <v>0</v>
      </c>
      <c r="D210" s="1602">
        <f>SUM(D184,D185)</f>
        <v>0</v>
      </c>
      <c r="E210" s="1602">
        <f>SUM(E184,E185,E196)</f>
        <v>0</v>
      </c>
      <c r="F210" s="1602">
        <f>SUM(F184,F185)</f>
        <v>0</v>
      </c>
      <c r="G210" s="1602">
        <f>SUM(G184,G185)</f>
        <v>0</v>
      </c>
      <c r="H210" s="1602">
        <f>SUM(H184,H185,H196,H208,H209)</f>
        <v>0</v>
      </c>
      <c r="I210" s="1602">
        <f>SUM(I184,I185)</f>
        <v>0</v>
      </c>
      <c r="J210" s="1602">
        <f>SUM(J184,J185)</f>
        <v>0</v>
      </c>
      <c r="K210" s="1603">
        <f>SUM(K184,K185,K196,K208,K209)</f>
        <v>0</v>
      </c>
      <c r="L210" s="1602">
        <f>SUM(L184,L185,L196,L208,L209)</f>
        <v>0</v>
      </c>
    </row>
    <row r="211" spans="1:14" ht="13.5" thickTop="1" x14ac:dyDescent="0.2">
      <c r="A211" s="2218" t="s">
        <v>996</v>
      </c>
      <c r="B211" s="2219"/>
      <c r="C211" s="618"/>
      <c r="D211" s="618"/>
      <c r="E211" s="618"/>
      <c r="F211" s="618"/>
      <c r="G211" s="618"/>
      <c r="H211" s="618"/>
      <c r="I211" s="616"/>
      <c r="J211" s="616"/>
      <c r="K211" s="1616">
        <f>'Revenues 9-14'!F268-'Expenditures 15-22'!K210</f>
        <v>0</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213" t="s">
        <v>965</v>
      </c>
      <c r="B213" s="2214"/>
      <c r="C213" s="1484"/>
      <c r="D213" s="1485"/>
      <c r="E213" s="1485"/>
      <c r="F213" s="1485"/>
      <c r="G213" s="1485"/>
      <c r="H213" s="1485"/>
      <c r="I213" s="1485"/>
      <c r="J213" s="1485"/>
      <c r="K213" s="1485"/>
      <c r="L213" s="1486"/>
      <c r="M213" s="609"/>
      <c r="N213" s="609"/>
    </row>
    <row r="214" spans="1:14" s="674" customFormat="1" ht="15.75" customHeight="1" x14ac:dyDescent="0.2">
      <c r="A214" s="1556" t="s">
        <v>873</v>
      </c>
      <c r="B214" s="1548" t="s">
        <v>570</v>
      </c>
      <c r="C214" s="616"/>
      <c r="D214" s="623"/>
      <c r="E214" s="616"/>
      <c r="F214" s="616"/>
      <c r="G214" s="616"/>
      <c r="H214" s="616"/>
      <c r="I214" s="616"/>
      <c r="J214" s="616"/>
      <c r="K214" s="623"/>
      <c r="L214" s="623"/>
      <c r="M214" s="665"/>
      <c r="N214" s="665"/>
    </row>
    <row r="215" spans="1:14" x14ac:dyDescent="0.2">
      <c r="A215" s="1437" t="s">
        <v>961</v>
      </c>
      <c r="B215" s="614">
        <v>1100</v>
      </c>
      <c r="C215" s="616"/>
      <c r="D215" s="466"/>
      <c r="E215" s="616"/>
      <c r="F215" s="616"/>
      <c r="G215" s="616"/>
      <c r="H215" s="616"/>
      <c r="I215" s="616"/>
      <c r="J215" s="616"/>
      <c r="K215" s="1603">
        <f>D215</f>
        <v>0</v>
      </c>
      <c r="L215" s="466"/>
    </row>
    <row r="216" spans="1:14" x14ac:dyDescent="0.2">
      <c r="A216" s="1437" t="s">
        <v>163</v>
      </c>
      <c r="B216" s="614" t="s">
        <v>967</v>
      </c>
      <c r="C216" s="616"/>
      <c r="D216" s="467"/>
      <c r="E216" s="616"/>
      <c r="F216" s="616"/>
      <c r="G216" s="616"/>
      <c r="H216" s="616"/>
      <c r="I216" s="616"/>
      <c r="J216" s="616"/>
      <c r="K216" s="1603">
        <f t="shared" ref="K216:K228" si="19">D216</f>
        <v>0</v>
      </c>
      <c r="L216" s="466"/>
    </row>
    <row r="217" spans="1:14" x14ac:dyDescent="0.2">
      <c r="A217" s="1437" t="s">
        <v>164</v>
      </c>
      <c r="B217" s="614">
        <v>1200</v>
      </c>
      <c r="C217" s="616"/>
      <c r="D217" s="466"/>
      <c r="E217" s="616"/>
      <c r="F217" s="616"/>
      <c r="G217" s="616"/>
      <c r="H217" s="616"/>
      <c r="I217" s="616"/>
      <c r="J217" s="616"/>
      <c r="K217" s="1603">
        <f t="shared" si="19"/>
        <v>0</v>
      </c>
      <c r="L217" s="466"/>
    </row>
    <row r="218" spans="1:14" x14ac:dyDescent="0.2">
      <c r="A218" s="1437" t="s">
        <v>278</v>
      </c>
      <c r="B218" s="614" t="s">
        <v>968</v>
      </c>
      <c r="C218" s="616"/>
      <c r="D218" s="467"/>
      <c r="E218" s="616"/>
      <c r="F218" s="616"/>
      <c r="G218" s="616"/>
      <c r="H218" s="616"/>
      <c r="I218" s="616"/>
      <c r="J218" s="616"/>
      <c r="K218" s="1603">
        <f t="shared" si="19"/>
        <v>0</v>
      </c>
      <c r="L218" s="466"/>
    </row>
    <row r="219" spans="1:14" x14ac:dyDescent="0.2">
      <c r="A219" s="1437" t="s">
        <v>279</v>
      </c>
      <c r="B219" s="614">
        <v>1250</v>
      </c>
      <c r="C219" s="616"/>
      <c r="D219" s="466"/>
      <c r="E219" s="616"/>
      <c r="F219" s="616"/>
      <c r="G219" s="616"/>
      <c r="H219" s="616"/>
      <c r="I219" s="616"/>
      <c r="J219" s="616"/>
      <c r="K219" s="1603">
        <f t="shared" si="19"/>
        <v>0</v>
      </c>
      <c r="L219" s="466"/>
    </row>
    <row r="220" spans="1:14" x14ac:dyDescent="0.2">
      <c r="A220" s="1437" t="s">
        <v>280</v>
      </c>
      <c r="B220" s="614" t="s">
        <v>161</v>
      </c>
      <c r="C220" s="616"/>
      <c r="D220" s="467"/>
      <c r="E220" s="616"/>
      <c r="F220" s="616"/>
      <c r="G220" s="616"/>
      <c r="H220" s="616"/>
      <c r="I220" s="616"/>
      <c r="J220" s="616"/>
      <c r="K220" s="1603">
        <f t="shared" si="19"/>
        <v>0</v>
      </c>
      <c r="L220" s="466"/>
    </row>
    <row r="221" spans="1:14" x14ac:dyDescent="0.2">
      <c r="A221" s="1437" t="s">
        <v>962</v>
      </c>
      <c r="B221" s="614">
        <v>1300</v>
      </c>
      <c r="C221" s="616"/>
      <c r="D221" s="466"/>
      <c r="E221" s="616"/>
      <c r="F221" s="616"/>
      <c r="G221" s="616"/>
      <c r="H221" s="616"/>
      <c r="I221" s="616"/>
      <c r="J221" s="616"/>
      <c r="K221" s="1603">
        <f t="shared" si="19"/>
        <v>0</v>
      </c>
      <c r="L221" s="466"/>
    </row>
    <row r="222" spans="1:14" x14ac:dyDescent="0.2">
      <c r="A222" s="1437" t="s">
        <v>723</v>
      </c>
      <c r="B222" s="614">
        <v>1400</v>
      </c>
      <c r="C222" s="616"/>
      <c r="D222" s="466"/>
      <c r="E222" s="616"/>
      <c r="F222" s="616"/>
      <c r="G222" s="616"/>
      <c r="H222" s="616"/>
      <c r="I222" s="616"/>
      <c r="J222" s="616"/>
      <c r="K222" s="1603">
        <f t="shared" si="19"/>
        <v>0</v>
      </c>
      <c r="L222" s="466"/>
    </row>
    <row r="223" spans="1:14" x14ac:dyDescent="0.2">
      <c r="A223" s="1437" t="s">
        <v>963</v>
      </c>
      <c r="B223" s="614">
        <v>1500</v>
      </c>
      <c r="C223" s="616"/>
      <c r="D223" s="466"/>
      <c r="E223" s="616"/>
      <c r="F223" s="616"/>
      <c r="G223" s="616"/>
      <c r="H223" s="616"/>
      <c r="I223" s="616"/>
      <c r="J223" s="616"/>
      <c r="K223" s="1603">
        <f t="shared" si="19"/>
        <v>0</v>
      </c>
      <c r="L223" s="466"/>
    </row>
    <row r="224" spans="1:14" x14ac:dyDescent="0.2">
      <c r="A224" s="1437" t="s">
        <v>964</v>
      </c>
      <c r="B224" s="614">
        <v>1600</v>
      </c>
      <c r="C224" s="616"/>
      <c r="D224" s="466"/>
      <c r="E224" s="616"/>
      <c r="F224" s="616"/>
      <c r="G224" s="616"/>
      <c r="H224" s="616"/>
      <c r="I224" s="616"/>
      <c r="J224" s="616"/>
      <c r="K224" s="1603">
        <f t="shared" si="19"/>
        <v>0</v>
      </c>
      <c r="L224" s="466"/>
    </row>
    <row r="225" spans="1:12" x14ac:dyDescent="0.2">
      <c r="A225" s="1437" t="s">
        <v>987</v>
      </c>
      <c r="B225" s="614">
        <v>1650</v>
      </c>
      <c r="C225" s="616"/>
      <c r="D225" s="466"/>
      <c r="E225" s="616"/>
      <c r="F225" s="616"/>
      <c r="G225" s="616"/>
      <c r="H225" s="616"/>
      <c r="I225" s="616"/>
      <c r="J225" s="616"/>
      <c r="K225" s="1603">
        <f t="shared" si="19"/>
        <v>0</v>
      </c>
      <c r="L225" s="466"/>
    </row>
    <row r="226" spans="1:12" x14ac:dyDescent="0.2">
      <c r="A226" s="1437" t="s">
        <v>724</v>
      </c>
      <c r="B226" s="614" t="s">
        <v>162</v>
      </c>
      <c r="C226" s="616"/>
      <c r="D226" s="467"/>
      <c r="E226" s="616"/>
      <c r="F226" s="616"/>
      <c r="G226" s="616"/>
      <c r="H226" s="616"/>
      <c r="I226" s="616"/>
      <c r="J226" s="616"/>
      <c r="K226" s="1603">
        <f t="shared" si="19"/>
        <v>0</v>
      </c>
      <c r="L226" s="466"/>
    </row>
    <row r="227" spans="1:12" x14ac:dyDescent="0.2">
      <c r="A227" s="1437" t="s">
        <v>1087</v>
      </c>
      <c r="B227" s="614">
        <v>1800</v>
      </c>
      <c r="C227" s="616"/>
      <c r="D227" s="466"/>
      <c r="E227" s="616"/>
      <c r="F227" s="616"/>
      <c r="G227" s="616"/>
      <c r="H227" s="616"/>
      <c r="I227" s="616"/>
      <c r="J227" s="616"/>
      <c r="K227" s="1603">
        <f t="shared" si="19"/>
        <v>0</v>
      </c>
      <c r="L227" s="466"/>
    </row>
    <row r="228" spans="1:12" x14ac:dyDescent="0.2">
      <c r="A228" s="1437" t="s">
        <v>1088</v>
      </c>
      <c r="B228" s="614">
        <v>1900</v>
      </c>
      <c r="C228" s="616"/>
      <c r="D228" s="466"/>
      <c r="E228" s="616"/>
      <c r="F228" s="616"/>
      <c r="G228" s="616"/>
      <c r="H228" s="616"/>
      <c r="I228" s="616"/>
      <c r="J228" s="616"/>
      <c r="K228" s="1603">
        <f t="shared" si="19"/>
        <v>0</v>
      </c>
      <c r="L228" s="466"/>
    </row>
    <row r="229" spans="1:12" ht="12.75" customHeight="1" thickBot="1" x14ac:dyDescent="0.25">
      <c r="A229" s="1600" t="s">
        <v>715</v>
      </c>
      <c r="B229" s="1607" t="s">
        <v>570</v>
      </c>
      <c r="C229" s="616"/>
      <c r="D229" s="1602">
        <f>SUM(D215:D228)</f>
        <v>0</v>
      </c>
      <c r="E229" s="616"/>
      <c r="F229" s="616"/>
      <c r="G229" s="616"/>
      <c r="H229" s="616"/>
      <c r="I229" s="616"/>
      <c r="J229" s="616"/>
      <c r="K229" s="1602">
        <f>SUM(K215:K228)</f>
        <v>0</v>
      </c>
      <c r="L229" s="1602">
        <f>SUM(L215:L228)</f>
        <v>0</v>
      </c>
    </row>
    <row r="230" spans="1:12" ht="15.75" customHeight="1" thickTop="1" x14ac:dyDescent="0.2">
      <c r="A230" s="1545" t="s">
        <v>874</v>
      </c>
      <c r="B230" s="1546"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437" t="s">
        <v>1089</v>
      </c>
      <c r="B232" s="614">
        <v>2110</v>
      </c>
      <c r="C232" s="616"/>
      <c r="D232" s="466"/>
      <c r="E232" s="616"/>
      <c r="F232" s="616"/>
      <c r="G232" s="616"/>
      <c r="H232" s="616"/>
      <c r="I232" s="616"/>
      <c r="J232" s="616"/>
      <c r="K232" s="1603">
        <f t="shared" ref="K232:K237" si="20">D232</f>
        <v>0</v>
      </c>
      <c r="L232" s="466"/>
    </row>
    <row r="233" spans="1:12" x14ac:dyDescent="0.2">
      <c r="A233" s="1437" t="s">
        <v>1090</v>
      </c>
      <c r="B233" s="614">
        <v>2120</v>
      </c>
      <c r="C233" s="616"/>
      <c r="D233" s="466"/>
      <c r="E233" s="616"/>
      <c r="F233" s="616"/>
      <c r="G233" s="616"/>
      <c r="H233" s="616"/>
      <c r="I233" s="616"/>
      <c r="J233" s="616"/>
      <c r="K233" s="1603">
        <f t="shared" si="20"/>
        <v>0</v>
      </c>
      <c r="L233" s="466"/>
    </row>
    <row r="234" spans="1:12" x14ac:dyDescent="0.2">
      <c r="A234" s="1437" t="s">
        <v>198</v>
      </c>
      <c r="B234" s="614">
        <v>2130</v>
      </c>
      <c r="C234" s="616"/>
      <c r="D234" s="466"/>
      <c r="E234" s="616"/>
      <c r="F234" s="616"/>
      <c r="G234" s="616"/>
      <c r="H234" s="616"/>
      <c r="I234" s="616"/>
      <c r="J234" s="616"/>
      <c r="K234" s="1603">
        <f t="shared" si="20"/>
        <v>0</v>
      </c>
      <c r="L234" s="466"/>
    </row>
    <row r="235" spans="1:12" x14ac:dyDescent="0.2">
      <c r="A235" s="1437" t="s">
        <v>199</v>
      </c>
      <c r="B235" s="614">
        <v>2140</v>
      </c>
      <c r="C235" s="616"/>
      <c r="D235" s="466"/>
      <c r="E235" s="616"/>
      <c r="F235" s="616"/>
      <c r="G235" s="616"/>
      <c r="H235" s="616"/>
      <c r="I235" s="616"/>
      <c r="J235" s="616"/>
      <c r="K235" s="1603">
        <f t="shared" si="20"/>
        <v>0</v>
      </c>
      <c r="L235" s="466"/>
    </row>
    <row r="236" spans="1:12" x14ac:dyDescent="0.2">
      <c r="A236" s="1437" t="s">
        <v>200</v>
      </c>
      <c r="B236" s="614">
        <v>2150</v>
      </c>
      <c r="C236" s="616"/>
      <c r="D236" s="466"/>
      <c r="E236" s="616"/>
      <c r="F236" s="616"/>
      <c r="G236" s="616"/>
      <c r="H236" s="616"/>
      <c r="I236" s="616"/>
      <c r="J236" s="616"/>
      <c r="K236" s="1603">
        <f t="shared" si="20"/>
        <v>0</v>
      </c>
      <c r="L236" s="466"/>
    </row>
    <row r="237" spans="1:12" x14ac:dyDescent="0.2">
      <c r="A237" s="1437" t="s">
        <v>165</v>
      </c>
      <c r="B237" s="614">
        <v>2190</v>
      </c>
      <c r="C237" s="616"/>
      <c r="D237" s="466"/>
      <c r="E237" s="616"/>
      <c r="F237" s="616"/>
      <c r="G237" s="616"/>
      <c r="H237" s="616"/>
      <c r="I237" s="616"/>
      <c r="J237" s="616"/>
      <c r="K237" s="1603">
        <f t="shared" si="20"/>
        <v>0</v>
      </c>
      <c r="L237" s="466"/>
    </row>
    <row r="238" spans="1:12" ht="12.75" customHeight="1" thickBot="1" x14ac:dyDescent="0.25">
      <c r="A238" s="1600" t="s">
        <v>560</v>
      </c>
      <c r="B238" s="1607" t="s">
        <v>716</v>
      </c>
      <c r="C238" s="616"/>
      <c r="D238" s="1602">
        <f>SUM(D232:D237)</f>
        <v>0</v>
      </c>
      <c r="E238" s="616"/>
      <c r="F238" s="616"/>
      <c r="G238" s="616"/>
      <c r="H238" s="616"/>
      <c r="I238" s="616"/>
      <c r="J238" s="616"/>
      <c r="K238" s="1602">
        <f>SUM(K232:K237)</f>
        <v>0</v>
      </c>
      <c r="L238" s="1602">
        <f>SUM(L232:L237)</f>
        <v>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437" t="s">
        <v>814</v>
      </c>
      <c r="B240" s="614">
        <v>2210</v>
      </c>
      <c r="C240" s="616"/>
      <c r="D240" s="481"/>
      <c r="E240" s="616"/>
      <c r="F240" s="616"/>
      <c r="G240" s="616"/>
      <c r="H240" s="616"/>
      <c r="I240" s="616"/>
      <c r="J240" s="616"/>
      <c r="K240" s="1604">
        <f>D240</f>
        <v>0</v>
      </c>
      <c r="L240" s="481"/>
    </row>
    <row r="241" spans="1:12" x14ac:dyDescent="0.2">
      <c r="A241" s="1437" t="s">
        <v>815</v>
      </c>
      <c r="B241" s="614">
        <v>2220</v>
      </c>
      <c r="C241" s="616"/>
      <c r="D241" s="466"/>
      <c r="E241" s="616"/>
      <c r="F241" s="616"/>
      <c r="G241" s="616"/>
      <c r="H241" s="616"/>
      <c r="I241" s="616"/>
      <c r="J241" s="616"/>
      <c r="K241" s="1604">
        <f>D241</f>
        <v>0</v>
      </c>
      <c r="L241" s="466"/>
    </row>
    <row r="242" spans="1:12" x14ac:dyDescent="0.2">
      <c r="A242" s="1437" t="s">
        <v>816</v>
      </c>
      <c r="B242" s="614">
        <v>2230</v>
      </c>
      <c r="C242" s="616"/>
      <c r="D242" s="466"/>
      <c r="E242" s="616"/>
      <c r="F242" s="616"/>
      <c r="G242" s="616"/>
      <c r="H242" s="616"/>
      <c r="I242" s="616"/>
      <c r="J242" s="616"/>
      <c r="K242" s="1604">
        <f>D242</f>
        <v>0</v>
      </c>
      <c r="L242" s="466"/>
    </row>
    <row r="243" spans="1:12" ht="12.75" customHeight="1" thickBot="1" x14ac:dyDescent="0.25">
      <c r="A243" s="1626" t="s">
        <v>561</v>
      </c>
      <c r="B243" s="1627">
        <v>2200</v>
      </c>
      <c r="C243" s="616"/>
      <c r="D243" s="1602">
        <f>SUM(D240:D242)</f>
        <v>0</v>
      </c>
      <c r="E243" s="616"/>
      <c r="F243" s="616"/>
      <c r="G243" s="616"/>
      <c r="H243" s="616"/>
      <c r="I243" s="616"/>
      <c r="J243" s="616"/>
      <c r="K243" s="1602">
        <f>SUM(K240:K242)</f>
        <v>0</v>
      </c>
      <c r="L243" s="1602">
        <f>SUM(L240:L242)</f>
        <v>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437" t="s">
        <v>817</v>
      </c>
      <c r="B245" s="614">
        <v>2310</v>
      </c>
      <c r="C245" s="616"/>
      <c r="D245" s="481"/>
      <c r="E245" s="616"/>
      <c r="F245" s="616"/>
      <c r="G245" s="616"/>
      <c r="H245" s="616"/>
      <c r="I245" s="616"/>
      <c r="J245" s="616"/>
      <c r="K245" s="1604">
        <f>D245</f>
        <v>0</v>
      </c>
      <c r="L245" s="481"/>
    </row>
    <row r="246" spans="1:12" x14ac:dyDescent="0.2">
      <c r="A246" s="1437" t="s">
        <v>818</v>
      </c>
      <c r="B246" s="614">
        <v>2320</v>
      </c>
      <c r="C246" s="616"/>
      <c r="D246" s="466"/>
      <c r="E246" s="616"/>
      <c r="F246" s="616"/>
      <c r="G246" s="616"/>
      <c r="H246" s="616"/>
      <c r="I246" s="616"/>
      <c r="J246" s="616"/>
      <c r="K246" s="1604">
        <f t="shared" ref="K246:K256" si="21">D246</f>
        <v>0</v>
      </c>
      <c r="L246" s="466"/>
    </row>
    <row r="247" spans="1:12" x14ac:dyDescent="0.2">
      <c r="A247" s="1437" t="s">
        <v>819</v>
      </c>
      <c r="B247" s="614">
        <v>2330</v>
      </c>
      <c r="C247" s="616"/>
      <c r="D247" s="466"/>
      <c r="E247" s="616"/>
      <c r="F247" s="616"/>
      <c r="G247" s="616"/>
      <c r="H247" s="616"/>
      <c r="I247" s="616"/>
      <c r="J247" s="616"/>
      <c r="K247" s="1604">
        <f t="shared" si="21"/>
        <v>0</v>
      </c>
      <c r="L247" s="466"/>
    </row>
    <row r="248" spans="1:12" x14ac:dyDescent="0.2">
      <c r="A248" s="1438" t="s">
        <v>299</v>
      </c>
      <c r="B248" s="602" t="s">
        <v>281</v>
      </c>
      <c r="C248" s="616"/>
      <c r="D248" s="474"/>
      <c r="E248" s="616"/>
      <c r="F248" s="616"/>
      <c r="G248" s="616"/>
      <c r="H248" s="616"/>
      <c r="I248" s="616"/>
      <c r="J248" s="616"/>
      <c r="K248" s="1604">
        <f t="shared" si="21"/>
        <v>0</v>
      </c>
      <c r="L248" s="466"/>
    </row>
    <row r="249" spans="1:12" x14ac:dyDescent="0.2">
      <c r="A249" s="1439" t="s">
        <v>1783</v>
      </c>
      <c r="B249" s="683" t="s">
        <v>282</v>
      </c>
      <c r="C249" s="616"/>
      <c r="D249" s="474"/>
      <c r="E249" s="616"/>
      <c r="F249" s="616"/>
      <c r="G249" s="616"/>
      <c r="H249" s="616"/>
      <c r="I249" s="616"/>
      <c r="J249" s="616"/>
      <c r="K249" s="1604">
        <f t="shared" si="21"/>
        <v>0</v>
      </c>
      <c r="L249" s="466"/>
    </row>
    <row r="250" spans="1:12" x14ac:dyDescent="0.2">
      <c r="A250" s="1438" t="s">
        <v>1784</v>
      </c>
      <c r="B250" s="602" t="s">
        <v>283</v>
      </c>
      <c r="C250" s="616"/>
      <c r="D250" s="474"/>
      <c r="E250" s="616"/>
      <c r="F250" s="616"/>
      <c r="G250" s="616"/>
      <c r="H250" s="616"/>
      <c r="I250" s="616"/>
      <c r="J250" s="616"/>
      <c r="K250" s="1604">
        <f t="shared" si="21"/>
        <v>0</v>
      </c>
      <c r="L250" s="466"/>
    </row>
    <row r="251" spans="1:12" x14ac:dyDescent="0.2">
      <c r="A251" s="1438" t="s">
        <v>238</v>
      </c>
      <c r="B251" s="602" t="s">
        <v>284</v>
      </c>
      <c r="C251" s="616"/>
      <c r="D251" s="474"/>
      <c r="E251" s="616"/>
      <c r="F251" s="616"/>
      <c r="G251" s="616"/>
      <c r="H251" s="616"/>
      <c r="I251" s="616"/>
      <c r="J251" s="616"/>
      <c r="K251" s="1604">
        <f t="shared" si="21"/>
        <v>0</v>
      </c>
      <c r="L251" s="466"/>
    </row>
    <row r="252" spans="1:12" x14ac:dyDescent="0.2">
      <c r="A252" s="1438" t="s">
        <v>702</v>
      </c>
      <c r="B252" s="602" t="s">
        <v>285</v>
      </c>
      <c r="C252" s="616"/>
      <c r="D252" s="474"/>
      <c r="E252" s="616"/>
      <c r="F252" s="616"/>
      <c r="G252" s="616"/>
      <c r="H252" s="616"/>
      <c r="I252" s="616"/>
      <c r="J252" s="616"/>
      <c r="K252" s="1604">
        <f t="shared" si="21"/>
        <v>0</v>
      </c>
      <c r="L252" s="466"/>
    </row>
    <row r="253" spans="1:12" x14ac:dyDescent="0.2">
      <c r="A253" s="1438" t="s">
        <v>239</v>
      </c>
      <c r="B253" s="602" t="s">
        <v>286</v>
      </c>
      <c r="C253" s="616"/>
      <c r="D253" s="474"/>
      <c r="E253" s="616"/>
      <c r="F253" s="616"/>
      <c r="G253" s="616"/>
      <c r="H253" s="616"/>
      <c r="I253" s="616"/>
      <c r="J253" s="616"/>
      <c r="K253" s="1604">
        <f t="shared" si="21"/>
        <v>0</v>
      </c>
      <c r="L253" s="466"/>
    </row>
    <row r="254" spans="1:12" ht="22.5" x14ac:dyDescent="0.2">
      <c r="A254" s="1438" t="s">
        <v>1029</v>
      </c>
      <c r="B254" s="683" t="s">
        <v>287</v>
      </c>
      <c r="C254" s="616"/>
      <c r="D254" s="474"/>
      <c r="E254" s="616"/>
      <c r="F254" s="616"/>
      <c r="G254" s="616"/>
      <c r="H254" s="616"/>
      <c r="I254" s="616"/>
      <c r="J254" s="616"/>
      <c r="K254" s="1604">
        <f t="shared" si="21"/>
        <v>0</v>
      </c>
      <c r="L254" s="466"/>
    </row>
    <row r="255" spans="1:12" x14ac:dyDescent="0.2">
      <c r="A255" s="1438" t="s">
        <v>1030</v>
      </c>
      <c r="B255" s="602" t="s">
        <v>288</v>
      </c>
      <c r="C255" s="616"/>
      <c r="D255" s="474"/>
      <c r="E255" s="616"/>
      <c r="F255" s="616"/>
      <c r="G255" s="616"/>
      <c r="H255" s="616"/>
      <c r="I255" s="616"/>
      <c r="J255" s="616"/>
      <c r="K255" s="1604">
        <f t="shared" si="21"/>
        <v>0</v>
      </c>
      <c r="L255" s="466"/>
    </row>
    <row r="256" spans="1:12" x14ac:dyDescent="0.2">
      <c r="A256" s="1438" t="s">
        <v>971</v>
      </c>
      <c r="B256" s="614" t="s">
        <v>289</v>
      </c>
      <c r="C256" s="616"/>
      <c r="D256" s="474"/>
      <c r="E256" s="616"/>
      <c r="F256" s="616"/>
      <c r="G256" s="616"/>
      <c r="H256" s="616"/>
      <c r="I256" s="616"/>
      <c r="J256" s="616"/>
      <c r="K256" s="1604">
        <f t="shared" si="21"/>
        <v>0</v>
      </c>
      <c r="L256" s="466"/>
    </row>
    <row r="257" spans="1:14" ht="12.75" customHeight="1" thickBot="1" x14ac:dyDescent="0.25">
      <c r="A257" s="1600" t="s">
        <v>717</v>
      </c>
      <c r="B257" s="1628">
        <v>2300</v>
      </c>
      <c r="C257" s="616"/>
      <c r="D257" s="1602">
        <f>SUM(D245:D256)</f>
        <v>0</v>
      </c>
      <c r="E257" s="616"/>
      <c r="F257" s="616"/>
      <c r="G257" s="616"/>
      <c r="H257" s="616"/>
      <c r="I257" s="616"/>
      <c r="J257" s="616"/>
      <c r="K257" s="1602">
        <f>SUM(K245:K256)</f>
        <v>0</v>
      </c>
      <c r="L257" s="1602">
        <f>SUM(L245:L256)</f>
        <v>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437" t="s">
        <v>1067</v>
      </c>
      <c r="B259" s="685">
        <v>2410</v>
      </c>
      <c r="C259" s="616"/>
      <c r="D259" s="481"/>
      <c r="E259" s="616"/>
      <c r="F259" s="616"/>
      <c r="G259" s="616"/>
      <c r="H259" s="616"/>
      <c r="I259" s="616"/>
      <c r="J259" s="616"/>
      <c r="K259" s="1604">
        <f>D259</f>
        <v>0</v>
      </c>
      <c r="L259" s="481"/>
    </row>
    <row r="260" spans="1:14" s="597" customFormat="1" x14ac:dyDescent="0.2">
      <c r="A260" s="1455" t="s">
        <v>1782</v>
      </c>
      <c r="B260" s="628">
        <v>2490</v>
      </c>
      <c r="C260" s="616"/>
      <c r="D260" s="466"/>
      <c r="E260" s="616"/>
      <c r="F260" s="616"/>
      <c r="G260" s="616"/>
      <c r="H260" s="616"/>
      <c r="I260" s="616"/>
      <c r="J260" s="616"/>
      <c r="K260" s="1604">
        <f>D260</f>
        <v>0</v>
      </c>
      <c r="L260" s="466"/>
      <c r="M260" s="210"/>
      <c r="N260" s="210"/>
    </row>
    <row r="261" spans="1:14" ht="12.75" customHeight="1" thickBot="1" x14ac:dyDescent="0.25">
      <c r="A261" s="1624" t="s">
        <v>263</v>
      </c>
      <c r="B261" s="1629" t="s">
        <v>34</v>
      </c>
      <c r="C261" s="616"/>
      <c r="D261" s="1602">
        <f>SUM(D259:D260)</f>
        <v>0</v>
      </c>
      <c r="E261" s="616"/>
      <c r="F261" s="616"/>
      <c r="G261" s="616"/>
      <c r="H261" s="616"/>
      <c r="I261" s="616"/>
      <c r="J261" s="616"/>
      <c r="K261" s="1602">
        <f>SUM(K259:K260)</f>
        <v>0</v>
      </c>
      <c r="L261" s="1602">
        <f>SUM(L259:L260)</f>
        <v>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437" t="s">
        <v>1068</v>
      </c>
      <c r="B263" s="685">
        <v>2510</v>
      </c>
      <c r="C263" s="616"/>
      <c r="D263" s="466"/>
      <c r="E263" s="616"/>
      <c r="F263" s="616"/>
      <c r="G263" s="616"/>
      <c r="H263" s="616"/>
      <c r="I263" s="616"/>
      <c r="J263" s="616"/>
      <c r="K263" s="1604">
        <f>D263</f>
        <v>0</v>
      </c>
      <c r="L263" s="481"/>
    </row>
    <row r="264" spans="1:14" x14ac:dyDescent="0.2">
      <c r="A264" s="1437" t="s">
        <v>463</v>
      </c>
      <c r="B264" s="685">
        <v>2520</v>
      </c>
      <c r="C264" s="616"/>
      <c r="D264" s="466"/>
      <c r="E264" s="616"/>
      <c r="F264" s="616"/>
      <c r="G264" s="616"/>
      <c r="H264" s="616"/>
      <c r="I264" s="616"/>
      <c r="J264" s="616"/>
      <c r="K264" s="1604">
        <f t="shared" ref="K264:K269" si="22">D264</f>
        <v>0</v>
      </c>
      <c r="L264" s="466"/>
    </row>
    <row r="265" spans="1:14" x14ac:dyDescent="0.2">
      <c r="A265" s="1437" t="s">
        <v>4</v>
      </c>
      <c r="B265" s="614">
        <v>2530</v>
      </c>
      <c r="C265" s="616"/>
      <c r="D265" s="466"/>
      <c r="E265" s="616"/>
      <c r="F265" s="616"/>
      <c r="G265" s="616"/>
      <c r="H265" s="616"/>
      <c r="I265" s="616"/>
      <c r="J265" s="616"/>
      <c r="K265" s="1604">
        <f t="shared" si="22"/>
        <v>0</v>
      </c>
      <c r="L265" s="466"/>
    </row>
    <row r="266" spans="1:14" x14ac:dyDescent="0.2">
      <c r="A266" s="1437" t="s">
        <v>197</v>
      </c>
      <c r="B266" s="614">
        <v>2540</v>
      </c>
      <c r="C266" s="616"/>
      <c r="D266" s="466"/>
      <c r="E266" s="616"/>
      <c r="F266" s="616"/>
      <c r="G266" s="616"/>
      <c r="H266" s="616"/>
      <c r="I266" s="616"/>
      <c r="J266" s="616"/>
      <c r="K266" s="1604">
        <f t="shared" si="22"/>
        <v>0</v>
      </c>
      <c r="L266" s="466"/>
    </row>
    <row r="267" spans="1:14" x14ac:dyDescent="0.2">
      <c r="A267" s="1437" t="s">
        <v>953</v>
      </c>
      <c r="B267" s="614">
        <v>2550</v>
      </c>
      <c r="C267" s="616"/>
      <c r="D267" s="466"/>
      <c r="E267" s="616"/>
      <c r="F267" s="616"/>
      <c r="G267" s="616"/>
      <c r="H267" s="616"/>
      <c r="I267" s="616"/>
      <c r="J267" s="616"/>
      <c r="K267" s="1604">
        <f t="shared" si="22"/>
        <v>0</v>
      </c>
      <c r="L267" s="466"/>
    </row>
    <row r="268" spans="1:14" x14ac:dyDescent="0.2">
      <c r="A268" s="1437" t="s">
        <v>100</v>
      </c>
      <c r="B268" s="614">
        <v>2560</v>
      </c>
      <c r="C268" s="616"/>
      <c r="D268" s="466"/>
      <c r="E268" s="616"/>
      <c r="F268" s="616"/>
      <c r="G268" s="616"/>
      <c r="H268" s="616"/>
      <c r="I268" s="616"/>
      <c r="J268" s="616"/>
      <c r="K268" s="1604">
        <f t="shared" si="22"/>
        <v>0</v>
      </c>
      <c r="L268" s="466"/>
    </row>
    <row r="269" spans="1:14" x14ac:dyDescent="0.2">
      <c r="A269" s="1437" t="s">
        <v>101</v>
      </c>
      <c r="B269" s="614">
        <v>2570</v>
      </c>
      <c r="C269" s="616"/>
      <c r="D269" s="466"/>
      <c r="E269" s="616"/>
      <c r="F269" s="616"/>
      <c r="G269" s="616"/>
      <c r="H269" s="616"/>
      <c r="I269" s="616"/>
      <c r="J269" s="616"/>
      <c r="K269" s="1604">
        <f t="shared" si="22"/>
        <v>0</v>
      </c>
      <c r="L269" s="466"/>
    </row>
    <row r="270" spans="1:14" ht="12.75" customHeight="1" thickBot="1" x14ac:dyDescent="0.25">
      <c r="A270" s="1600" t="s">
        <v>719</v>
      </c>
      <c r="B270" s="1607" t="s">
        <v>35</v>
      </c>
      <c r="C270" s="616"/>
      <c r="D270" s="1602">
        <f>SUM(D263:D269)</f>
        <v>0</v>
      </c>
      <c r="E270" s="616"/>
      <c r="F270" s="616"/>
      <c r="G270" s="616"/>
      <c r="H270" s="616"/>
      <c r="I270" s="616"/>
      <c r="J270" s="616"/>
      <c r="K270" s="1602">
        <f>SUM(K263:K269)</f>
        <v>0</v>
      </c>
      <c r="L270" s="1602">
        <f>SUM(L263:L269)</f>
        <v>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437" t="s">
        <v>1060</v>
      </c>
      <c r="B272" s="614">
        <v>2610</v>
      </c>
      <c r="C272" s="616"/>
      <c r="D272" s="481"/>
      <c r="E272" s="616"/>
      <c r="F272" s="616"/>
      <c r="G272" s="616"/>
      <c r="H272" s="616"/>
      <c r="I272" s="616"/>
      <c r="J272" s="616"/>
      <c r="K272" s="1604">
        <f>D272</f>
        <v>0</v>
      </c>
      <c r="L272" s="481"/>
    </row>
    <row r="273" spans="1:12" x14ac:dyDescent="0.2">
      <c r="A273" s="1437" t="s">
        <v>607</v>
      </c>
      <c r="B273" s="628">
        <v>2620</v>
      </c>
      <c r="C273" s="616"/>
      <c r="D273" s="466"/>
      <c r="E273" s="616"/>
      <c r="F273" s="616"/>
      <c r="G273" s="616"/>
      <c r="H273" s="616"/>
      <c r="I273" s="616"/>
      <c r="J273" s="616"/>
      <c r="K273" s="1604">
        <f>D273</f>
        <v>0</v>
      </c>
      <c r="L273" s="466"/>
    </row>
    <row r="274" spans="1:12" ht="12" customHeight="1" x14ac:dyDescent="0.2">
      <c r="A274" s="1437" t="s">
        <v>1061</v>
      </c>
      <c r="B274" s="614">
        <v>2630</v>
      </c>
      <c r="C274" s="616"/>
      <c r="D274" s="466"/>
      <c r="E274" s="616"/>
      <c r="F274" s="616"/>
      <c r="G274" s="616"/>
      <c r="H274" s="616"/>
      <c r="I274" s="616"/>
      <c r="J274" s="616"/>
      <c r="K274" s="1604">
        <f>D274</f>
        <v>0</v>
      </c>
      <c r="L274" s="466"/>
    </row>
    <row r="275" spans="1:12" x14ac:dyDescent="0.2">
      <c r="A275" s="1437" t="s">
        <v>403</v>
      </c>
      <c r="B275" s="614">
        <v>2640</v>
      </c>
      <c r="C275" s="616"/>
      <c r="D275" s="466"/>
      <c r="E275" s="616"/>
      <c r="F275" s="616"/>
      <c r="G275" s="616"/>
      <c r="H275" s="616"/>
      <c r="I275" s="616"/>
      <c r="J275" s="616"/>
      <c r="K275" s="1604">
        <f>D275</f>
        <v>0</v>
      </c>
      <c r="L275" s="466"/>
    </row>
    <row r="276" spans="1:12" x14ac:dyDescent="0.2">
      <c r="A276" s="1437" t="s">
        <v>404</v>
      </c>
      <c r="B276" s="614">
        <v>2660</v>
      </c>
      <c r="C276" s="616"/>
      <c r="D276" s="466"/>
      <c r="E276" s="616"/>
      <c r="F276" s="616"/>
      <c r="G276" s="616"/>
      <c r="H276" s="616"/>
      <c r="I276" s="616"/>
      <c r="J276" s="616"/>
      <c r="K276" s="1604">
        <f>D276</f>
        <v>0</v>
      </c>
      <c r="L276" s="466"/>
    </row>
    <row r="277" spans="1:12" ht="12.75" customHeight="1" thickBot="1" x14ac:dyDescent="0.25">
      <c r="A277" s="1623" t="s">
        <v>37</v>
      </c>
      <c r="B277" s="1601" t="s">
        <v>36</v>
      </c>
      <c r="C277" s="616"/>
      <c r="D277" s="1602">
        <f>SUM(D272:D276)</f>
        <v>0</v>
      </c>
      <c r="E277" s="616"/>
      <c r="F277" s="616"/>
      <c r="G277" s="616"/>
      <c r="H277" s="616"/>
      <c r="I277" s="616"/>
      <c r="J277" s="616"/>
      <c r="K277" s="1602">
        <f>SUM(K272:K276)</f>
        <v>0</v>
      </c>
      <c r="L277" s="1602">
        <f>SUM(L272:L276)</f>
        <v>0</v>
      </c>
    </row>
    <row r="278" spans="1:12" ht="13.5" customHeight="1" thickTop="1" x14ac:dyDescent="0.2">
      <c r="A278" s="1443" t="s">
        <v>980</v>
      </c>
      <c r="B278" s="655" t="s">
        <v>574</v>
      </c>
      <c r="C278" s="616"/>
      <c r="D278" s="656"/>
      <c r="E278" s="616"/>
      <c r="F278" s="616"/>
      <c r="G278" s="616"/>
      <c r="H278" s="616"/>
      <c r="I278" s="616"/>
      <c r="J278" s="616"/>
      <c r="K278" s="1617">
        <f>D278</f>
        <v>0</v>
      </c>
      <c r="L278" s="656"/>
    </row>
    <row r="279" spans="1:12" ht="12.75" customHeight="1" thickBot="1" x14ac:dyDescent="0.25">
      <c r="A279" s="1630" t="s">
        <v>811</v>
      </c>
      <c r="B279" s="1613">
        <v>2000</v>
      </c>
      <c r="C279" s="616"/>
      <c r="D279" s="1609">
        <f>SUM(D238,D243,D257,D261,D270,D277,D278)</f>
        <v>0</v>
      </c>
      <c r="E279" s="616"/>
      <c r="F279" s="616"/>
      <c r="G279" s="616"/>
      <c r="H279" s="616"/>
      <c r="I279" s="616"/>
      <c r="J279" s="616"/>
      <c r="K279" s="1609">
        <f>SUM(K238,K243,K257,K261,K270,K277,K278)</f>
        <v>0</v>
      </c>
      <c r="L279" s="1609">
        <f>SUM(L238,L243,L257,L261,L270,L277,L278)</f>
        <v>0</v>
      </c>
    </row>
    <row r="280" spans="1:12" ht="15.75" customHeight="1" thickTop="1" thickBot="1" x14ac:dyDescent="0.25">
      <c r="A280" s="1557" t="s">
        <v>875</v>
      </c>
      <c r="B280" s="1546">
        <v>3000</v>
      </c>
      <c r="C280" s="616"/>
      <c r="D280" s="576"/>
      <c r="E280" s="616"/>
      <c r="F280" s="616"/>
      <c r="G280" s="616"/>
      <c r="H280" s="616"/>
      <c r="I280" s="616"/>
      <c r="J280" s="616"/>
      <c r="K280" s="1611">
        <f>D280</f>
        <v>0</v>
      </c>
      <c r="L280" s="576"/>
    </row>
    <row r="281" spans="1:12" ht="15.75" customHeight="1" thickTop="1" x14ac:dyDescent="0.2">
      <c r="A281" s="1547" t="s">
        <v>142</v>
      </c>
      <c r="B281" s="1548" t="s">
        <v>860</v>
      </c>
      <c r="C281" s="616"/>
      <c r="D281" s="566"/>
      <c r="E281" s="616"/>
      <c r="F281" s="616"/>
      <c r="G281" s="616"/>
      <c r="H281" s="616"/>
      <c r="I281" s="616"/>
      <c r="J281" s="616"/>
      <c r="K281" s="616"/>
      <c r="L281" s="616"/>
    </row>
    <row r="282" spans="1:12" ht="15.75" customHeight="1" x14ac:dyDescent="0.2">
      <c r="A282" s="1762" t="s">
        <v>496</v>
      </c>
      <c r="B282" s="690" t="s">
        <v>1821</v>
      </c>
      <c r="C282" s="616"/>
      <c r="D282" s="467"/>
      <c r="E282" s="616"/>
      <c r="F282" s="616"/>
      <c r="G282" s="616"/>
      <c r="H282" s="616"/>
      <c r="I282" s="616"/>
      <c r="J282" s="616"/>
      <c r="K282" s="1603">
        <f>D282</f>
        <v>0</v>
      </c>
      <c r="L282" s="467"/>
    </row>
    <row r="283" spans="1:12" x14ac:dyDescent="0.2">
      <c r="A283" s="1437" t="s">
        <v>304</v>
      </c>
      <c r="B283" s="614">
        <v>4120</v>
      </c>
      <c r="C283" s="616"/>
      <c r="D283" s="466"/>
      <c r="E283" s="616"/>
      <c r="F283" s="616"/>
      <c r="G283" s="616"/>
      <c r="H283" s="616"/>
      <c r="I283" s="616"/>
      <c r="J283" s="616"/>
      <c r="K283" s="1603">
        <f>D283</f>
        <v>0</v>
      </c>
      <c r="L283" s="466"/>
    </row>
    <row r="284" spans="1:12" x14ac:dyDescent="0.2">
      <c r="A284" s="1437" t="s">
        <v>697</v>
      </c>
      <c r="B284" s="614">
        <v>4140</v>
      </c>
      <c r="C284" s="616"/>
      <c r="D284" s="467"/>
      <c r="E284" s="616"/>
      <c r="F284" s="616"/>
      <c r="G284" s="616"/>
      <c r="H284" s="616"/>
      <c r="I284" s="616"/>
      <c r="J284" s="616"/>
      <c r="K284" s="1603">
        <f>D284</f>
        <v>0</v>
      </c>
      <c r="L284" s="466"/>
    </row>
    <row r="285" spans="1:12" ht="12.75" customHeight="1" thickBot="1" x14ac:dyDescent="0.25">
      <c r="A285" s="1600" t="s">
        <v>1482</v>
      </c>
      <c r="B285" s="1601" t="s">
        <v>860</v>
      </c>
      <c r="C285" s="616"/>
      <c r="D285" s="1602">
        <f>SUM(D282:D284)</f>
        <v>0</v>
      </c>
      <c r="E285" s="616"/>
      <c r="F285" s="616"/>
      <c r="G285" s="616"/>
      <c r="H285" s="616"/>
      <c r="I285" s="616"/>
      <c r="J285" s="616"/>
      <c r="K285" s="1602">
        <f>SUM(K282:K284)</f>
        <v>0</v>
      </c>
      <c r="L285" s="1602">
        <f>SUM(L282:L284)</f>
        <v>0</v>
      </c>
    </row>
    <row r="286" spans="1:12" ht="15.75" customHeight="1" thickTop="1" x14ac:dyDescent="0.2">
      <c r="A286" s="1545" t="s">
        <v>876</v>
      </c>
      <c r="B286" s="1542"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437" t="s">
        <v>87</v>
      </c>
      <c r="B288" s="614">
        <v>5110</v>
      </c>
      <c r="C288" s="616"/>
      <c r="D288" s="616"/>
      <c r="E288" s="616"/>
      <c r="F288" s="616"/>
      <c r="G288" s="616"/>
      <c r="H288" s="466"/>
      <c r="I288" s="616"/>
      <c r="J288" s="616"/>
      <c r="K288" s="1603">
        <f>H288</f>
        <v>0</v>
      </c>
      <c r="L288" s="466"/>
    </row>
    <row r="289" spans="1:14" x14ac:dyDescent="0.2">
      <c r="A289" s="1437" t="s">
        <v>88</v>
      </c>
      <c r="B289" s="614">
        <v>5120</v>
      </c>
      <c r="C289" s="616"/>
      <c r="D289" s="616"/>
      <c r="E289" s="616"/>
      <c r="F289" s="616"/>
      <c r="G289" s="616"/>
      <c r="H289" s="466"/>
      <c r="I289" s="616"/>
      <c r="J289" s="616"/>
      <c r="K289" s="1603">
        <f>H289</f>
        <v>0</v>
      </c>
      <c r="L289" s="466"/>
    </row>
    <row r="290" spans="1:14" ht="12.75" customHeight="1" x14ac:dyDescent="0.2">
      <c r="A290" s="1437" t="s">
        <v>1170</v>
      </c>
      <c r="B290" s="628" t="s">
        <v>617</v>
      </c>
      <c r="C290" s="616"/>
      <c r="D290" s="616"/>
      <c r="E290" s="616"/>
      <c r="F290" s="616"/>
      <c r="G290" s="616"/>
      <c r="H290" s="466"/>
      <c r="I290" s="616"/>
      <c r="J290" s="616"/>
      <c r="K290" s="1603">
        <f>H290</f>
        <v>0</v>
      </c>
      <c r="L290" s="466"/>
    </row>
    <row r="291" spans="1:14" x14ac:dyDescent="0.2">
      <c r="A291" s="1437" t="s">
        <v>89</v>
      </c>
      <c r="B291" s="614" t="s">
        <v>589</v>
      </c>
      <c r="C291" s="616"/>
      <c r="D291" s="616"/>
      <c r="E291" s="616"/>
      <c r="F291" s="616"/>
      <c r="G291" s="616"/>
      <c r="H291" s="466"/>
      <c r="I291" s="616"/>
      <c r="J291" s="616"/>
      <c r="K291" s="1603">
        <f>H291</f>
        <v>0</v>
      </c>
      <c r="L291" s="466"/>
    </row>
    <row r="292" spans="1:14" x14ac:dyDescent="0.2">
      <c r="A292" s="1437" t="s">
        <v>762</v>
      </c>
      <c r="B292" s="614" t="s">
        <v>618</v>
      </c>
      <c r="C292" s="616"/>
      <c r="D292" s="616"/>
      <c r="E292" s="616"/>
      <c r="F292" s="616"/>
      <c r="G292" s="616"/>
      <c r="H292" s="466"/>
      <c r="I292" s="616"/>
      <c r="J292" s="616"/>
      <c r="K292" s="1603">
        <f>H292</f>
        <v>0</v>
      </c>
      <c r="L292" s="466"/>
    </row>
    <row r="293" spans="1:14" ht="12.75" customHeight="1" thickBot="1" x14ac:dyDescent="0.25">
      <c r="A293" s="1600" t="s">
        <v>484</v>
      </c>
      <c r="B293" s="1601" t="s">
        <v>492</v>
      </c>
      <c r="C293" s="616"/>
      <c r="D293" s="616"/>
      <c r="E293" s="616"/>
      <c r="F293" s="616"/>
      <c r="G293" s="616"/>
      <c r="H293" s="1602">
        <f>SUM(H288:H292)</f>
        <v>0</v>
      </c>
      <c r="I293" s="616"/>
      <c r="J293" s="616"/>
      <c r="K293" s="1602">
        <f>SUM(K288:K292)</f>
        <v>0</v>
      </c>
      <c r="L293" s="1602">
        <f>SUM(L288:L292)</f>
        <v>0</v>
      </c>
    </row>
    <row r="294" spans="1:14" ht="15.75" customHeight="1" thickTop="1" thickBot="1" x14ac:dyDescent="0.25">
      <c r="A294" s="1558" t="s">
        <v>877</v>
      </c>
      <c r="B294" s="1546" t="s">
        <v>861</v>
      </c>
      <c r="C294" s="616"/>
      <c r="D294" s="623"/>
      <c r="E294" s="616"/>
      <c r="F294" s="616"/>
      <c r="G294" s="616"/>
      <c r="H294" s="686"/>
      <c r="I294" s="616"/>
      <c r="J294" s="616"/>
      <c r="K294" s="686"/>
      <c r="L294" s="578"/>
    </row>
    <row r="295" spans="1:14" ht="12.75" customHeight="1" thickTop="1" thickBot="1" x14ac:dyDescent="0.25">
      <c r="A295" s="2209" t="s">
        <v>505</v>
      </c>
      <c r="B295" s="2210"/>
      <c r="C295" s="616"/>
      <c r="D295" s="1602">
        <f>SUM(D229,D279,D280,D285)</f>
        <v>0</v>
      </c>
      <c r="E295" s="616"/>
      <c r="F295" s="616"/>
      <c r="G295" s="616"/>
      <c r="H295" s="1602">
        <f>H293</f>
        <v>0</v>
      </c>
      <c r="I295" s="616"/>
      <c r="J295" s="616"/>
      <c r="K295" s="1602">
        <f>SUM(K229,K279,K280,K285,K293,K294)</f>
        <v>0</v>
      </c>
      <c r="L295" s="1602">
        <f>SUM(L229,L279,L280,L285,L293,L294)</f>
        <v>0</v>
      </c>
    </row>
    <row r="296" spans="1:14" ht="13.5" thickTop="1" x14ac:dyDescent="0.2">
      <c r="A296" s="2218" t="s">
        <v>996</v>
      </c>
      <c r="B296" s="2219"/>
      <c r="C296" s="616"/>
      <c r="D296" s="618"/>
      <c r="E296" s="616"/>
      <c r="F296" s="616"/>
      <c r="G296" s="616"/>
      <c r="H296" s="687"/>
      <c r="I296" s="616"/>
      <c r="J296" s="616"/>
      <c r="K296" s="1616">
        <f>'Revenues 9-14'!G268-'Expenditures 15-22'!K295</f>
        <v>0</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201" t="s">
        <v>143</v>
      </c>
      <c r="B298" s="2195"/>
      <c r="C298" s="1484"/>
      <c r="D298" s="1485"/>
      <c r="E298" s="1485"/>
      <c r="F298" s="1485"/>
      <c r="G298" s="1485"/>
      <c r="H298" s="1485"/>
      <c r="I298" s="1485"/>
      <c r="J298" s="1485"/>
      <c r="K298" s="1485"/>
      <c r="L298" s="1486"/>
    </row>
    <row r="299" spans="1:14" ht="15.75" customHeight="1" x14ac:dyDescent="0.2">
      <c r="A299" s="1545" t="s">
        <v>144</v>
      </c>
      <c r="B299" s="1548"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450" t="s">
        <v>608</v>
      </c>
      <c r="B301" s="689">
        <v>2530</v>
      </c>
      <c r="C301" s="466">
        <v>1058949</v>
      </c>
      <c r="D301" s="466">
        <v>154603</v>
      </c>
      <c r="E301" s="466">
        <v>11593327</v>
      </c>
      <c r="F301" s="466">
        <v>0</v>
      </c>
      <c r="G301" s="466">
        <v>567049513</v>
      </c>
      <c r="H301" s="466">
        <v>32452907</v>
      </c>
      <c r="I301" s="467">
        <v>44660</v>
      </c>
      <c r="J301" s="467">
        <v>17293</v>
      </c>
      <c r="K301" s="1603">
        <f>SUM(C301:J301)</f>
        <v>612371252</v>
      </c>
      <c r="L301" s="467">
        <v>989000000</v>
      </c>
    </row>
    <row r="302" spans="1:14" ht="13.5" customHeight="1" x14ac:dyDescent="0.2">
      <c r="A302" s="1450" t="s">
        <v>980</v>
      </c>
      <c r="B302" s="614" t="s">
        <v>574</v>
      </c>
      <c r="C302" s="466"/>
      <c r="D302" s="466"/>
      <c r="E302" s="466"/>
      <c r="F302" s="466"/>
      <c r="G302" s="466"/>
      <c r="H302" s="466"/>
      <c r="I302" s="467"/>
      <c r="J302" s="467"/>
      <c r="K302" s="1603">
        <f>SUM(C302:J302)</f>
        <v>0</v>
      </c>
      <c r="L302" s="466"/>
    </row>
    <row r="303" spans="1:14" ht="12.75" customHeight="1" thickBot="1" x14ac:dyDescent="0.25">
      <c r="A303" s="1600" t="s">
        <v>811</v>
      </c>
      <c r="B303" s="1601" t="s">
        <v>569</v>
      </c>
      <c r="C303" s="1609">
        <f>SUM(C301:C302)</f>
        <v>1058949</v>
      </c>
      <c r="D303" s="1609">
        <f t="shared" ref="D303:L303" si="23">SUM(D301:D302)</f>
        <v>154603</v>
      </c>
      <c r="E303" s="1609">
        <f t="shared" si="23"/>
        <v>11593327</v>
      </c>
      <c r="F303" s="1609">
        <f t="shared" si="23"/>
        <v>0</v>
      </c>
      <c r="G303" s="1609">
        <f t="shared" si="23"/>
        <v>567049513</v>
      </c>
      <c r="H303" s="1609">
        <f t="shared" si="23"/>
        <v>32452907</v>
      </c>
      <c r="I303" s="1609">
        <f t="shared" si="23"/>
        <v>44660</v>
      </c>
      <c r="J303" s="1609">
        <f t="shared" si="23"/>
        <v>17293</v>
      </c>
      <c r="K303" s="1609">
        <f t="shared" si="23"/>
        <v>612371252</v>
      </c>
      <c r="L303" s="1609">
        <f t="shared" si="23"/>
        <v>989000000</v>
      </c>
    </row>
    <row r="304" spans="1:14" ht="15.75" customHeight="1" thickTop="1" x14ac:dyDescent="0.2">
      <c r="A304" s="1545" t="s">
        <v>145</v>
      </c>
      <c r="B304" s="1546"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451" t="s">
        <v>1826</v>
      </c>
      <c r="B306" s="690" t="s">
        <v>1821</v>
      </c>
      <c r="C306" s="616"/>
      <c r="D306" s="616"/>
      <c r="E306" s="467"/>
      <c r="F306" s="616"/>
      <c r="G306" s="616"/>
      <c r="H306" s="467"/>
      <c r="I306" s="616"/>
      <c r="J306" s="616"/>
      <c r="K306" s="1603">
        <f>SUM(E306,H306)</f>
        <v>0</v>
      </c>
      <c r="L306" s="467"/>
    </row>
    <row r="307" spans="1:14" x14ac:dyDescent="0.2">
      <c r="A307" s="1437" t="s">
        <v>304</v>
      </c>
      <c r="B307" s="614">
        <v>4120</v>
      </c>
      <c r="C307" s="616"/>
      <c r="D307" s="616"/>
      <c r="E307" s="467"/>
      <c r="F307" s="616"/>
      <c r="G307" s="616"/>
      <c r="H307" s="467"/>
      <c r="I307" s="477"/>
      <c r="J307" s="616"/>
      <c r="K307" s="1603">
        <f>SUM(E307,H307)</f>
        <v>0</v>
      </c>
      <c r="L307" s="466"/>
    </row>
    <row r="308" spans="1:14" x14ac:dyDescent="0.2">
      <c r="A308" s="1437" t="s">
        <v>697</v>
      </c>
      <c r="B308" s="614">
        <v>4140</v>
      </c>
      <c r="C308" s="616"/>
      <c r="D308" s="616"/>
      <c r="E308" s="467"/>
      <c r="F308" s="616"/>
      <c r="G308" s="616"/>
      <c r="H308" s="467"/>
      <c r="I308" s="477"/>
      <c r="J308" s="616"/>
      <c r="K308" s="1603">
        <f>SUM(E308,H308)</f>
        <v>0</v>
      </c>
      <c r="L308" s="466"/>
    </row>
    <row r="309" spans="1:14" ht="12.75" customHeight="1" x14ac:dyDescent="0.2">
      <c r="A309" s="1441" t="s">
        <v>698</v>
      </c>
      <c r="B309" s="628">
        <v>4190</v>
      </c>
      <c r="C309" s="616"/>
      <c r="D309" s="616"/>
      <c r="E309" s="467"/>
      <c r="F309" s="616"/>
      <c r="G309" s="616"/>
      <c r="H309" s="467"/>
      <c r="I309" s="477"/>
      <c r="J309" s="616"/>
      <c r="K309" s="1603">
        <f>SUM(E309,H309)</f>
        <v>0</v>
      </c>
      <c r="L309" s="466"/>
    </row>
    <row r="310" spans="1:14" ht="12.75" customHeight="1" thickBot="1" x14ac:dyDescent="0.25">
      <c r="A310" s="1600" t="s">
        <v>1482</v>
      </c>
      <c r="B310" s="1607" t="s">
        <v>860</v>
      </c>
      <c r="C310" s="616"/>
      <c r="D310" s="616"/>
      <c r="E310" s="1602">
        <f>SUM(E306:E309)</f>
        <v>0</v>
      </c>
      <c r="F310" s="616"/>
      <c r="G310" s="616"/>
      <c r="H310" s="1602">
        <f>SUM(H306:H309)</f>
        <v>0</v>
      </c>
      <c r="I310" s="477"/>
      <c r="J310" s="616"/>
      <c r="K310" s="1602">
        <f>SUM(K306:K309)</f>
        <v>0</v>
      </c>
      <c r="L310" s="1609">
        <f>SUM(L306:L309)</f>
        <v>0</v>
      </c>
    </row>
    <row r="311" spans="1:14" ht="15.75" customHeight="1" thickTop="1" thickBot="1" x14ac:dyDescent="0.25">
      <c r="A311" s="1552" t="s">
        <v>895</v>
      </c>
      <c r="B311" s="1544" t="s">
        <v>861</v>
      </c>
      <c r="C311" s="623"/>
      <c r="D311" s="623"/>
      <c r="E311" s="623"/>
      <c r="F311" s="623"/>
      <c r="G311" s="623"/>
      <c r="H311" s="623"/>
      <c r="I311" s="623"/>
      <c r="J311" s="616"/>
      <c r="K311" s="623"/>
      <c r="L311" s="576"/>
    </row>
    <row r="312" spans="1:14" s="674" customFormat="1" ht="12.75" customHeight="1" thickTop="1" thickBot="1" x14ac:dyDescent="0.25">
      <c r="A312" s="2206" t="s">
        <v>277</v>
      </c>
      <c r="B312" s="2207"/>
      <c r="C312" s="1602">
        <f>SUM(C303)</f>
        <v>1058949</v>
      </c>
      <c r="D312" s="1602">
        <f>SUM(D303)</f>
        <v>154603</v>
      </c>
      <c r="E312" s="1602">
        <f>SUM(E303,E310)</f>
        <v>11593327</v>
      </c>
      <c r="F312" s="1602">
        <f>SUM(F303)</f>
        <v>0</v>
      </c>
      <c r="G312" s="1602">
        <f>SUM(G303)</f>
        <v>567049513</v>
      </c>
      <c r="H312" s="1602">
        <f>SUM(H303,H310)</f>
        <v>32452907</v>
      </c>
      <c r="I312" s="1602">
        <f>SUM(I303)</f>
        <v>44660</v>
      </c>
      <c r="J312" s="1602">
        <f>SUM(J303)</f>
        <v>17293</v>
      </c>
      <c r="K312" s="1602">
        <f>SUM(K303,K310,K311)</f>
        <v>612371252</v>
      </c>
      <c r="L312" s="1602">
        <f>SUM(L303,L310,L311)</f>
        <v>989000000</v>
      </c>
      <c r="M312" s="665"/>
      <c r="N312" s="665"/>
    </row>
    <row r="313" spans="1:14" ht="13.5" thickTop="1" x14ac:dyDescent="0.2">
      <c r="A313" s="2202" t="s">
        <v>996</v>
      </c>
      <c r="B313" s="2203"/>
      <c r="C313" s="626"/>
      <c r="D313" s="626"/>
      <c r="E313" s="626"/>
      <c r="F313" s="626"/>
      <c r="G313" s="626"/>
      <c r="H313" s="626"/>
      <c r="I313" s="626"/>
      <c r="J313" s="626"/>
      <c r="K313" s="1617">
        <f>'Revenues 9-14'!H268-'Expenditures 15-22'!K312</f>
        <v>-535972767</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215" t="s">
        <v>149</v>
      </c>
      <c r="B315" s="2216"/>
      <c r="C315" s="1489"/>
      <c r="D315" s="1490"/>
      <c r="E315" s="1490"/>
      <c r="F315" s="1490"/>
      <c r="G315" s="1490"/>
      <c r="H315" s="1490"/>
      <c r="I315" s="1490"/>
      <c r="J315" s="1490"/>
      <c r="K315" s="1490"/>
      <c r="L315" s="1491"/>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217" t="s">
        <v>898</v>
      </c>
      <c r="B317" s="2216"/>
      <c r="C317" s="1489"/>
      <c r="D317" s="1490"/>
      <c r="E317" s="1490"/>
      <c r="F317" s="1490"/>
      <c r="G317" s="1490"/>
      <c r="H317" s="1490"/>
      <c r="I317" s="1490"/>
      <c r="J317" s="1490"/>
      <c r="K317" s="1490"/>
      <c r="L317" s="1491"/>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452" t="s">
        <v>299</v>
      </c>
      <c r="B319" s="697" t="s">
        <v>281</v>
      </c>
      <c r="C319" s="467"/>
      <c r="D319" s="467"/>
      <c r="E319" s="467">
        <v>1954698</v>
      </c>
      <c r="F319" s="467"/>
      <c r="G319" s="467"/>
      <c r="H319" s="467"/>
      <c r="I319" s="467"/>
      <c r="J319" s="467"/>
      <c r="K319" s="1603">
        <f>SUM(C319:J319)</f>
        <v>1954698</v>
      </c>
      <c r="L319" s="467">
        <v>2214518</v>
      </c>
      <c r="M319" s="665"/>
      <c r="N319" s="665"/>
    </row>
    <row r="320" spans="1:14" s="674" customFormat="1" x14ac:dyDescent="0.2">
      <c r="A320" s="1456" t="s">
        <v>1783</v>
      </c>
      <c r="B320" s="698" t="s">
        <v>282</v>
      </c>
      <c r="C320" s="467"/>
      <c r="D320" s="467"/>
      <c r="E320" s="467"/>
      <c r="F320" s="467"/>
      <c r="G320" s="467"/>
      <c r="H320" s="467"/>
      <c r="I320" s="467"/>
      <c r="J320" s="467"/>
      <c r="K320" s="1603">
        <f t="shared" ref="K320:K327" si="24">SUM(C320:J320)</f>
        <v>0</v>
      </c>
      <c r="L320" s="467">
        <v>0</v>
      </c>
      <c r="M320" s="665"/>
      <c r="N320" s="665"/>
    </row>
    <row r="321" spans="1:14" s="674" customFormat="1" x14ac:dyDescent="0.2">
      <c r="A321" s="1452" t="s">
        <v>300</v>
      </c>
      <c r="B321" s="697" t="s">
        <v>283</v>
      </c>
      <c r="C321" s="467"/>
      <c r="D321" s="467"/>
      <c r="E321" s="467"/>
      <c r="F321" s="467"/>
      <c r="G321" s="467"/>
      <c r="H321" s="467"/>
      <c r="I321" s="467"/>
      <c r="J321" s="467"/>
      <c r="K321" s="1603">
        <f t="shared" si="24"/>
        <v>0</v>
      </c>
      <c r="L321" s="467">
        <v>0</v>
      </c>
      <c r="M321" s="665"/>
      <c r="N321" s="665"/>
    </row>
    <row r="322" spans="1:14" s="674" customFormat="1" x14ac:dyDescent="0.2">
      <c r="A322" s="1452" t="s">
        <v>238</v>
      </c>
      <c r="B322" s="697" t="s">
        <v>284</v>
      </c>
      <c r="C322" s="467"/>
      <c r="D322" s="467"/>
      <c r="E322" s="467"/>
      <c r="F322" s="467"/>
      <c r="G322" s="467"/>
      <c r="H322" s="467"/>
      <c r="I322" s="467"/>
      <c r="J322" s="467"/>
      <c r="K322" s="1603">
        <f t="shared" si="24"/>
        <v>0</v>
      </c>
      <c r="L322" s="467">
        <v>0</v>
      </c>
      <c r="M322" s="665"/>
      <c r="N322" s="665"/>
    </row>
    <row r="323" spans="1:14" s="674" customFormat="1" x14ac:dyDescent="0.2">
      <c r="A323" s="1452" t="s">
        <v>702</v>
      </c>
      <c r="B323" s="697" t="s">
        <v>285</v>
      </c>
      <c r="C323" s="467"/>
      <c r="D323" s="467"/>
      <c r="E323" s="467">
        <v>100000</v>
      </c>
      <c r="F323" s="467"/>
      <c r="G323" s="467"/>
      <c r="H323" s="467"/>
      <c r="I323" s="467"/>
      <c r="J323" s="467"/>
      <c r="K323" s="1603">
        <f t="shared" si="24"/>
        <v>100000</v>
      </c>
      <c r="L323" s="467">
        <v>100000</v>
      </c>
      <c r="M323" s="665"/>
      <c r="N323" s="665"/>
    </row>
    <row r="324" spans="1:14" s="674" customFormat="1" x14ac:dyDescent="0.2">
      <c r="A324" s="1452" t="s">
        <v>239</v>
      </c>
      <c r="B324" s="697" t="s">
        <v>286</v>
      </c>
      <c r="C324" s="467"/>
      <c r="D324" s="467"/>
      <c r="E324" s="467"/>
      <c r="F324" s="467"/>
      <c r="G324" s="467"/>
      <c r="H324" s="467"/>
      <c r="I324" s="467"/>
      <c r="J324" s="467"/>
      <c r="K324" s="1603">
        <f t="shared" si="24"/>
        <v>0</v>
      </c>
      <c r="L324" s="467">
        <v>0</v>
      </c>
      <c r="M324" s="665"/>
      <c r="N324" s="665"/>
    </row>
    <row r="325" spans="1:14" s="674" customFormat="1" ht="22.5" x14ac:dyDescent="0.2">
      <c r="A325" s="1452" t="s">
        <v>1029</v>
      </c>
      <c r="B325" s="698" t="s">
        <v>287</v>
      </c>
      <c r="C325" s="467">
        <v>47244687</v>
      </c>
      <c r="D325" s="467">
        <v>14396545</v>
      </c>
      <c r="E325" s="467">
        <f>15889395-E328-E323-E319</f>
        <v>11760016</v>
      </c>
      <c r="F325" s="467">
        <v>69090</v>
      </c>
      <c r="G325" s="467">
        <v>0</v>
      </c>
      <c r="H325" s="467">
        <v>-2200</v>
      </c>
      <c r="I325" s="467">
        <v>19674</v>
      </c>
      <c r="J325" s="467">
        <v>694261</v>
      </c>
      <c r="K325" s="1603">
        <f t="shared" si="24"/>
        <v>74182073</v>
      </c>
      <c r="L325" s="467">
        <v>72905933</v>
      </c>
      <c r="M325" s="665"/>
      <c r="N325" s="665"/>
    </row>
    <row r="326" spans="1:14" s="674" customFormat="1" x14ac:dyDescent="0.2">
      <c r="A326" s="1452" t="s">
        <v>1030</v>
      </c>
      <c r="B326" s="697" t="s">
        <v>288</v>
      </c>
      <c r="C326" s="467"/>
      <c r="D326" s="467"/>
      <c r="E326" s="467"/>
      <c r="F326" s="467"/>
      <c r="G326" s="467"/>
      <c r="H326" s="467"/>
      <c r="I326" s="467"/>
      <c r="J326" s="467"/>
      <c r="K326" s="1603">
        <f t="shared" si="24"/>
        <v>0</v>
      </c>
      <c r="L326" s="467">
        <v>0</v>
      </c>
      <c r="M326" s="665"/>
      <c r="N326" s="665"/>
    </row>
    <row r="327" spans="1:14" s="674" customFormat="1" x14ac:dyDescent="0.2">
      <c r="A327" s="1452" t="s">
        <v>971</v>
      </c>
      <c r="B327" s="697" t="s">
        <v>289</v>
      </c>
      <c r="C327" s="467"/>
      <c r="D327" s="467"/>
      <c r="E327" s="467"/>
      <c r="F327" s="467"/>
      <c r="G327" s="467"/>
      <c r="H327" s="467"/>
      <c r="I327" s="467"/>
      <c r="J327" s="467"/>
      <c r="K327" s="1603">
        <f t="shared" si="24"/>
        <v>0</v>
      </c>
      <c r="L327" s="467">
        <v>0</v>
      </c>
      <c r="M327" s="665"/>
      <c r="N327" s="665"/>
    </row>
    <row r="328" spans="1:14" s="674" customFormat="1" x14ac:dyDescent="0.2">
      <c r="A328" s="1453" t="s">
        <v>472</v>
      </c>
      <c r="B328" s="690" t="s">
        <v>1132</v>
      </c>
      <c r="C328" s="474"/>
      <c r="D328" s="474"/>
      <c r="E328" s="474">
        <v>2074681</v>
      </c>
      <c r="F328" s="474"/>
      <c r="G328" s="474"/>
      <c r="H328" s="474"/>
      <c r="I328" s="474"/>
      <c r="J328" s="474"/>
      <c r="K328" s="1631">
        <f>SUM(C328:J328)</f>
        <v>2074681</v>
      </c>
      <c r="L328" s="474">
        <v>5230088</v>
      </c>
      <c r="M328" s="665"/>
      <c r="N328" s="665"/>
    </row>
    <row r="329" spans="1:14" s="674" customFormat="1" x14ac:dyDescent="0.2">
      <c r="A329" s="1453" t="s">
        <v>1133</v>
      </c>
      <c r="B329" s="690" t="s">
        <v>1134</v>
      </c>
      <c r="C329" s="474"/>
      <c r="D329" s="474"/>
      <c r="E329" s="474"/>
      <c r="F329" s="474"/>
      <c r="G329" s="474"/>
      <c r="H329" s="474"/>
      <c r="I329" s="474"/>
      <c r="J329" s="474"/>
      <c r="K329" s="1631">
        <f>SUM(C329:J329)</f>
        <v>0</v>
      </c>
      <c r="L329" s="474">
        <v>0</v>
      </c>
      <c r="M329" s="665"/>
      <c r="N329" s="665"/>
    </row>
    <row r="330" spans="1:14" s="674" customFormat="1" ht="12.75" customHeight="1" thickBot="1" x14ac:dyDescent="0.25">
      <c r="A330" s="1632" t="s">
        <v>717</v>
      </c>
      <c r="B330" s="1601" t="s">
        <v>569</v>
      </c>
      <c r="C330" s="1602">
        <f>SUM(C319:C329)</f>
        <v>47244687</v>
      </c>
      <c r="D330" s="1602">
        <f t="shared" ref="D330:J330" si="25">SUM(D319:D329)</f>
        <v>14396545</v>
      </c>
      <c r="E330" s="1602">
        <f t="shared" si="25"/>
        <v>15889395</v>
      </c>
      <c r="F330" s="1602">
        <f t="shared" si="25"/>
        <v>69090</v>
      </c>
      <c r="G330" s="1602">
        <f t="shared" si="25"/>
        <v>0</v>
      </c>
      <c r="H330" s="1602">
        <f t="shared" si="25"/>
        <v>-2200</v>
      </c>
      <c r="I330" s="1602">
        <f t="shared" si="25"/>
        <v>19674</v>
      </c>
      <c r="J330" s="1602">
        <f t="shared" si="25"/>
        <v>694261</v>
      </c>
      <c r="K330" s="1602">
        <f>SUM(K319:K329)</f>
        <v>78311452</v>
      </c>
      <c r="L330" s="1602">
        <f>SUM(L319:L329)</f>
        <v>80450539</v>
      </c>
      <c r="M330" s="665"/>
      <c r="N330" s="665"/>
    </row>
    <row r="331" spans="1:14" s="674" customFormat="1" ht="12.75" customHeight="1" thickTop="1" x14ac:dyDescent="0.2">
      <c r="A331" s="1763" t="s">
        <v>1827</v>
      </c>
      <c r="B331" s="647" t="s">
        <v>860</v>
      </c>
      <c r="C331" s="1765"/>
      <c r="D331" s="1765"/>
      <c r="E331" s="1765"/>
      <c r="F331" s="1765"/>
      <c r="G331" s="1765"/>
      <c r="H331" s="1765"/>
      <c r="I331" s="1765"/>
      <c r="J331" s="1765"/>
      <c r="K331" s="1765"/>
      <c r="L331" s="1765"/>
      <c r="M331" s="665"/>
      <c r="N331" s="665"/>
    </row>
    <row r="332" spans="1:14" s="674" customFormat="1" ht="12.75" customHeight="1" x14ac:dyDescent="0.2">
      <c r="A332" s="1764" t="s">
        <v>496</v>
      </c>
      <c r="B332" s="1759" t="s">
        <v>1821</v>
      </c>
      <c r="C332" s="1765"/>
      <c r="D332" s="1765"/>
      <c r="E332" s="1765"/>
      <c r="F332" s="1765"/>
      <c r="G332" s="1765"/>
      <c r="H332" s="467"/>
      <c r="I332" s="1765"/>
      <c r="J332" s="1765"/>
      <c r="K332" s="1603">
        <f>H332</f>
        <v>0</v>
      </c>
      <c r="L332" s="467"/>
      <c r="M332" s="665"/>
      <c r="N332" s="665"/>
    </row>
    <row r="333" spans="1:14" s="674" customFormat="1" ht="12.75" customHeight="1" x14ac:dyDescent="0.2">
      <c r="A333" s="1764" t="s">
        <v>304</v>
      </c>
      <c r="B333" s="1759" t="s">
        <v>1823</v>
      </c>
      <c r="C333" s="1765"/>
      <c r="D333" s="1765"/>
      <c r="E333" s="1765"/>
      <c r="F333" s="1765"/>
      <c r="G333" s="1765"/>
      <c r="H333" s="467"/>
      <c r="I333" s="1765"/>
      <c r="J333" s="1765"/>
      <c r="K333" s="1603">
        <f>H333</f>
        <v>0</v>
      </c>
      <c r="L333" s="467"/>
      <c r="M333" s="665"/>
      <c r="N333" s="665"/>
    </row>
    <row r="334" spans="1:14" s="674" customFormat="1" ht="12.75" customHeight="1" thickBot="1" x14ac:dyDescent="0.25">
      <c r="A334" s="1764" t="s">
        <v>1828</v>
      </c>
      <c r="B334" s="1759" t="s">
        <v>860</v>
      </c>
      <c r="C334" s="1765"/>
      <c r="D334" s="1765"/>
      <c r="E334" s="1765"/>
      <c r="F334" s="1765"/>
      <c r="G334" s="1765"/>
      <c r="H334" s="1602">
        <f>SUM(H332:H333)</f>
        <v>0</v>
      </c>
      <c r="I334" s="1765"/>
      <c r="J334" s="1765"/>
      <c r="K334" s="1602">
        <f>SUM(K332:K333)</f>
        <v>0</v>
      </c>
      <c r="L334" s="1602">
        <f>SUM(L332:L333)</f>
        <v>0</v>
      </c>
      <c r="M334" s="665"/>
      <c r="N334" s="665"/>
    </row>
    <row r="335" spans="1:14" ht="15.75" customHeight="1" thickTop="1" x14ac:dyDescent="0.2">
      <c r="A335" s="1549" t="s">
        <v>899</v>
      </c>
      <c r="B335" s="1540"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451" t="s">
        <v>87</v>
      </c>
      <c r="B337" s="690" t="s">
        <v>900</v>
      </c>
      <c r="C337" s="638"/>
      <c r="D337" s="638"/>
      <c r="E337" s="638"/>
      <c r="F337" s="638"/>
      <c r="G337" s="638"/>
      <c r="H337" s="478"/>
      <c r="I337" s="638"/>
      <c r="J337" s="638"/>
      <c r="K337" s="1603">
        <f>H337</f>
        <v>0</v>
      </c>
      <c r="L337" s="478"/>
    </row>
    <row r="338" spans="1:14" ht="12.75" customHeight="1" x14ac:dyDescent="0.2">
      <c r="A338" s="1451" t="s">
        <v>1170</v>
      </c>
      <c r="B338" s="690" t="s">
        <v>617</v>
      </c>
      <c r="C338" s="638"/>
      <c r="D338" s="638"/>
      <c r="E338" s="638"/>
      <c r="F338" s="638"/>
      <c r="G338" s="638"/>
      <c r="H338" s="478"/>
      <c r="I338" s="638"/>
      <c r="J338" s="638"/>
      <c r="K338" s="1603">
        <f>H338</f>
        <v>0</v>
      </c>
      <c r="L338" s="478"/>
    </row>
    <row r="339" spans="1:14" x14ac:dyDescent="0.2">
      <c r="A339" s="1437" t="s">
        <v>901</v>
      </c>
      <c r="B339" s="628">
        <v>5150</v>
      </c>
      <c r="C339" s="638"/>
      <c r="D339" s="638"/>
      <c r="E339" s="638"/>
      <c r="F339" s="638"/>
      <c r="G339" s="638"/>
      <c r="H339" s="467"/>
      <c r="I339" s="638"/>
      <c r="J339" s="638"/>
      <c r="K339" s="1603">
        <f>H339</f>
        <v>0</v>
      </c>
      <c r="L339" s="467"/>
    </row>
    <row r="340" spans="1:14" ht="13.5" thickBot="1" x14ac:dyDescent="0.25">
      <c r="A340" s="1626" t="s">
        <v>902</v>
      </c>
      <c r="B340" s="1601" t="s">
        <v>492</v>
      </c>
      <c r="C340" s="616"/>
      <c r="D340" s="616"/>
      <c r="E340" s="616"/>
      <c r="F340" s="616"/>
      <c r="G340" s="616"/>
      <c r="H340" s="1620">
        <f>SUM(H337:H339)</f>
        <v>0</v>
      </c>
      <c r="I340" s="616"/>
      <c r="J340" s="616"/>
      <c r="K340" s="1620">
        <f>SUM(K337:K339)</f>
        <v>0</v>
      </c>
      <c r="L340" s="1620">
        <f>SUM(L337:L339)</f>
        <v>0</v>
      </c>
    </row>
    <row r="341" spans="1:14" ht="15.75" customHeight="1" thickTop="1" thickBot="1" x14ac:dyDescent="0.25">
      <c r="A341" s="1552" t="s">
        <v>903</v>
      </c>
      <c r="B341" s="1544" t="s">
        <v>861</v>
      </c>
      <c r="C341" s="616"/>
      <c r="D341" s="616"/>
      <c r="E341" s="477"/>
      <c r="F341" s="468"/>
      <c r="G341" s="468"/>
      <c r="H341" s="477"/>
      <c r="I341" s="477"/>
      <c r="J341" s="468"/>
      <c r="K341" s="477"/>
      <c r="L341" s="576"/>
    </row>
    <row r="342" spans="1:14" ht="12.75" customHeight="1" thickTop="1" thickBot="1" x14ac:dyDescent="0.25">
      <c r="A342" s="1618" t="s">
        <v>505</v>
      </c>
      <c r="B342" s="1633"/>
      <c r="C342" s="1602">
        <f>SUM(C330)</f>
        <v>47244687</v>
      </c>
      <c r="D342" s="1602">
        <f>SUM(D330)</f>
        <v>14396545</v>
      </c>
      <c r="E342" s="1602">
        <f>SUM(E330)</f>
        <v>15889395</v>
      </c>
      <c r="F342" s="1602">
        <f>SUM(F330)</f>
        <v>69090</v>
      </c>
      <c r="G342" s="1602">
        <f>SUM(G330)</f>
        <v>0</v>
      </c>
      <c r="H342" s="1602">
        <f>SUM(H330,H334,H340)</f>
        <v>-2200</v>
      </c>
      <c r="I342" s="1602">
        <f>SUM(I330)</f>
        <v>19674</v>
      </c>
      <c r="J342" s="1602">
        <f>SUM(J330)</f>
        <v>694261</v>
      </c>
      <c r="K342" s="1602">
        <f>SUM(K330,K334,K340)</f>
        <v>78311452</v>
      </c>
      <c r="L342" s="1609">
        <f>SUM(L330,L334,L340,L341)</f>
        <v>80450539</v>
      </c>
    </row>
    <row r="343" spans="1:14" ht="12.75" customHeight="1" thickTop="1" x14ac:dyDescent="0.2">
      <c r="A343" s="2204" t="s">
        <v>996</v>
      </c>
      <c r="B343" s="2205"/>
      <c r="C343" s="616"/>
      <c r="D343" s="616"/>
      <c r="E343" s="616"/>
      <c r="F343" s="616"/>
      <c r="G343" s="616"/>
      <c r="H343" s="616"/>
      <c r="I343" s="616"/>
      <c r="J343" s="616"/>
      <c r="K343" s="1616">
        <f>'Revenues 9-14'!J268-'Expenditures 15-22'!K342</f>
        <v>-1845574</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94" t="s">
        <v>966</v>
      </c>
      <c r="B345" s="2195"/>
      <c r="C345" s="1484"/>
      <c r="D345" s="1485"/>
      <c r="E345" s="1485"/>
      <c r="F345" s="1485"/>
      <c r="G345" s="1485"/>
      <c r="H345" s="1485"/>
      <c r="I345" s="1485"/>
      <c r="J345" s="1485"/>
      <c r="K345" s="1485"/>
      <c r="L345" s="1486"/>
      <c r="M345" s="667"/>
      <c r="N345" s="667"/>
    </row>
    <row r="346" spans="1:14" s="343" customFormat="1" ht="15.75" customHeight="1" x14ac:dyDescent="0.2">
      <c r="A346" s="1556" t="s">
        <v>844</v>
      </c>
      <c r="B346" s="1548"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437" t="s">
        <v>4</v>
      </c>
      <c r="B348" s="614">
        <v>2530</v>
      </c>
      <c r="C348" s="466"/>
      <c r="D348" s="466"/>
      <c r="E348" s="466"/>
      <c r="F348" s="466"/>
      <c r="G348" s="466"/>
      <c r="H348" s="466"/>
      <c r="I348" s="467"/>
      <c r="J348" s="467"/>
      <c r="K348" s="1603">
        <f>SUM(C348:J348)</f>
        <v>0</v>
      </c>
      <c r="L348" s="466"/>
    </row>
    <row r="349" spans="1:14" x14ac:dyDescent="0.2">
      <c r="A349" s="1437" t="s">
        <v>197</v>
      </c>
      <c r="B349" s="614">
        <v>2540</v>
      </c>
      <c r="C349" s="466"/>
      <c r="D349" s="466"/>
      <c r="E349" s="466"/>
      <c r="F349" s="466"/>
      <c r="G349" s="466"/>
      <c r="H349" s="466"/>
      <c r="I349" s="467"/>
      <c r="J349" s="467"/>
      <c r="K349" s="1603">
        <f>SUM(C349:J349)</f>
        <v>0</v>
      </c>
      <c r="L349" s="466"/>
    </row>
    <row r="350" spans="1:14" ht="12.75" customHeight="1" thickBot="1" x14ac:dyDescent="0.25">
      <c r="A350" s="1600" t="s">
        <v>719</v>
      </c>
      <c r="B350" s="1601" t="s">
        <v>35</v>
      </c>
      <c r="C350" s="1602">
        <f>SUM(C348:C349)</f>
        <v>0</v>
      </c>
      <c r="D350" s="1602">
        <f t="shared" ref="D350:L350" si="26">SUM(D348:D349)</f>
        <v>0</v>
      </c>
      <c r="E350" s="1602">
        <f t="shared" si="26"/>
        <v>0</v>
      </c>
      <c r="F350" s="1602">
        <f t="shared" si="26"/>
        <v>0</v>
      </c>
      <c r="G350" s="1602">
        <f t="shared" si="26"/>
        <v>0</v>
      </c>
      <c r="H350" s="1602">
        <f t="shared" si="26"/>
        <v>0</v>
      </c>
      <c r="I350" s="1602">
        <f t="shared" si="26"/>
        <v>0</v>
      </c>
      <c r="J350" s="1602">
        <f t="shared" si="26"/>
        <v>0</v>
      </c>
      <c r="K350" s="1602">
        <f t="shared" si="26"/>
        <v>0</v>
      </c>
      <c r="L350" s="1602">
        <f t="shared" si="26"/>
        <v>0</v>
      </c>
    </row>
    <row r="351" spans="1:14" ht="12.75" customHeight="1" thickTop="1" x14ac:dyDescent="0.2">
      <c r="A351" s="1443" t="s">
        <v>980</v>
      </c>
      <c r="B351" s="643" t="s">
        <v>574</v>
      </c>
      <c r="C351" s="481"/>
      <c r="D351" s="481"/>
      <c r="E351" s="481"/>
      <c r="F351" s="481"/>
      <c r="G351" s="481"/>
      <c r="H351" s="481"/>
      <c r="I351" s="478"/>
      <c r="J351" s="478"/>
      <c r="K351" s="615">
        <f>SUM(C351:J351)</f>
        <v>0</v>
      </c>
      <c r="L351" s="481"/>
    </row>
    <row r="352" spans="1:14" ht="12.75" customHeight="1" thickBot="1" x14ac:dyDescent="0.25">
      <c r="A352" s="1600" t="s">
        <v>624</v>
      </c>
      <c r="B352" s="1607" t="s">
        <v>569</v>
      </c>
      <c r="C352" s="1602">
        <f>SUM(C350:C351)</f>
        <v>0</v>
      </c>
      <c r="D352" s="1602">
        <f t="shared" ref="D352:L352" si="27">SUM(D350:D351)</f>
        <v>0</v>
      </c>
      <c r="E352" s="1602">
        <f t="shared" si="27"/>
        <v>0</v>
      </c>
      <c r="F352" s="1602">
        <f t="shared" si="27"/>
        <v>0</v>
      </c>
      <c r="G352" s="1602">
        <f t="shared" si="27"/>
        <v>0</v>
      </c>
      <c r="H352" s="1602">
        <f t="shared" si="27"/>
        <v>0</v>
      </c>
      <c r="I352" s="1602">
        <f t="shared" si="27"/>
        <v>0</v>
      </c>
      <c r="J352" s="1602">
        <f t="shared" si="27"/>
        <v>0</v>
      </c>
      <c r="K352" s="1602">
        <f t="shared" si="27"/>
        <v>0</v>
      </c>
      <c r="L352" s="1602">
        <f t="shared" si="27"/>
        <v>0</v>
      </c>
    </row>
    <row r="353" spans="1:14" s="343" customFormat="1" ht="15.75" customHeight="1" thickTop="1" x14ac:dyDescent="0.2">
      <c r="A353" s="1545" t="s">
        <v>625</v>
      </c>
      <c r="B353" s="1542" t="s">
        <v>860</v>
      </c>
      <c r="C353" s="616"/>
      <c r="D353" s="616"/>
      <c r="E353" s="616"/>
      <c r="F353" s="616"/>
      <c r="G353" s="616"/>
      <c r="H353" s="616"/>
      <c r="I353" s="616"/>
      <c r="J353" s="616"/>
      <c r="K353" s="616"/>
      <c r="L353" s="616"/>
      <c r="M353" s="609"/>
      <c r="N353" s="609"/>
    </row>
    <row r="354" spans="1:14" x14ac:dyDescent="0.2">
      <c r="A354" s="1766" t="s">
        <v>1829</v>
      </c>
      <c r="B354" s="683" t="s">
        <v>1821</v>
      </c>
      <c r="C354" s="616"/>
      <c r="D354" s="616"/>
      <c r="E354" s="616"/>
      <c r="F354" s="616"/>
      <c r="G354" s="616"/>
      <c r="H354" s="474"/>
      <c r="I354" s="701"/>
      <c r="J354" s="616"/>
      <c r="K354" s="1631">
        <f>H354</f>
        <v>0</v>
      </c>
      <c r="L354" s="471"/>
    </row>
    <row r="355" spans="1:14" ht="12.75" customHeight="1" x14ac:dyDescent="0.2">
      <c r="A355" s="1446" t="s">
        <v>1830</v>
      </c>
      <c r="B355" s="690" t="s">
        <v>1823</v>
      </c>
      <c r="C355" s="616"/>
      <c r="D355" s="616"/>
      <c r="E355" s="616"/>
      <c r="F355" s="616"/>
      <c r="G355" s="616"/>
      <c r="H355" s="467"/>
      <c r="I355" s="701"/>
      <c r="J355" s="616"/>
      <c r="K355" s="1675">
        <f>H355</f>
        <v>0</v>
      </c>
      <c r="L355" s="467"/>
    </row>
    <row r="356" spans="1:14" ht="12.75" customHeight="1" x14ac:dyDescent="0.2">
      <c r="A356" s="1766" t="s">
        <v>698</v>
      </c>
      <c r="B356" s="683" t="s">
        <v>558</v>
      </c>
      <c r="C356" s="616"/>
      <c r="D356" s="616"/>
      <c r="E356" s="616"/>
      <c r="F356" s="616"/>
      <c r="G356" s="616"/>
      <c r="H356" s="479"/>
      <c r="I356" s="701"/>
      <c r="J356" s="616"/>
      <c r="K356" s="1672">
        <f>H356</f>
        <v>0</v>
      </c>
      <c r="L356" s="479"/>
    </row>
    <row r="357" spans="1:14" ht="12.75" customHeight="1" thickBot="1" x14ac:dyDescent="0.25">
      <c r="A357" s="1600" t="s">
        <v>1482</v>
      </c>
      <c r="B357" s="1601" t="s">
        <v>860</v>
      </c>
      <c r="C357" s="616"/>
      <c r="D357" s="616"/>
      <c r="E357" s="616"/>
      <c r="F357" s="616"/>
      <c r="G357" s="616"/>
      <c r="H357" s="1620">
        <f>SUM(H354:H356)</f>
        <v>0</v>
      </c>
      <c r="I357" s="701"/>
      <c r="J357" s="616"/>
      <c r="K357" s="1620">
        <f>SUM(K354:K356)</f>
        <v>0</v>
      </c>
      <c r="L357" s="1620">
        <f>SUM(L354:L356)</f>
        <v>0</v>
      </c>
    </row>
    <row r="358" spans="1:14" s="343" customFormat="1" ht="15.75" customHeight="1" thickTop="1" x14ac:dyDescent="0.2">
      <c r="A358" s="1545" t="s">
        <v>948</v>
      </c>
      <c r="B358" s="1542"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437" t="s">
        <v>87</v>
      </c>
      <c r="B360" s="614">
        <v>5110</v>
      </c>
      <c r="C360" s="616"/>
      <c r="D360" s="616"/>
      <c r="E360" s="616"/>
      <c r="F360" s="616"/>
      <c r="G360" s="616"/>
      <c r="H360" s="467"/>
      <c r="I360" s="616"/>
      <c r="J360" s="616"/>
      <c r="K360" s="1603">
        <f>SUM(C360:J360)</f>
        <v>0</v>
      </c>
      <c r="L360" s="466"/>
    </row>
    <row r="361" spans="1:14" ht="12.75" customHeight="1" x14ac:dyDescent="0.2">
      <c r="A361" s="1438" t="s">
        <v>619</v>
      </c>
      <c r="B361" s="602" t="s">
        <v>618</v>
      </c>
      <c r="C361" s="616"/>
      <c r="D361" s="616"/>
      <c r="E361" s="616"/>
      <c r="F361" s="616"/>
      <c r="G361" s="616"/>
      <c r="H361" s="467"/>
      <c r="I361" s="616"/>
      <c r="J361" s="616"/>
      <c r="K361" s="1603">
        <f>SUM(C361:J361)</f>
        <v>0</v>
      </c>
      <c r="L361" s="466"/>
    </row>
    <row r="362" spans="1:14" ht="12.75" customHeight="1" thickBot="1" x14ac:dyDescent="0.25">
      <c r="A362" s="1600" t="s">
        <v>626</v>
      </c>
      <c r="B362" s="1601" t="s">
        <v>718</v>
      </c>
      <c r="C362" s="616"/>
      <c r="D362" s="616"/>
      <c r="E362" s="616"/>
      <c r="F362" s="616"/>
      <c r="G362" s="616"/>
      <c r="H362" s="1635">
        <f>SUM(H360:H361)</f>
        <v>0</v>
      </c>
      <c r="I362" s="616"/>
      <c r="J362" s="616"/>
      <c r="K362" s="1635">
        <f>SUM(K360:K361)</f>
        <v>0</v>
      </c>
      <c r="L362" s="1635">
        <f>SUM(L360:L361)</f>
        <v>0</v>
      </c>
    </row>
    <row r="363" spans="1:14" s="674" customFormat="1" ht="15.75" customHeight="1" thickTop="1" x14ac:dyDescent="0.2">
      <c r="A363" s="660" t="s">
        <v>83</v>
      </c>
      <c r="B363" s="661" t="s">
        <v>38</v>
      </c>
      <c r="C363" s="638"/>
      <c r="D363" s="638"/>
      <c r="E363" s="638"/>
      <c r="F363" s="638"/>
      <c r="G363" s="638"/>
      <c r="H363" s="479"/>
      <c r="I363" s="638"/>
      <c r="J363" s="638"/>
      <c r="K363" s="1631">
        <f>SUM(C363:J363)</f>
        <v>0</v>
      </c>
      <c r="L363" s="479"/>
      <c r="M363" s="665"/>
      <c r="N363" s="665"/>
    </row>
    <row r="364" spans="1:14" s="708" customFormat="1" ht="29.25" customHeight="1" x14ac:dyDescent="0.2">
      <c r="A364" s="702" t="s">
        <v>1661</v>
      </c>
      <c r="B364" s="703">
        <v>5300</v>
      </c>
      <c r="C364" s="704"/>
      <c r="D364" s="705"/>
      <c r="E364" s="705"/>
      <c r="F364" s="704"/>
      <c r="G364" s="705"/>
      <c r="H364" s="706"/>
      <c r="I364" s="705"/>
      <c r="J364" s="705"/>
      <c r="K364" s="1603">
        <f>SUM(C364:J364)</f>
        <v>0</v>
      </c>
      <c r="L364" s="707"/>
    </row>
    <row r="365" spans="1:14" s="674" customFormat="1" ht="12.75" customHeight="1" thickBot="1" x14ac:dyDescent="0.25">
      <c r="A365" s="1454" t="s">
        <v>590</v>
      </c>
      <c r="B365" s="659" t="s">
        <v>492</v>
      </c>
      <c r="C365" s="638"/>
      <c r="D365" s="638"/>
      <c r="E365" s="638"/>
      <c r="F365" s="638"/>
      <c r="G365" s="638"/>
      <c r="H365" s="1635">
        <f>SUM(H362,H363,H364)</f>
        <v>0</v>
      </c>
      <c r="I365" s="638"/>
      <c r="J365" s="638"/>
      <c r="K365" s="1635">
        <f>SUM(K362,K363,K364)</f>
        <v>0</v>
      </c>
      <c r="L365" s="1635">
        <f>SUM(L362,L363,L364)</f>
        <v>0</v>
      </c>
      <c r="M365" s="665"/>
      <c r="N365" s="665"/>
    </row>
    <row r="366" spans="1:14" s="343" customFormat="1" ht="15.75" customHeight="1" thickTop="1" thickBot="1" x14ac:dyDescent="0.25">
      <c r="A366" s="1539" t="s">
        <v>949</v>
      </c>
      <c r="B366" s="1546" t="s">
        <v>861</v>
      </c>
      <c r="C366" s="623"/>
      <c r="D366" s="623"/>
      <c r="E366" s="623"/>
      <c r="F366" s="623"/>
      <c r="G366" s="623"/>
      <c r="H366" s="623"/>
      <c r="I366" s="623"/>
      <c r="J366" s="616"/>
      <c r="K366" s="623"/>
      <c r="L366" s="573"/>
      <c r="M366" s="609"/>
      <c r="N366" s="609"/>
    </row>
    <row r="367" spans="1:14" ht="12.75" customHeight="1" thickTop="1" thickBot="1" x14ac:dyDescent="0.25">
      <c r="A367" s="1624" t="s">
        <v>505</v>
      </c>
      <c r="B367" s="1636"/>
      <c r="C367" s="1602">
        <f t="shared" ref="C367:L367" si="28">SUM(C352,C357,C365,C366)</f>
        <v>0</v>
      </c>
      <c r="D367" s="1602">
        <f t="shared" si="28"/>
        <v>0</v>
      </c>
      <c r="E367" s="1602">
        <f t="shared" si="28"/>
        <v>0</v>
      </c>
      <c r="F367" s="1602">
        <f t="shared" si="28"/>
        <v>0</v>
      </c>
      <c r="G367" s="1602">
        <f t="shared" si="28"/>
        <v>0</v>
      </c>
      <c r="H367" s="1602">
        <f t="shared" si="28"/>
        <v>0</v>
      </c>
      <c r="I367" s="1602">
        <f t="shared" si="28"/>
        <v>0</v>
      </c>
      <c r="J367" s="1602">
        <f t="shared" si="28"/>
        <v>0</v>
      </c>
      <c r="K367" s="1602">
        <f t="shared" si="28"/>
        <v>0</v>
      </c>
      <c r="L367" s="1602">
        <f t="shared" si="28"/>
        <v>0</v>
      </c>
    </row>
    <row r="368" spans="1:14" ht="13.5" thickTop="1" x14ac:dyDescent="0.2">
      <c r="A368" s="2218" t="s">
        <v>996</v>
      </c>
      <c r="B368" s="2219"/>
      <c r="C368" s="654"/>
      <c r="D368" s="654"/>
      <c r="E368" s="626"/>
      <c r="F368" s="626"/>
      <c r="G368" s="626"/>
      <c r="H368" s="626"/>
      <c r="I368" s="626"/>
      <c r="J368" s="623"/>
      <c r="K368" s="1603">
        <f>'Revenues 9-14'!K268-'Expenditures 15-22'!K367</f>
        <v>0</v>
      </c>
      <c r="L368" s="654"/>
    </row>
  </sheetData>
  <sheetProtection algorithmName="SHA-512" hashValue="jzzNE6gaZWET+y6T5aosJtCATdA6zyfwuTqC+CTODp4dbJrQt41UnBxqpssdLhxOdI8LmMLRZDYFsF1oB0M7Iw==" saltValue="LNHf/VcevKDKMmwcM5/SP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2D050"/>
  </sheetPr>
  <dimension ref="A1:F36"/>
  <sheetViews>
    <sheetView showGridLines="0" defaultGridColor="0" colorId="8" zoomScale="110" zoomScaleNormal="110" workbookViewId="0">
      <selection activeCell="E37" sqref="E37"/>
    </sheetView>
  </sheetViews>
  <sheetFormatPr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15" t="s">
        <v>104</v>
      </c>
    </row>
    <row r="2" spans="1:6" ht="39.75" customHeight="1" x14ac:dyDescent="0.2">
      <c r="A2" s="2220" t="s">
        <v>1780</v>
      </c>
      <c r="B2" s="1461" t="s">
        <v>1926</v>
      </c>
      <c r="C2" s="714" t="s">
        <v>1927</v>
      </c>
      <c r="D2" s="714" t="s">
        <v>1928</v>
      </c>
      <c r="E2" s="714" t="s">
        <v>1929</v>
      </c>
      <c r="F2" s="714" t="s">
        <v>1930</v>
      </c>
    </row>
    <row r="3" spans="1:6" ht="12" customHeight="1" x14ac:dyDescent="0.2">
      <c r="A3" s="2221"/>
      <c r="B3" s="1458"/>
      <c r="C3" s="1459"/>
      <c r="D3" s="1460" t="s">
        <v>256</v>
      </c>
      <c r="E3" s="1459"/>
      <c r="F3" s="1460" t="s">
        <v>257</v>
      </c>
    </row>
    <row r="4" spans="1:6" ht="13.7" customHeight="1" x14ac:dyDescent="0.2">
      <c r="A4" s="715" t="s">
        <v>1155</v>
      </c>
      <c r="B4" s="1681">
        <f>'Revenues 9-14'!C5-B18</f>
        <v>2386116045</v>
      </c>
      <c r="C4" s="1457">
        <v>2251490174</v>
      </c>
      <c r="D4" s="1684">
        <f>B4-C4</f>
        <v>134625871</v>
      </c>
      <c r="E4" s="1457">
        <v>2369989657</v>
      </c>
      <c r="F4" s="1684">
        <f>E4-C4</f>
        <v>118499483</v>
      </c>
    </row>
    <row r="5" spans="1:6" ht="13.7" customHeight="1" x14ac:dyDescent="0.2">
      <c r="A5" s="715" t="s">
        <v>870</v>
      </c>
      <c r="B5" s="1682">
        <f>'Revenues 9-14'!D5</f>
        <v>0</v>
      </c>
      <c r="C5" s="585"/>
      <c r="D5" s="1685">
        <f t="shared" ref="D5:D18" si="0">B5-C5</f>
        <v>0</v>
      </c>
      <c r="E5" s="585"/>
      <c r="F5" s="1685">
        <f>E5-C5</f>
        <v>0</v>
      </c>
    </row>
    <row r="6" spans="1:6" ht="13.7" customHeight="1" x14ac:dyDescent="0.2">
      <c r="A6" s="715" t="s">
        <v>411</v>
      </c>
      <c r="B6" s="1682">
        <f>'Revenues 9-14'!E5</f>
        <v>77069852</v>
      </c>
      <c r="C6" s="585">
        <v>72758399</v>
      </c>
      <c r="D6" s="1685">
        <f t="shared" si="0"/>
        <v>4311453</v>
      </c>
      <c r="E6" s="585">
        <f>29803899+43538890+3244999</f>
        <v>76587788</v>
      </c>
      <c r="F6" s="1685">
        <f t="shared" ref="F6:F18" si="1">E6-C6</f>
        <v>3829389</v>
      </c>
    </row>
    <row r="7" spans="1:6" ht="13.7" customHeight="1" x14ac:dyDescent="0.2">
      <c r="A7" s="715" t="s">
        <v>155</v>
      </c>
      <c r="B7" s="1682">
        <f>'Revenues 9-14'!F5</f>
        <v>0</v>
      </c>
      <c r="C7" s="585"/>
      <c r="D7" s="1685">
        <f t="shared" si="0"/>
        <v>0</v>
      </c>
      <c r="E7" s="585"/>
      <c r="F7" s="1685">
        <f t="shared" si="1"/>
        <v>0</v>
      </c>
    </row>
    <row r="8" spans="1:6" ht="13.7" customHeight="1" x14ac:dyDescent="0.2">
      <c r="A8" s="715" t="s">
        <v>1179</v>
      </c>
      <c r="B8" s="1682">
        <f>'Revenues 9-14'!G5</f>
        <v>0</v>
      </c>
      <c r="C8" s="585"/>
      <c r="D8" s="1685">
        <f t="shared" si="0"/>
        <v>0</v>
      </c>
      <c r="E8" s="585"/>
      <c r="F8" s="1685">
        <f t="shared" si="1"/>
        <v>0</v>
      </c>
    </row>
    <row r="9" spans="1:6" ht="13.7" customHeight="1" x14ac:dyDescent="0.2">
      <c r="A9" s="715" t="s">
        <v>408</v>
      </c>
      <c r="B9" s="1682">
        <f>'Revenues 9-14'!H5</f>
        <v>10132959</v>
      </c>
      <c r="C9" s="585">
        <v>8983263</v>
      </c>
      <c r="D9" s="1685">
        <f t="shared" si="0"/>
        <v>1149696</v>
      </c>
      <c r="E9" s="585">
        <f>9456066</f>
        <v>9456066</v>
      </c>
      <c r="F9" s="1685">
        <f t="shared" si="1"/>
        <v>472803</v>
      </c>
    </row>
    <row r="10" spans="1:6" ht="13.7" customHeight="1" x14ac:dyDescent="0.2">
      <c r="A10" s="715" t="s">
        <v>407</v>
      </c>
      <c r="B10" s="1682">
        <f>'Revenues 9-14'!I5</f>
        <v>0</v>
      </c>
      <c r="C10" s="585"/>
      <c r="D10" s="1685">
        <f t="shared" si="0"/>
        <v>0</v>
      </c>
      <c r="E10" s="585"/>
      <c r="F10" s="1685">
        <f t="shared" si="1"/>
        <v>0</v>
      </c>
    </row>
    <row r="11" spans="1:6" x14ac:dyDescent="0.2">
      <c r="A11" s="715" t="s">
        <v>409</v>
      </c>
      <c r="B11" s="1682">
        <f>'Revenues 9-14'!J5</f>
        <v>76451096</v>
      </c>
      <c r="C11" s="585">
        <v>73753032</v>
      </c>
      <c r="D11" s="1685">
        <f t="shared" si="0"/>
        <v>2698064</v>
      </c>
      <c r="E11" s="585">
        <v>77634771</v>
      </c>
      <c r="F11" s="1685">
        <f t="shared" si="1"/>
        <v>3881739</v>
      </c>
    </row>
    <row r="12" spans="1:6" ht="13.7" customHeight="1" x14ac:dyDescent="0.2">
      <c r="A12" s="715" t="s">
        <v>157</v>
      </c>
      <c r="B12" s="1682">
        <f>'Revenues 9-14'!K5</f>
        <v>0</v>
      </c>
      <c r="C12" s="585"/>
      <c r="D12" s="1685">
        <f t="shared" si="0"/>
        <v>0</v>
      </c>
      <c r="E12" s="585"/>
      <c r="F12" s="1685">
        <f t="shared" si="1"/>
        <v>0</v>
      </c>
    </row>
    <row r="13" spans="1:6" ht="13.7" customHeight="1" x14ac:dyDescent="0.2">
      <c r="A13" s="715" t="s">
        <v>936</v>
      </c>
      <c r="B13" s="1682">
        <f>SUM('Revenues 9-14'!C6:D6)</f>
        <v>0</v>
      </c>
      <c r="C13" s="585"/>
      <c r="D13" s="1685">
        <f t="shared" si="0"/>
        <v>0</v>
      </c>
      <c r="E13" s="585"/>
      <c r="F13" s="1685">
        <f t="shared" si="1"/>
        <v>0</v>
      </c>
    </row>
    <row r="14" spans="1:6" ht="13.7" customHeight="1" x14ac:dyDescent="0.2">
      <c r="A14" s="715" t="s">
        <v>410</v>
      </c>
      <c r="B14" s="1682">
        <f>SUM('Revenues 9-14'!C7:D7,'Revenues 9-14'!F7:H7)</f>
        <v>0</v>
      </c>
      <c r="C14" s="585"/>
      <c r="D14" s="1685">
        <f t="shared" si="0"/>
        <v>0</v>
      </c>
      <c r="E14" s="585"/>
      <c r="F14" s="1685">
        <f t="shared" si="1"/>
        <v>0</v>
      </c>
    </row>
    <row r="15" spans="1:6" ht="13.7" customHeight="1" x14ac:dyDescent="0.2">
      <c r="A15" s="715" t="s">
        <v>1158</v>
      </c>
      <c r="B15" s="1682">
        <f>SUM('Revenues 9-14'!D9:E9,'Revenues 9-14'!H9)</f>
        <v>0</v>
      </c>
      <c r="C15" s="585"/>
      <c r="D15" s="1685">
        <f t="shared" si="0"/>
        <v>0</v>
      </c>
      <c r="E15" s="585"/>
      <c r="F15" s="1685">
        <f t="shared" si="1"/>
        <v>0</v>
      </c>
    </row>
    <row r="16" spans="1:6" ht="13.7" customHeight="1" x14ac:dyDescent="0.2">
      <c r="A16" s="715" t="s">
        <v>1159</v>
      </c>
      <c r="B16" s="1682">
        <f>'Revenues 9-14'!G8</f>
        <v>0</v>
      </c>
      <c r="C16" s="585"/>
      <c r="D16" s="1685">
        <f t="shared" si="0"/>
        <v>0</v>
      </c>
      <c r="E16" s="585"/>
      <c r="F16" s="1685">
        <f t="shared" si="1"/>
        <v>0</v>
      </c>
    </row>
    <row r="17" spans="1:6" ht="13.7" customHeight="1" x14ac:dyDescent="0.2">
      <c r="A17" s="715" t="s">
        <v>1160</v>
      </c>
      <c r="B17" s="1682">
        <f>'Revenues 9-14'!C10</f>
        <v>0</v>
      </c>
      <c r="C17" s="585"/>
      <c r="D17" s="1685">
        <f t="shared" si="0"/>
        <v>0</v>
      </c>
      <c r="E17" s="585"/>
      <c r="F17" s="1685">
        <f t="shared" si="1"/>
        <v>0</v>
      </c>
    </row>
    <row r="18" spans="1:6" ht="13.7" customHeight="1" x14ac:dyDescent="0.2">
      <c r="A18" s="715" t="s">
        <v>762</v>
      </c>
      <c r="B18" s="1682">
        <f>SUM('Revenues 9-14'!C11:K11)+434255760</f>
        <v>434255760</v>
      </c>
      <c r="C18" s="585">
        <v>404053773</v>
      </c>
      <c r="D18" s="1685">
        <f t="shared" si="0"/>
        <v>30201987</v>
      </c>
      <c r="E18" s="585">
        <v>425319761</v>
      </c>
      <c r="F18" s="1685">
        <f t="shared" si="1"/>
        <v>21265988</v>
      </c>
    </row>
    <row r="19" spans="1:6" ht="13.7" customHeight="1" thickBot="1" x14ac:dyDescent="0.25">
      <c r="A19" s="1686" t="s">
        <v>1161</v>
      </c>
      <c r="B19" s="1683">
        <f>SUM(B4:B18)</f>
        <v>2984025712</v>
      </c>
      <c r="C19" s="1683">
        <f>SUM(C4:C18)</f>
        <v>2811038641</v>
      </c>
      <c r="D19" s="1683">
        <f>SUM(D4:D18)</f>
        <v>172987071</v>
      </c>
      <c r="E19" s="1683">
        <f>SUM(E4:E18)</f>
        <v>2958988043</v>
      </c>
      <c r="F19" s="1683">
        <f>SUM(F4:F18)</f>
        <v>147949402</v>
      </c>
    </row>
    <row r="20" spans="1:6" ht="13.5" thickTop="1" x14ac:dyDescent="0.2">
      <c r="B20" s="713"/>
      <c r="F20" s="716"/>
    </row>
    <row r="21" spans="1:6" x14ac:dyDescent="0.2">
      <c r="A21" s="717" t="s">
        <v>1786</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2D050"/>
    <pageSetUpPr fitToPage="1"/>
  </sheetPr>
  <dimension ref="A1:K59"/>
  <sheetViews>
    <sheetView showGridLines="0" defaultGridColor="0" topLeftCell="A16" colorId="8" zoomScale="110" zoomScaleNormal="110" workbookViewId="0">
      <selection activeCell="F44" sqref="F44"/>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6" t="s">
        <v>629</v>
      </c>
      <c r="B1" s="2227"/>
      <c r="C1" s="721"/>
    </row>
    <row r="2" spans="1:7" ht="33.75" x14ac:dyDescent="0.2">
      <c r="A2" s="2235" t="s">
        <v>1780</v>
      </c>
      <c r="B2" s="2236"/>
      <c r="C2" s="1816" t="s">
        <v>1931</v>
      </c>
      <c r="D2" s="723" t="s">
        <v>1932</v>
      </c>
      <c r="E2" s="723" t="s">
        <v>1933</v>
      </c>
      <c r="F2" s="1816" t="s">
        <v>1934</v>
      </c>
    </row>
    <row r="3" spans="1:7" ht="15.75" customHeight="1" x14ac:dyDescent="0.2">
      <c r="A3" s="2239" t="s">
        <v>1114</v>
      </c>
      <c r="B3" s="2240"/>
      <c r="C3" s="2228"/>
      <c r="D3" s="2229"/>
      <c r="E3" s="2229"/>
      <c r="F3" s="2230"/>
    </row>
    <row r="4" spans="1:7" ht="12.75" customHeight="1" thickBot="1" x14ac:dyDescent="0.25">
      <c r="A4" s="2237" t="s">
        <v>630</v>
      </c>
      <c r="B4" s="2238"/>
      <c r="C4" s="581"/>
      <c r="D4" s="581"/>
      <c r="E4" s="581"/>
      <c r="F4" s="1687">
        <f>SUM(C4+D4)-E4</f>
        <v>0</v>
      </c>
    </row>
    <row r="5" spans="1:7" ht="15.75" customHeight="1" thickTop="1" x14ac:dyDescent="0.2">
      <c r="A5" s="2222" t="s">
        <v>1110</v>
      </c>
      <c r="B5" s="2223"/>
      <c r="C5" s="2231"/>
      <c r="D5" s="2232"/>
      <c r="E5" s="2232"/>
      <c r="F5" s="2233"/>
    </row>
    <row r="6" spans="1:7" ht="12.75" customHeight="1" thickBot="1" x14ac:dyDescent="0.25">
      <c r="A6" s="724" t="s">
        <v>64</v>
      </c>
      <c r="B6" s="725"/>
      <c r="C6" s="726"/>
      <c r="D6" s="585"/>
      <c r="E6" s="726"/>
      <c r="F6" s="1687">
        <f t="shared" ref="F6:F14" si="0">SUM(C6+D6)-E6</f>
        <v>0</v>
      </c>
    </row>
    <row r="7" spans="1:7" ht="12.75" customHeight="1" thickTop="1" thickBot="1" x14ac:dyDescent="0.25">
      <c r="A7" s="724" t="s">
        <v>6</v>
      </c>
      <c r="B7" s="725"/>
      <c r="C7" s="726"/>
      <c r="D7" s="585"/>
      <c r="E7" s="726"/>
      <c r="F7" s="1687">
        <f t="shared" si="0"/>
        <v>0</v>
      </c>
    </row>
    <row r="8" spans="1:7" ht="12.75" customHeight="1" thickTop="1" thickBot="1" x14ac:dyDescent="0.25">
      <c r="A8" s="724" t="s">
        <v>508</v>
      </c>
      <c r="B8" s="725"/>
      <c r="C8" s="726"/>
      <c r="D8" s="585"/>
      <c r="E8" s="726"/>
      <c r="F8" s="1687">
        <f t="shared" si="0"/>
        <v>0</v>
      </c>
    </row>
    <row r="9" spans="1:7" ht="12.75" customHeight="1" thickTop="1" thickBot="1" x14ac:dyDescent="0.25">
      <c r="A9" s="724" t="s">
        <v>509</v>
      </c>
      <c r="B9" s="725"/>
      <c r="C9" s="726"/>
      <c r="D9" s="585"/>
      <c r="E9" s="726"/>
      <c r="F9" s="1687">
        <f t="shared" si="0"/>
        <v>0</v>
      </c>
    </row>
    <row r="10" spans="1:7" ht="12.75" customHeight="1" thickTop="1" thickBot="1" x14ac:dyDescent="0.25">
      <c r="A10" s="724" t="s">
        <v>510</v>
      </c>
      <c r="B10" s="725"/>
      <c r="C10" s="726"/>
      <c r="D10" s="585"/>
      <c r="E10" s="726"/>
      <c r="F10" s="1687">
        <f t="shared" si="0"/>
        <v>0</v>
      </c>
    </row>
    <row r="11" spans="1:7" ht="12.75" customHeight="1" thickTop="1" thickBot="1" x14ac:dyDescent="0.25">
      <c r="A11" s="724" t="s">
        <v>341</v>
      </c>
      <c r="B11" s="725"/>
      <c r="C11" s="726"/>
      <c r="D11" s="585"/>
      <c r="E11" s="726"/>
      <c r="F11" s="1687">
        <f t="shared" si="0"/>
        <v>0</v>
      </c>
    </row>
    <row r="12" spans="1:7" ht="12.75" customHeight="1" thickTop="1" thickBot="1" x14ac:dyDescent="0.25">
      <c r="A12" s="724" t="s">
        <v>1157</v>
      </c>
      <c r="B12" s="725"/>
      <c r="C12" s="726"/>
      <c r="D12" s="585"/>
      <c r="E12" s="726"/>
      <c r="F12" s="1687">
        <f t="shared" si="0"/>
        <v>0</v>
      </c>
    </row>
    <row r="13" spans="1:7" ht="12.75" customHeight="1" thickTop="1" thickBot="1" x14ac:dyDescent="0.25">
      <c r="A13" s="724" t="s">
        <v>388</v>
      </c>
      <c r="B13" s="725"/>
      <c r="C13" s="726"/>
      <c r="D13" s="585"/>
      <c r="E13" s="726"/>
      <c r="F13" s="1687">
        <f t="shared" si="0"/>
        <v>0</v>
      </c>
    </row>
    <row r="14" spans="1:7" ht="12.75" customHeight="1" thickTop="1" thickBot="1" x14ac:dyDescent="0.25">
      <c r="A14" s="724" t="s">
        <v>448</v>
      </c>
      <c r="B14" s="725"/>
      <c r="C14" s="726"/>
      <c r="D14" s="585"/>
      <c r="E14" s="726"/>
      <c r="F14" s="1687">
        <f t="shared" si="0"/>
        <v>0</v>
      </c>
    </row>
    <row r="15" spans="1:7" ht="14.25" thickTop="1" thickBot="1" x14ac:dyDescent="0.25">
      <c r="A15" s="2224" t="s">
        <v>631</v>
      </c>
      <c r="B15" s="2225"/>
      <c r="C15" s="1687">
        <f>SUM(C6:C14)</f>
        <v>0</v>
      </c>
      <c r="D15" s="1687">
        <f>SUM(D6:D14)</f>
        <v>0</v>
      </c>
      <c r="E15" s="1687">
        <f>SUM(E6:E14)</f>
        <v>0</v>
      </c>
      <c r="F15" s="1687">
        <f>SUM(F6:F14)</f>
        <v>0</v>
      </c>
      <c r="G15" s="552"/>
    </row>
    <row r="16" spans="1:7" s="202" customFormat="1" ht="15.75" customHeight="1" thickTop="1" x14ac:dyDescent="0.2">
      <c r="A16" s="2234" t="s">
        <v>1111</v>
      </c>
      <c r="B16" s="2223"/>
      <c r="C16" s="2231"/>
      <c r="D16" s="2232"/>
      <c r="E16" s="2232"/>
      <c r="F16" s="2233"/>
    </row>
    <row r="17" spans="1:11" ht="12.75" customHeight="1" thickBot="1" x14ac:dyDescent="0.25">
      <c r="A17" s="2247" t="s">
        <v>64</v>
      </c>
      <c r="B17" s="2248"/>
      <c r="C17" s="726">
        <v>599911000</v>
      </c>
      <c r="D17" s="585">
        <v>1394000000</v>
      </c>
      <c r="E17" s="726">
        <v>1544466000</v>
      </c>
      <c r="F17" s="1687">
        <f>SUM(C17+D17)-E17</f>
        <v>449445000</v>
      </c>
    </row>
    <row r="18" spans="1:11" ht="12.75" customHeight="1" thickTop="1" thickBot="1" x14ac:dyDescent="0.25">
      <c r="A18" s="2247" t="s">
        <v>6</v>
      </c>
      <c r="B18" s="2248"/>
      <c r="C18" s="726"/>
      <c r="D18" s="585"/>
      <c r="E18" s="726"/>
      <c r="F18" s="1687">
        <f>SUM(C18+D18)-E18</f>
        <v>0</v>
      </c>
    </row>
    <row r="19" spans="1:11" ht="12.75" customHeight="1" thickTop="1" thickBot="1" x14ac:dyDescent="0.25">
      <c r="A19" s="2247" t="s">
        <v>388</v>
      </c>
      <c r="B19" s="2248"/>
      <c r="C19" s="726"/>
      <c r="D19" s="585"/>
      <c r="E19" s="726"/>
      <c r="F19" s="1687">
        <f>SUM(C19+D19)-E19</f>
        <v>0</v>
      </c>
    </row>
    <row r="20" spans="1:11" ht="12.75" customHeight="1" thickTop="1" thickBot="1" x14ac:dyDescent="0.25">
      <c r="A20" s="2247" t="s">
        <v>448</v>
      </c>
      <c r="B20" s="2248"/>
      <c r="C20" s="726"/>
      <c r="D20" s="585"/>
      <c r="E20" s="726"/>
      <c r="F20" s="1687">
        <f>SUM(C20+D20)-E20</f>
        <v>0</v>
      </c>
    </row>
    <row r="21" spans="1:11" ht="14.25" thickTop="1" thickBot="1" x14ac:dyDescent="0.25">
      <c r="A21" s="2224" t="s">
        <v>632</v>
      </c>
      <c r="B21" s="2225"/>
      <c r="C21" s="1687">
        <f>SUM(C17:C20)</f>
        <v>599911000</v>
      </c>
      <c r="D21" s="1687">
        <f>SUM(D17:D20)</f>
        <v>1394000000</v>
      </c>
      <c r="E21" s="1687">
        <f>SUM(E17:E20)</f>
        <v>1544466000</v>
      </c>
      <c r="F21" s="1687">
        <f>SUM(F17:F20)</f>
        <v>449445000</v>
      </c>
      <c r="G21" s="552"/>
    </row>
    <row r="22" spans="1:11" ht="15.75" customHeight="1" thickTop="1" x14ac:dyDescent="0.2">
      <c r="A22" s="2249" t="s">
        <v>1112</v>
      </c>
      <c r="B22" s="2223"/>
      <c r="C22" s="2231"/>
      <c r="D22" s="2232"/>
      <c r="E22" s="2232"/>
      <c r="F22" s="2233"/>
    </row>
    <row r="23" spans="1:11" ht="13.5" thickBot="1" x14ac:dyDescent="0.25">
      <c r="A23" s="2237" t="s">
        <v>633</v>
      </c>
      <c r="B23" s="2238"/>
      <c r="C23" s="581"/>
      <c r="D23" s="581"/>
      <c r="E23" s="581"/>
      <c r="F23" s="1687">
        <f>SUM(C23+D23)-E23</f>
        <v>0</v>
      </c>
      <c r="G23" s="552"/>
    </row>
    <row r="24" spans="1:11" ht="15.75" customHeight="1" thickTop="1" x14ac:dyDescent="0.2">
      <c r="A24" s="2249" t="s">
        <v>1113</v>
      </c>
      <c r="B24" s="2223"/>
      <c r="C24" s="2231"/>
      <c r="D24" s="2232"/>
      <c r="E24" s="2232"/>
      <c r="F24" s="2233"/>
    </row>
    <row r="25" spans="1:11" ht="13.5" thickBot="1" x14ac:dyDescent="0.25">
      <c r="A25" s="2237" t="s">
        <v>634</v>
      </c>
      <c r="B25" s="2238"/>
      <c r="C25" s="581"/>
      <c r="D25" s="581"/>
      <c r="E25" s="581"/>
      <c r="F25" s="1687">
        <f>SUM(C25+D25)-E25</f>
        <v>0</v>
      </c>
      <c r="G25" s="552"/>
    </row>
    <row r="26" spans="1:11" ht="15.75" customHeight="1" thickTop="1" x14ac:dyDescent="0.2">
      <c r="A26" s="2222" t="s">
        <v>657</v>
      </c>
      <c r="B26" s="2223"/>
      <c r="C26" s="727"/>
      <c r="D26" s="727"/>
      <c r="E26" s="727"/>
      <c r="F26" s="728"/>
    </row>
    <row r="27" spans="1:11" ht="13.5" thickBot="1" x14ac:dyDescent="0.25">
      <c r="A27" s="2224" t="s">
        <v>1070</v>
      </c>
      <c r="B27" s="2225"/>
      <c r="C27" s="585"/>
      <c r="D27" s="585"/>
      <c r="E27" s="585"/>
      <c r="F27" s="1687">
        <f>SUM(C27+D27)-E27</f>
        <v>0</v>
      </c>
      <c r="G27" s="552"/>
    </row>
    <row r="28" spans="1:11" ht="7.5" customHeight="1" thickTop="1" x14ac:dyDescent="0.2">
      <c r="A28" s="593"/>
    </row>
    <row r="29" spans="1:11" ht="23.25" customHeight="1" x14ac:dyDescent="0.2">
      <c r="A29" s="2250" t="s">
        <v>582</v>
      </c>
      <c r="B29" s="2227"/>
      <c r="C29" s="729"/>
      <c r="D29" s="729"/>
      <c r="E29" s="729"/>
      <c r="F29" s="729"/>
      <c r="G29" s="729"/>
      <c r="H29" s="729"/>
      <c r="I29" s="729"/>
      <c r="J29" s="729"/>
    </row>
    <row r="30" spans="1:11" ht="33.75" x14ac:dyDescent="0.2">
      <c r="A30" s="1462" t="s">
        <v>1071</v>
      </c>
      <c r="B30" s="730" t="s">
        <v>1124</v>
      </c>
      <c r="C30" s="1817" t="s">
        <v>583</v>
      </c>
      <c r="D30" s="1817" t="s">
        <v>1662</v>
      </c>
      <c r="E30" s="1817" t="s">
        <v>1935</v>
      </c>
      <c r="F30" s="1817" t="s">
        <v>1936</v>
      </c>
      <c r="G30" s="1817" t="s">
        <v>1887</v>
      </c>
      <c r="H30" s="1817" t="s">
        <v>1937</v>
      </c>
      <c r="I30" s="1817" t="s">
        <v>1938</v>
      </c>
      <c r="J30" s="1818" t="s">
        <v>2</v>
      </c>
      <c r="K30" s="731"/>
    </row>
    <row r="31" spans="1:11" ht="12" customHeight="1" x14ac:dyDescent="0.2">
      <c r="A31" s="732" t="s">
        <v>2057</v>
      </c>
      <c r="B31" s="733" t="s">
        <v>2059</v>
      </c>
      <c r="C31" s="734"/>
      <c r="D31" s="735" t="s">
        <v>2059</v>
      </c>
      <c r="E31" s="734">
        <v>8075926926</v>
      </c>
      <c r="F31" s="734">
        <v>849395000</v>
      </c>
      <c r="G31" s="734">
        <v>0</v>
      </c>
      <c r="H31" s="734">
        <f>569775000-52</f>
        <v>569774948</v>
      </c>
      <c r="I31" s="1688">
        <f>((E31+F31)-H31)+G31</f>
        <v>8355546978</v>
      </c>
      <c r="J31" s="734">
        <f>I31-'Assets-Liab 5-6'!H38</f>
        <v>7638800397</v>
      </c>
      <c r="K31" s="736"/>
    </row>
    <row r="32" spans="1:11" ht="12" customHeight="1" x14ac:dyDescent="0.2">
      <c r="A32" s="732" t="s">
        <v>2058</v>
      </c>
      <c r="B32" s="733" t="s">
        <v>2059</v>
      </c>
      <c r="C32" s="734"/>
      <c r="D32" s="735" t="s">
        <v>2059</v>
      </c>
      <c r="E32" s="734">
        <v>74395000</v>
      </c>
      <c r="F32" s="734">
        <v>0</v>
      </c>
      <c r="G32" s="734">
        <v>0</v>
      </c>
      <c r="H32" s="734">
        <v>46020000</v>
      </c>
      <c r="I32" s="1688">
        <f>((E32+F32)-H32)+G32</f>
        <v>28375000</v>
      </c>
      <c r="J32" s="734">
        <v>28375000</v>
      </c>
      <c r="K32" s="736"/>
    </row>
    <row r="33" spans="1:11" ht="12" customHeight="1" x14ac:dyDescent="0.2">
      <c r="A33" s="732"/>
      <c r="B33" s="733"/>
      <c r="C33" s="734"/>
      <c r="D33" s="735"/>
      <c r="E33" s="734"/>
      <c r="F33" s="734"/>
      <c r="G33" s="734"/>
      <c r="H33" s="734"/>
      <c r="I33" s="1688">
        <f t="shared" ref="I33:I48" si="1">((E33+F33)-H33)+G33</f>
        <v>0</v>
      </c>
      <c r="J33" s="734"/>
      <c r="K33" s="736"/>
    </row>
    <row r="34" spans="1:11" ht="12" customHeight="1" x14ac:dyDescent="0.2">
      <c r="A34" s="732"/>
      <c r="B34" s="733"/>
      <c r="C34" s="734"/>
      <c r="D34" s="735"/>
      <c r="E34" s="734"/>
      <c r="F34" s="734"/>
      <c r="G34" s="734"/>
      <c r="H34" s="734"/>
      <c r="I34" s="1688">
        <f t="shared" si="1"/>
        <v>0</v>
      </c>
      <c r="J34" s="734"/>
      <c r="K34" s="737"/>
    </row>
    <row r="35" spans="1:11" ht="12" customHeight="1" x14ac:dyDescent="0.2">
      <c r="A35" s="732"/>
      <c r="B35" s="733"/>
      <c r="C35" s="738"/>
      <c r="D35" s="735"/>
      <c r="E35" s="738"/>
      <c r="F35" s="738"/>
      <c r="G35" s="738"/>
      <c r="H35" s="738"/>
      <c r="I35" s="1688">
        <f t="shared" si="1"/>
        <v>0</v>
      </c>
      <c r="J35" s="738"/>
      <c r="K35" s="737"/>
    </row>
    <row r="36" spans="1:11" ht="12" customHeight="1" x14ac:dyDescent="0.2">
      <c r="A36" s="732"/>
      <c r="B36" s="733"/>
      <c r="C36" s="734"/>
      <c r="D36" s="735"/>
      <c r="E36" s="734"/>
      <c r="F36" s="734"/>
      <c r="G36" s="734"/>
      <c r="H36" s="734"/>
      <c r="I36" s="1688">
        <f t="shared" si="1"/>
        <v>0</v>
      </c>
      <c r="J36" s="734"/>
      <c r="K36" s="739"/>
    </row>
    <row r="37" spans="1:11" ht="12" customHeight="1" x14ac:dyDescent="0.2">
      <c r="A37" s="732"/>
      <c r="B37" s="733"/>
      <c r="C37" s="467"/>
      <c r="D37" s="740"/>
      <c r="E37" s="467"/>
      <c r="F37" s="467"/>
      <c r="G37" s="467"/>
      <c r="H37" s="467"/>
      <c r="I37" s="1688">
        <f t="shared" si="1"/>
        <v>0</v>
      </c>
      <c r="J37" s="467"/>
      <c r="K37" s="737"/>
    </row>
    <row r="38" spans="1:11" ht="12" customHeight="1" x14ac:dyDescent="0.2">
      <c r="A38" s="732"/>
      <c r="B38" s="733"/>
      <c r="C38" s="734"/>
      <c r="D38" s="741"/>
      <c r="E38" s="742"/>
      <c r="F38" s="742"/>
      <c r="G38" s="742"/>
      <c r="H38" s="742"/>
      <c r="I38" s="1688">
        <f t="shared" si="1"/>
        <v>0</v>
      </c>
      <c r="J38" s="743" t="s">
        <v>264</v>
      </c>
      <c r="K38" s="744"/>
    </row>
    <row r="39" spans="1:11" ht="12" customHeight="1" x14ac:dyDescent="0.2">
      <c r="A39" s="732"/>
      <c r="B39" s="733"/>
      <c r="C39" s="734"/>
      <c r="D39" s="741"/>
      <c r="E39" s="742"/>
      <c r="F39" s="742"/>
      <c r="G39" s="742"/>
      <c r="H39" s="742"/>
      <c r="I39" s="1688">
        <f t="shared" si="1"/>
        <v>0</v>
      </c>
      <c r="J39" s="743"/>
      <c r="K39" s="744"/>
    </row>
    <row r="40" spans="1:11" ht="12" customHeight="1" x14ac:dyDescent="0.2">
      <c r="A40" s="732"/>
      <c r="B40" s="733"/>
      <c r="C40" s="734"/>
      <c r="D40" s="741"/>
      <c r="E40" s="742"/>
      <c r="F40" s="742"/>
      <c r="G40" s="742"/>
      <c r="H40" s="742"/>
      <c r="I40" s="1688">
        <f t="shared" si="1"/>
        <v>0</v>
      </c>
      <c r="J40" s="743"/>
      <c r="K40" s="744"/>
    </row>
    <row r="41" spans="1:11" ht="12" customHeight="1" x14ac:dyDescent="0.2">
      <c r="A41" s="732"/>
      <c r="B41" s="733"/>
      <c r="C41" s="734"/>
      <c r="D41" s="741"/>
      <c r="E41" s="742"/>
      <c r="F41" s="742"/>
      <c r="G41" s="742"/>
      <c r="H41" s="742"/>
      <c r="I41" s="1688">
        <f t="shared" si="1"/>
        <v>0</v>
      </c>
      <c r="J41" s="743"/>
      <c r="K41" s="744"/>
    </row>
    <row r="42" spans="1:11" ht="12" customHeight="1" x14ac:dyDescent="0.2">
      <c r="A42" s="732"/>
      <c r="B42" s="733"/>
      <c r="C42" s="734"/>
      <c r="D42" s="741"/>
      <c r="E42" s="742"/>
      <c r="F42" s="742"/>
      <c r="G42" s="742"/>
      <c r="H42" s="742"/>
      <c r="I42" s="1688">
        <f t="shared" si="1"/>
        <v>0</v>
      </c>
      <c r="J42" s="743"/>
      <c r="K42" s="744"/>
    </row>
    <row r="43" spans="1:11" ht="12" customHeight="1" x14ac:dyDescent="0.2">
      <c r="A43" s="732"/>
      <c r="B43" s="733"/>
      <c r="C43" s="734"/>
      <c r="D43" s="741"/>
      <c r="E43" s="742"/>
      <c r="F43" s="742"/>
      <c r="G43" s="742"/>
      <c r="H43" s="742"/>
      <c r="I43" s="1688">
        <f t="shared" si="1"/>
        <v>0</v>
      </c>
      <c r="J43" s="743"/>
      <c r="K43" s="744"/>
    </row>
    <row r="44" spans="1:11" ht="12" customHeight="1" x14ac:dyDescent="0.2">
      <c r="A44" s="732"/>
      <c r="B44" s="733"/>
      <c r="C44" s="734"/>
      <c r="D44" s="735"/>
      <c r="E44" s="734"/>
      <c r="F44" s="734"/>
      <c r="G44" s="734"/>
      <c r="H44" s="734"/>
      <c r="I44" s="1688">
        <f t="shared" si="1"/>
        <v>0</v>
      </c>
      <c r="J44" s="734"/>
      <c r="K44" s="737"/>
    </row>
    <row r="45" spans="1:11" ht="12" customHeight="1" x14ac:dyDescent="0.2">
      <c r="A45" s="732"/>
      <c r="B45" s="733"/>
      <c r="C45" s="734"/>
      <c r="D45" s="735"/>
      <c r="E45" s="734"/>
      <c r="F45" s="734"/>
      <c r="G45" s="734"/>
      <c r="H45" s="734"/>
      <c r="I45" s="1688">
        <f t="shared" si="1"/>
        <v>0</v>
      </c>
      <c r="J45" s="734"/>
      <c r="K45" s="737"/>
    </row>
    <row r="46" spans="1:11" ht="12" customHeight="1" x14ac:dyDescent="0.2">
      <c r="A46" s="732"/>
      <c r="B46" s="733"/>
      <c r="C46" s="734"/>
      <c r="D46" s="735"/>
      <c r="E46" s="734"/>
      <c r="F46" s="734"/>
      <c r="G46" s="734"/>
      <c r="H46" s="734"/>
      <c r="I46" s="1688">
        <f t="shared" si="1"/>
        <v>0</v>
      </c>
      <c r="J46" s="734"/>
      <c r="K46" s="737"/>
    </row>
    <row r="47" spans="1:11" ht="12" customHeight="1" x14ac:dyDescent="0.2">
      <c r="A47" s="732"/>
      <c r="B47" s="733"/>
      <c r="C47" s="738"/>
      <c r="D47" s="735"/>
      <c r="E47" s="738"/>
      <c r="F47" s="738"/>
      <c r="G47" s="738"/>
      <c r="H47" s="738"/>
      <c r="I47" s="1688">
        <f t="shared" si="1"/>
        <v>0</v>
      </c>
      <c r="J47" s="738"/>
      <c r="K47" s="737"/>
    </row>
    <row r="48" spans="1:11" ht="12" customHeight="1" x14ac:dyDescent="0.2">
      <c r="A48" s="732"/>
      <c r="B48" s="733"/>
      <c r="C48" s="734"/>
      <c r="D48" s="735"/>
      <c r="E48" s="734"/>
      <c r="F48" s="734"/>
      <c r="G48" s="734"/>
      <c r="H48" s="734"/>
      <c r="I48" s="1688">
        <f t="shared" si="1"/>
        <v>0</v>
      </c>
      <c r="J48" s="734"/>
      <c r="K48" s="737"/>
    </row>
    <row r="49" spans="1:11" ht="12" customHeight="1" x14ac:dyDescent="0.2">
      <c r="A49" s="732"/>
      <c r="B49" s="733"/>
      <c r="C49" s="1688">
        <f>SUM(C31:C48)</f>
        <v>0</v>
      </c>
      <c r="D49" s="745"/>
      <c r="E49" s="1688">
        <f t="shared" ref="E49:J49" si="2">SUM(E31:E48)</f>
        <v>8150321926</v>
      </c>
      <c r="F49" s="1688">
        <f t="shared" si="2"/>
        <v>849395000</v>
      </c>
      <c r="G49" s="1688">
        <f t="shared" si="2"/>
        <v>0</v>
      </c>
      <c r="H49" s="1688">
        <f t="shared" si="2"/>
        <v>615794948</v>
      </c>
      <c r="I49" s="1688">
        <f t="shared" si="2"/>
        <v>8383921978</v>
      </c>
      <c r="J49" s="1688">
        <f t="shared" si="2"/>
        <v>7667175397</v>
      </c>
      <c r="K49" s="737"/>
    </row>
    <row r="50" spans="1:11" ht="6" customHeight="1" x14ac:dyDescent="0.2">
      <c r="A50" s="746"/>
      <c r="B50" s="736"/>
      <c r="C50" s="736"/>
      <c r="D50" s="736"/>
      <c r="E50" s="736"/>
      <c r="F50" s="736"/>
      <c r="G50" s="736"/>
      <c r="H50" s="736"/>
      <c r="I50" s="736"/>
      <c r="J50" s="746"/>
    </row>
    <row r="51" spans="1:11" x14ac:dyDescent="0.2">
      <c r="A51" s="747" t="s">
        <v>1785</v>
      </c>
      <c r="B51" s="746"/>
      <c r="C51" s="737"/>
      <c r="D51" s="737"/>
      <c r="E51" s="737"/>
      <c r="F51" s="737"/>
      <c r="G51" s="737"/>
      <c r="H51" s="736"/>
      <c r="I51" s="736"/>
      <c r="J51" s="746"/>
    </row>
    <row r="52" spans="1:11" ht="11.25" customHeight="1" x14ac:dyDescent="0.2">
      <c r="A52" s="748" t="s">
        <v>912</v>
      </c>
      <c r="B52" s="2241" t="s">
        <v>584</v>
      </c>
      <c r="C52" s="2242"/>
      <c r="D52" s="2242"/>
      <c r="E52" s="749" t="s">
        <v>845</v>
      </c>
      <c r="F52" s="2243"/>
      <c r="G52" s="2244"/>
      <c r="H52" s="736"/>
      <c r="I52" s="736"/>
      <c r="J52" s="746"/>
    </row>
    <row r="53" spans="1:11" ht="11.25" customHeight="1" x14ac:dyDescent="0.2">
      <c r="A53" s="750" t="s">
        <v>913</v>
      </c>
      <c r="B53" s="751" t="s">
        <v>951</v>
      </c>
      <c r="C53" s="746"/>
      <c r="D53" s="737"/>
      <c r="E53" s="749" t="s">
        <v>497</v>
      </c>
      <c r="F53" s="2245"/>
      <c r="G53" s="2246"/>
      <c r="H53" s="736"/>
      <c r="I53" s="736"/>
      <c r="J53" s="746"/>
    </row>
    <row r="54" spans="1:11" ht="11.25" customHeight="1" x14ac:dyDescent="0.2">
      <c r="A54" s="752" t="s">
        <v>914</v>
      </c>
      <c r="B54" s="747" t="s">
        <v>952</v>
      </c>
      <c r="C54" s="746"/>
      <c r="D54" s="737"/>
      <c r="E54" s="749" t="s">
        <v>498</v>
      </c>
      <c r="F54" s="2245"/>
      <c r="G54" s="2246"/>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2D050"/>
  </sheetPr>
  <dimension ref="A1:K48"/>
  <sheetViews>
    <sheetView showGridLines="0" defaultGridColor="0" colorId="8" zoomScale="110" zoomScaleNormal="110" workbookViewId="0">
      <selection activeCell="K34" sqref="K34"/>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75" t="s">
        <v>856</v>
      </c>
      <c r="B1" s="2276"/>
      <c r="C1" s="2276"/>
      <c r="D1" s="2276"/>
      <c r="E1" s="2276"/>
      <c r="F1" s="2276"/>
      <c r="G1" s="2277"/>
      <c r="H1" s="1463"/>
      <c r="I1" s="760"/>
      <c r="J1" s="433"/>
    </row>
    <row r="2" spans="1:11" ht="26.25" x14ac:dyDescent="0.2">
      <c r="A2" s="2254" t="s">
        <v>1666</v>
      </c>
      <c r="B2" s="2255"/>
      <c r="C2" s="2255"/>
      <c r="D2" s="2255"/>
      <c r="E2" s="2256"/>
      <c r="F2" s="761" t="s">
        <v>904</v>
      </c>
      <c r="G2" s="762" t="s">
        <v>1663</v>
      </c>
      <c r="H2" s="762" t="s">
        <v>410</v>
      </c>
      <c r="I2" s="762" t="s">
        <v>1158</v>
      </c>
      <c r="J2" s="762" t="s">
        <v>1790</v>
      </c>
      <c r="K2" s="762" t="s">
        <v>138</v>
      </c>
    </row>
    <row r="3" spans="1:11" x14ac:dyDescent="0.2">
      <c r="A3" s="2257" t="s">
        <v>1939</v>
      </c>
      <c r="B3" s="2258"/>
      <c r="C3" s="2258"/>
      <c r="D3" s="2258"/>
      <c r="E3" s="2259"/>
      <c r="F3" s="763"/>
      <c r="G3" s="764"/>
      <c r="H3" s="764"/>
      <c r="I3" s="764"/>
      <c r="J3" s="765"/>
      <c r="K3" s="765">
        <v>4214218</v>
      </c>
    </row>
    <row r="4" spans="1:11" x14ac:dyDescent="0.2">
      <c r="A4" s="2260" t="s">
        <v>369</v>
      </c>
      <c r="B4" s="2261"/>
      <c r="C4" s="2261"/>
      <c r="D4" s="2261"/>
      <c r="E4" s="2242"/>
      <c r="F4" s="766"/>
      <c r="G4" s="767"/>
      <c r="H4" s="768"/>
      <c r="I4" s="767"/>
      <c r="J4" s="769"/>
      <c r="K4" s="769"/>
    </row>
    <row r="5" spans="1:11" x14ac:dyDescent="0.2">
      <c r="A5" s="2278" t="s">
        <v>1069</v>
      </c>
      <c r="B5" s="2251"/>
      <c r="C5" s="2251"/>
      <c r="D5" s="2251"/>
      <c r="E5" s="2279"/>
      <c r="F5" s="770" t="s">
        <v>848</v>
      </c>
      <c r="G5" s="771"/>
      <c r="H5" s="764"/>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f>'Revenues 9-14'!C101</f>
        <v>734063</v>
      </c>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f>'Revenues 9-14'!C148</f>
        <v>2704910</v>
      </c>
    </row>
    <row r="10" spans="1:11" x14ac:dyDescent="0.2">
      <c r="A10" s="2278" t="s">
        <v>1791</v>
      </c>
      <c r="B10" s="2251"/>
      <c r="C10" s="2251"/>
      <c r="D10" s="2251"/>
      <c r="E10" s="2280"/>
      <c r="F10" s="783" t="s">
        <v>862</v>
      </c>
      <c r="G10" s="782"/>
      <c r="H10" s="784"/>
      <c r="I10" s="764"/>
      <c r="J10" s="765"/>
      <c r="K10" s="765"/>
    </row>
    <row r="11" spans="1:11" x14ac:dyDescent="0.2">
      <c r="A11" s="2278" t="s">
        <v>160</v>
      </c>
      <c r="B11" s="2251"/>
      <c r="C11" s="2251"/>
      <c r="D11" s="2251"/>
      <c r="E11" s="2279"/>
      <c r="F11" s="770" t="s">
        <v>852</v>
      </c>
      <c r="G11" s="771"/>
      <c r="H11" s="764"/>
      <c r="I11" s="764"/>
      <c r="J11" s="765"/>
      <c r="K11" s="773"/>
    </row>
    <row r="12" spans="1:11" ht="13.5" thickBot="1" x14ac:dyDescent="0.25">
      <c r="A12" s="2268" t="s">
        <v>905</v>
      </c>
      <c r="B12" s="2269"/>
      <c r="C12" s="2269"/>
      <c r="D12" s="2269"/>
      <c r="E12" s="2270"/>
      <c r="F12" s="1689"/>
      <c r="G12" s="1690">
        <f>SUM(G5:G11)</f>
        <v>0</v>
      </c>
      <c r="H12" s="1690">
        <f>SUM(H5:H11)</f>
        <v>0</v>
      </c>
      <c r="I12" s="1690">
        <f>SUM(I5:I11)</f>
        <v>0</v>
      </c>
      <c r="J12" s="1690">
        <f>SUM(J5:J11)</f>
        <v>0</v>
      </c>
      <c r="K12" s="1690">
        <f>SUM(K5:K11)</f>
        <v>3438973</v>
      </c>
    </row>
    <row r="13" spans="1:11" ht="13.5" thickTop="1" x14ac:dyDescent="0.2">
      <c r="A13" s="2262" t="s">
        <v>370</v>
      </c>
      <c r="B13" s="2263"/>
      <c r="C13" s="2263"/>
      <c r="D13" s="2263"/>
      <c r="E13" s="2264"/>
      <c r="F13" s="785"/>
      <c r="G13" s="786"/>
      <c r="H13" s="787"/>
      <c r="I13" s="788"/>
      <c r="J13" s="788"/>
      <c r="K13" s="788"/>
    </row>
    <row r="14" spans="1:11" x14ac:dyDescent="0.2">
      <c r="A14" s="2284" t="s">
        <v>456</v>
      </c>
      <c r="B14" s="2284"/>
      <c r="C14" s="2284"/>
      <c r="D14" s="2284"/>
      <c r="E14" s="2285"/>
      <c r="F14" s="789" t="s">
        <v>854</v>
      </c>
      <c r="G14" s="782"/>
      <c r="H14" s="764"/>
      <c r="I14" s="771"/>
      <c r="J14" s="773"/>
      <c r="K14" s="765">
        <v>3301151</v>
      </c>
    </row>
    <row r="15" spans="1:11" x14ac:dyDescent="0.2">
      <c r="A15" s="2251" t="s">
        <v>4</v>
      </c>
      <c r="B15" s="2251"/>
      <c r="C15" s="2251"/>
      <c r="D15" s="2251"/>
      <c r="E15" s="2279"/>
      <c r="F15" s="789" t="s">
        <v>855</v>
      </c>
      <c r="G15" s="771"/>
      <c r="H15" s="764"/>
      <c r="I15" s="764"/>
      <c r="J15" s="765"/>
      <c r="K15" s="765"/>
    </row>
    <row r="16" spans="1:11" x14ac:dyDescent="0.2">
      <c r="A16" s="2251" t="s">
        <v>298</v>
      </c>
      <c r="B16" s="2251"/>
      <c r="C16" s="2251"/>
      <c r="D16" s="2251"/>
      <c r="E16" s="2279"/>
      <c r="F16" s="789" t="s">
        <v>923</v>
      </c>
      <c r="G16" s="772"/>
      <c r="H16" s="767"/>
      <c r="I16" s="767"/>
      <c r="J16" s="769"/>
      <c r="K16" s="769"/>
    </row>
    <row r="17" spans="1:11" x14ac:dyDescent="0.2">
      <c r="A17" s="2273" t="s">
        <v>935</v>
      </c>
      <c r="B17" s="2273"/>
      <c r="C17" s="2273"/>
      <c r="D17" s="2273"/>
      <c r="E17" s="2274"/>
      <c r="F17" s="790"/>
      <c r="G17" s="791"/>
      <c r="H17" s="792"/>
      <c r="I17" s="792"/>
      <c r="J17" s="793"/>
      <c r="K17" s="794"/>
    </row>
    <row r="18" spans="1:11" x14ac:dyDescent="0.2">
      <c r="A18" s="2265" t="s">
        <v>368</v>
      </c>
      <c r="B18" s="2266"/>
      <c r="C18" s="2266"/>
      <c r="D18" s="2266"/>
      <c r="E18" s="2267"/>
      <c r="F18" s="789" t="s">
        <v>932</v>
      </c>
      <c r="G18" s="782"/>
      <c r="H18" s="782"/>
      <c r="I18" s="782"/>
      <c r="J18" s="765"/>
      <c r="K18" s="795"/>
    </row>
    <row r="19" spans="1:11" ht="21.75" customHeight="1" x14ac:dyDescent="0.2">
      <c r="A19" s="2286" t="s">
        <v>1787</v>
      </c>
      <c r="B19" s="2286"/>
      <c r="C19" s="2286"/>
      <c r="D19" s="2286"/>
      <c r="E19" s="2287"/>
      <c r="F19" s="789" t="s">
        <v>933</v>
      </c>
      <c r="G19" s="782"/>
      <c r="H19" s="782"/>
      <c r="I19" s="782"/>
      <c r="J19" s="765"/>
      <c r="K19" s="795"/>
    </row>
    <row r="20" spans="1:11" x14ac:dyDescent="0.2">
      <c r="A20" s="2265" t="s">
        <v>1792</v>
      </c>
      <c r="B20" s="2266"/>
      <c r="C20" s="2266"/>
      <c r="D20" s="2266"/>
      <c r="E20" s="2267"/>
      <c r="F20" s="789" t="s">
        <v>934</v>
      </c>
      <c r="G20" s="782"/>
      <c r="H20" s="782"/>
      <c r="I20" s="782"/>
      <c r="J20" s="765"/>
      <c r="K20" s="795"/>
    </row>
    <row r="21" spans="1:11" ht="13.5" thickBot="1" x14ac:dyDescent="0.25">
      <c r="A21" s="2271" t="s">
        <v>638</v>
      </c>
      <c r="B21" s="2271"/>
      <c r="C21" s="2271"/>
      <c r="D21" s="2271"/>
      <c r="E21" s="2271"/>
      <c r="F21" s="1691"/>
      <c r="G21" s="792"/>
      <c r="H21" s="796"/>
      <c r="I21" s="796"/>
      <c r="J21" s="1692">
        <f>SUM(J18:J20)</f>
        <v>0</v>
      </c>
      <c r="K21" s="793"/>
    </row>
    <row r="22" spans="1:11" ht="13.5" thickTop="1" x14ac:dyDescent="0.2">
      <c r="A22" s="2251" t="s">
        <v>1793</v>
      </c>
      <c r="B22" s="2251"/>
      <c r="C22" s="2251"/>
      <c r="D22" s="2251"/>
      <c r="E22" s="2279"/>
      <c r="F22" s="789" t="s">
        <v>862</v>
      </c>
      <c r="G22" s="782"/>
      <c r="H22" s="764"/>
      <c r="I22" s="764"/>
      <c r="J22" s="797"/>
      <c r="K22" s="765"/>
    </row>
    <row r="23" spans="1:11" ht="13.5" thickBot="1" x14ac:dyDescent="0.25">
      <c r="A23" s="2272" t="s">
        <v>906</v>
      </c>
      <c r="B23" s="2271"/>
      <c r="C23" s="2271"/>
      <c r="D23" s="2271"/>
      <c r="E23" s="2271"/>
      <c r="F23" s="1693"/>
      <c r="G23" s="1690">
        <f>SUM(G14:G16,G21,G22)</f>
        <v>0</v>
      </c>
      <c r="H23" s="1690">
        <f>SUM(H14:H16,H21,H22)</f>
        <v>0</v>
      </c>
      <c r="I23" s="1690">
        <f>SUM(I14:I16,I21,I22)</f>
        <v>0</v>
      </c>
      <c r="J23" s="1690">
        <f>SUM(J14:J16,J21,J22)</f>
        <v>0</v>
      </c>
      <c r="K23" s="1690">
        <f>SUM(K14:K16,K21,K22)</f>
        <v>3301151</v>
      </c>
    </row>
    <row r="24" spans="1:11" ht="14.25" thickTop="1" thickBot="1" x14ac:dyDescent="0.25">
      <c r="A24" s="2272" t="s">
        <v>1940</v>
      </c>
      <c r="B24" s="2271"/>
      <c r="C24" s="2271"/>
      <c r="D24" s="2271"/>
      <c r="E24" s="2271"/>
      <c r="F24" s="1694"/>
      <c r="G24" s="1695">
        <f>SUM(G3,G12)-G23</f>
        <v>0</v>
      </c>
      <c r="H24" s="1695">
        <f>SUM(H3,H12)-H23</f>
        <v>0</v>
      </c>
      <c r="I24" s="1695">
        <f>SUM(I3,I12)-I23</f>
        <v>0</v>
      </c>
      <c r="J24" s="1695">
        <f>SUM(J3,J12)-J23</f>
        <v>0</v>
      </c>
      <c r="K24" s="1695">
        <f>SUM(K3,K12)-K23</f>
        <v>4352040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690">
        <f>G24-G25</f>
        <v>0</v>
      </c>
      <c r="H26" s="1690">
        <f>H24-H25</f>
        <v>0</v>
      </c>
      <c r="I26" s="1690">
        <f>I24-I25</f>
        <v>0</v>
      </c>
      <c r="J26" s="1690">
        <f>J24-J25</f>
        <v>0</v>
      </c>
      <c r="K26" s="1690">
        <f>K24-K25</f>
        <v>4352040</v>
      </c>
    </row>
    <row r="27" spans="1:11" ht="5.25" customHeight="1" thickTop="1" x14ac:dyDescent="0.2">
      <c r="I27" s="202"/>
      <c r="J27" s="202"/>
    </row>
    <row r="28" spans="1:11" ht="29.25" customHeight="1" x14ac:dyDescent="0.2">
      <c r="A28" s="1812" t="s">
        <v>1886</v>
      </c>
      <c r="B28" s="1813"/>
      <c r="C28" s="1813"/>
      <c r="D28" s="1813"/>
      <c r="E28" s="1814"/>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81"/>
      <c r="I31" s="2282"/>
      <c r="J31" s="2282"/>
      <c r="K31" s="2282"/>
    </row>
    <row r="32" spans="1:11" x14ac:dyDescent="0.2">
      <c r="A32" s="809"/>
      <c r="B32" s="237"/>
      <c r="C32" s="237"/>
      <c r="D32" s="237"/>
      <c r="E32" s="805"/>
      <c r="F32" s="811" t="s">
        <v>540</v>
      </c>
      <c r="G32" s="764"/>
      <c r="H32" s="2283"/>
      <c r="I32" s="2282"/>
      <c r="J32" s="2282"/>
      <c r="K32" s="2282"/>
    </row>
    <row r="33" spans="1:11" ht="1.5" customHeight="1" x14ac:dyDescent="0.2">
      <c r="A33" s="812" t="s">
        <v>1169</v>
      </c>
      <c r="B33" s="364"/>
      <c r="C33" s="364"/>
      <c r="D33" s="364"/>
      <c r="E33" s="364"/>
      <c r="F33" s="364"/>
      <c r="G33" s="813"/>
      <c r="H33" s="2283"/>
      <c r="I33" s="2282"/>
      <c r="J33" s="2282"/>
      <c r="K33" s="2282"/>
    </row>
    <row r="34" spans="1:11" x14ac:dyDescent="0.2">
      <c r="A34" s="814" t="s">
        <v>1794</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51" t="s">
        <v>541</v>
      </c>
      <c r="B41" s="2252"/>
      <c r="C41" s="2252"/>
      <c r="D41" s="2252"/>
      <c r="E41" s="2252"/>
      <c r="F41" s="2253"/>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464" t="s">
        <v>1788</v>
      </c>
      <c r="B46" s="408" t="s">
        <v>1664</v>
      </c>
    </row>
    <row r="47" spans="1:11" s="823" customFormat="1" ht="12.75" customHeight="1" x14ac:dyDescent="0.2">
      <c r="A47" s="821"/>
      <c r="B47" s="822" t="s">
        <v>1665</v>
      </c>
      <c r="E47" s="822"/>
      <c r="K47" s="824"/>
    </row>
    <row r="48" spans="1:11" ht="12.75" customHeight="1" x14ac:dyDescent="0.2">
      <c r="A48" s="1465" t="s">
        <v>1789</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colorId="8" zoomScale="110" zoomScaleNormal="110" workbookViewId="0">
      <selection activeCell="O27" sqref="O27"/>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90" t="s">
        <v>1885</v>
      </c>
      <c r="B1" s="2291"/>
      <c r="C1" s="2292"/>
      <c r="D1" s="826"/>
      <c r="E1" s="827"/>
      <c r="F1" s="827"/>
      <c r="G1" s="828"/>
      <c r="H1" s="829"/>
      <c r="I1" s="830"/>
      <c r="J1" s="2288"/>
      <c r="K1" s="2289"/>
      <c r="L1" s="2289"/>
    </row>
    <row r="2" spans="1:14" ht="69.75" customHeight="1" x14ac:dyDescent="0.2">
      <c r="A2" s="831" t="s">
        <v>1667</v>
      </c>
      <c r="B2" s="832" t="s">
        <v>378</v>
      </c>
      <c r="C2" s="833" t="s">
        <v>1941</v>
      </c>
      <c r="D2" s="833" t="s">
        <v>1942</v>
      </c>
      <c r="E2" s="833" t="s">
        <v>1943</v>
      </c>
      <c r="F2" s="833" t="s">
        <v>1944</v>
      </c>
      <c r="G2" s="833" t="s">
        <v>605</v>
      </c>
      <c r="H2" s="833" t="s">
        <v>1945</v>
      </c>
      <c r="I2" s="833" t="s">
        <v>1946</v>
      </c>
      <c r="J2" s="833" t="s">
        <v>1947</v>
      </c>
      <c r="K2" s="833" t="s">
        <v>1948</v>
      </c>
      <c r="L2" s="833" t="s">
        <v>1949</v>
      </c>
      <c r="M2" s="834"/>
      <c r="N2" s="834"/>
    </row>
    <row r="3" spans="1:14" ht="13.5" thickBot="1" x14ac:dyDescent="0.25">
      <c r="A3" s="1562" t="s">
        <v>892</v>
      </c>
      <c r="B3" s="1563">
        <v>210</v>
      </c>
      <c r="C3" s="835"/>
      <c r="D3" s="835"/>
      <c r="E3" s="835"/>
      <c r="F3" s="1692">
        <f>(C3+D3)-E3</f>
        <v>0</v>
      </c>
      <c r="G3" s="836"/>
      <c r="H3" s="835"/>
      <c r="I3" s="835"/>
      <c r="J3" s="835"/>
      <c r="K3" s="1701">
        <f>(H3+I3)-J3</f>
        <v>0</v>
      </c>
      <c r="L3" s="1701">
        <f>F3-K3</f>
        <v>0</v>
      </c>
      <c r="M3" s="834"/>
      <c r="N3" s="834"/>
    </row>
    <row r="4" spans="1:14" ht="15" customHeight="1" thickTop="1" x14ac:dyDescent="0.2">
      <c r="A4" s="1564" t="s">
        <v>158</v>
      </c>
      <c r="B4" s="1563">
        <v>220</v>
      </c>
      <c r="C4" s="781"/>
      <c r="D4" s="781"/>
      <c r="E4" s="781"/>
      <c r="F4" s="773"/>
      <c r="G4" s="837"/>
      <c r="H4" s="838"/>
      <c r="I4" s="838"/>
      <c r="J4" s="838"/>
      <c r="K4" s="839"/>
      <c r="L4" s="773"/>
    </row>
    <row r="5" spans="1:14" ht="13.5" thickBot="1" x14ac:dyDescent="0.25">
      <c r="A5" s="778" t="s">
        <v>893</v>
      </c>
      <c r="B5" s="840">
        <v>221</v>
      </c>
      <c r="C5" s="841">
        <v>328284407</v>
      </c>
      <c r="D5" s="841">
        <v>18009138</v>
      </c>
      <c r="E5" s="841">
        <v>11043629</v>
      </c>
      <c r="F5" s="1692">
        <f>(C5+D5)-E5</f>
        <v>335249916</v>
      </c>
      <c r="G5" s="837"/>
      <c r="H5" s="842"/>
      <c r="I5" s="842"/>
      <c r="J5" s="842"/>
      <c r="K5" s="793"/>
      <c r="L5" s="1701">
        <f>F5-K5</f>
        <v>335249916</v>
      </c>
    </row>
    <row r="6" spans="1:14" ht="14.25" thickTop="1" thickBot="1" x14ac:dyDescent="0.25">
      <c r="A6" s="778" t="s">
        <v>1117</v>
      </c>
      <c r="B6" s="840">
        <v>222</v>
      </c>
      <c r="C6" s="765"/>
      <c r="D6" s="765"/>
      <c r="E6" s="765"/>
      <c r="F6" s="1692">
        <f>(C6+D6)-E6</f>
        <v>0</v>
      </c>
      <c r="G6" s="837">
        <v>50</v>
      </c>
      <c r="H6" s="765"/>
      <c r="I6" s="765"/>
      <c r="J6" s="765"/>
      <c r="K6" s="1701">
        <f>(H6+I6)-J6</f>
        <v>0</v>
      </c>
      <c r="L6" s="1701">
        <f>F6-K6</f>
        <v>0</v>
      </c>
    </row>
    <row r="7" spans="1:14" ht="15" customHeight="1" thickTop="1" x14ac:dyDescent="0.2">
      <c r="A7" s="1564" t="s">
        <v>159</v>
      </c>
      <c r="B7" s="1563">
        <v>230</v>
      </c>
      <c r="C7" s="781"/>
      <c r="D7" s="781"/>
      <c r="E7" s="781"/>
      <c r="F7" s="773"/>
      <c r="G7" s="843"/>
      <c r="H7" s="781"/>
      <c r="I7" s="781"/>
      <c r="J7" s="781"/>
      <c r="K7" s="773"/>
      <c r="L7" s="773"/>
    </row>
    <row r="8" spans="1:14" ht="13.5" thickBot="1" x14ac:dyDescent="0.25">
      <c r="A8" s="778" t="s">
        <v>1118</v>
      </c>
      <c r="B8" s="840">
        <v>231</v>
      </c>
      <c r="C8" s="844">
        <v>9504384811</v>
      </c>
      <c r="D8" s="844">
        <v>152387864</v>
      </c>
      <c r="E8" s="844">
        <v>12062825</v>
      </c>
      <c r="F8" s="1692">
        <f>(C8+D8)-E8</f>
        <v>9644709850</v>
      </c>
      <c r="G8" s="843">
        <v>50</v>
      </c>
      <c r="H8" s="765">
        <v>4239583038</v>
      </c>
      <c r="I8" s="765">
        <v>286559551</v>
      </c>
      <c r="J8" s="765">
        <v>12038336</v>
      </c>
      <c r="K8" s="1701">
        <f>(H8+I8)-J8</f>
        <v>4514104253</v>
      </c>
      <c r="L8" s="1701">
        <f>F8-K8</f>
        <v>5130605597</v>
      </c>
    </row>
    <row r="9" spans="1:14" ht="14.25" thickTop="1" thickBot="1" x14ac:dyDescent="0.25">
      <c r="A9" s="778" t="s">
        <v>1119</v>
      </c>
      <c r="B9" s="840">
        <v>232</v>
      </c>
      <c r="C9" s="765"/>
      <c r="D9" s="765"/>
      <c r="E9" s="765"/>
      <c r="F9" s="1692">
        <f>(C9+D9)-E9</f>
        <v>0</v>
      </c>
      <c r="G9" s="843">
        <v>20</v>
      </c>
      <c r="H9" s="765"/>
      <c r="I9" s="765"/>
      <c r="J9" s="765"/>
      <c r="K9" s="1701">
        <f>(H9+I9)-J9</f>
        <v>0</v>
      </c>
      <c r="L9" s="1701">
        <f>F9-K9</f>
        <v>0</v>
      </c>
    </row>
    <row r="10" spans="1:14" ht="24" thickTop="1" thickBot="1" x14ac:dyDescent="0.25">
      <c r="A10" s="845" t="s">
        <v>1120</v>
      </c>
      <c r="B10" s="840">
        <v>240</v>
      </c>
      <c r="C10" s="846">
        <v>161697547</v>
      </c>
      <c r="D10" s="846">
        <v>373437</v>
      </c>
      <c r="E10" s="846">
        <v>13739735</v>
      </c>
      <c r="F10" s="1696">
        <f>(C10+D10)-E10</f>
        <v>148331249</v>
      </c>
      <c r="G10" s="843">
        <v>20</v>
      </c>
      <c r="H10" s="847">
        <v>91532620</v>
      </c>
      <c r="I10" s="847">
        <v>7662410</v>
      </c>
      <c r="J10" s="847">
        <v>12333634</v>
      </c>
      <c r="K10" s="1701">
        <f>(H10+I10)-J10</f>
        <v>86861396</v>
      </c>
      <c r="L10" s="1701">
        <f>F10-K10</f>
        <v>61469853</v>
      </c>
    </row>
    <row r="11" spans="1:14" ht="13.5" thickTop="1" x14ac:dyDescent="0.2">
      <c r="A11" s="1565" t="s">
        <v>1136</v>
      </c>
      <c r="B11" s="1563">
        <v>250</v>
      </c>
      <c r="C11" s="781"/>
      <c r="D11" s="781"/>
      <c r="E11" s="781"/>
      <c r="F11" s="773"/>
      <c r="G11" s="843"/>
      <c r="H11" s="781"/>
      <c r="I11" s="781"/>
      <c r="J11" s="781"/>
      <c r="K11" s="773"/>
      <c r="L11" s="773"/>
    </row>
    <row r="12" spans="1:14" ht="13.5" thickBot="1" x14ac:dyDescent="0.25">
      <c r="A12" s="848" t="s">
        <v>1121</v>
      </c>
      <c r="B12" s="840">
        <v>251</v>
      </c>
      <c r="C12" s="844"/>
      <c r="D12" s="844"/>
      <c r="E12" s="844"/>
      <c r="F12" s="1692">
        <f>(C12+D12)-E12</f>
        <v>0</v>
      </c>
      <c r="G12" s="843">
        <v>10</v>
      </c>
      <c r="H12" s="765"/>
      <c r="I12" s="765"/>
      <c r="J12" s="765"/>
      <c r="K12" s="1701">
        <f>(H12+I12)-J12</f>
        <v>0</v>
      </c>
      <c r="L12" s="1701">
        <f>F12-K12</f>
        <v>0</v>
      </c>
    </row>
    <row r="13" spans="1:14" ht="14.25" thickTop="1" thickBot="1" x14ac:dyDescent="0.25">
      <c r="A13" s="848" t="s">
        <v>1122</v>
      </c>
      <c r="B13" s="840">
        <v>252</v>
      </c>
      <c r="C13" s="844">
        <v>60330577</v>
      </c>
      <c r="D13" s="844">
        <v>924027</v>
      </c>
      <c r="E13" s="844">
        <v>0</v>
      </c>
      <c r="F13" s="1692">
        <f>(C13+D13)-E13</f>
        <v>61254604</v>
      </c>
      <c r="G13" s="843">
        <v>5</v>
      </c>
      <c r="H13" s="765">
        <v>54776597</v>
      </c>
      <c r="I13" s="765">
        <v>5321339</v>
      </c>
      <c r="J13" s="765"/>
      <c r="K13" s="1701">
        <f>(H13+I13)-J13</f>
        <v>60097936</v>
      </c>
      <c r="L13" s="1701">
        <f>F13-K13</f>
        <v>1156668</v>
      </c>
    </row>
    <row r="14" spans="1:14" ht="14.25" thickTop="1" thickBot="1" x14ac:dyDescent="0.25">
      <c r="A14" s="848" t="s">
        <v>1123</v>
      </c>
      <c r="B14" s="840">
        <v>253</v>
      </c>
      <c r="C14" s="765">
        <v>7759961</v>
      </c>
      <c r="D14" s="765">
        <v>167908</v>
      </c>
      <c r="E14" s="765">
        <v>4119786</v>
      </c>
      <c r="F14" s="1692">
        <f>(C14+D14)-E14</f>
        <v>3808083</v>
      </c>
      <c r="G14" s="843">
        <v>3</v>
      </c>
      <c r="H14" s="765">
        <v>5864891</v>
      </c>
      <c r="I14" s="765">
        <v>764157</v>
      </c>
      <c r="J14" s="765">
        <v>4119786</v>
      </c>
      <c r="K14" s="1701">
        <f>(H14+I14)-J14</f>
        <v>2509262</v>
      </c>
      <c r="L14" s="1701">
        <f>F14-K14</f>
        <v>1298821</v>
      </c>
    </row>
    <row r="15" spans="1:14" ht="15" customHeight="1" thickTop="1" thickBot="1" x14ac:dyDescent="0.25">
      <c r="A15" s="1564" t="s">
        <v>528</v>
      </c>
      <c r="B15" s="1563">
        <v>260</v>
      </c>
      <c r="C15" s="844">
        <v>289795769</v>
      </c>
      <c r="D15" s="844">
        <v>523062365</v>
      </c>
      <c r="E15" s="844">
        <v>163959816</v>
      </c>
      <c r="F15" s="1692">
        <f>(C15+D15)-E15</f>
        <v>648898318</v>
      </c>
      <c r="G15" s="849" t="s">
        <v>862</v>
      </c>
      <c r="H15" s="781"/>
      <c r="I15" s="781"/>
      <c r="J15" s="781"/>
      <c r="K15" s="781"/>
      <c r="L15" s="1701">
        <f>F15-K15</f>
        <v>648898318</v>
      </c>
    </row>
    <row r="16" spans="1:14" ht="15" customHeight="1" thickTop="1" thickBot="1" x14ac:dyDescent="0.25">
      <c r="A16" s="1697" t="s">
        <v>643</v>
      </c>
      <c r="B16" s="1698">
        <v>200</v>
      </c>
      <c r="C16" s="1692">
        <f>SUM(C3,C5:C6,C8:C10,C12:C15)</f>
        <v>10352253072</v>
      </c>
      <c r="D16" s="1692">
        <f>SUM(D3,D5:D6,D8:D10,D12:D15)</f>
        <v>694924739</v>
      </c>
      <c r="E16" s="1692">
        <f>SUM(E3,E5:E6,E8:E10,E12:E15)</f>
        <v>204925791</v>
      </c>
      <c r="F16" s="1692">
        <f>SUM(F3,F5:F6,F8:F10,F12:F15)</f>
        <v>10842252020</v>
      </c>
      <c r="G16" s="843"/>
      <c r="H16" s="1692">
        <f>SUM(H3,H6,H8:H10,H12:H14,)</f>
        <v>4391757146</v>
      </c>
      <c r="I16" s="1692">
        <f>SUM(I3,I6,I8:I10,I12:I14,)</f>
        <v>300307457</v>
      </c>
      <c r="J16" s="1692">
        <f>SUM(J3,J6,J8:J10,J12:J14,)</f>
        <v>28491756</v>
      </c>
      <c r="K16" s="1692">
        <f>(H16+I16)-J16</f>
        <v>4663572847</v>
      </c>
      <c r="L16" s="1692">
        <f>F16-K16</f>
        <v>6178679173</v>
      </c>
    </row>
    <row r="17" spans="1:12" ht="15" customHeight="1" thickTop="1" thickBot="1" x14ac:dyDescent="0.25">
      <c r="A17" s="1566" t="s">
        <v>291</v>
      </c>
      <c r="B17" s="1563">
        <v>700</v>
      </c>
      <c r="C17" s="769"/>
      <c r="D17" s="769"/>
      <c r="E17" s="769"/>
      <c r="F17" s="1692">
        <f>SUM('Expenditures 15-22'!I114,'Expenditures 15-22'!I151,'Expenditures 15-22'!I210,'Expenditures 15-22'!I312,'Expenditures 15-22'!I342,'Expenditures 15-22'!I367)</f>
        <v>50614619</v>
      </c>
      <c r="G17" s="837">
        <v>10</v>
      </c>
      <c r="H17" s="769"/>
      <c r="I17" s="1701">
        <f>F17/G17</f>
        <v>5061461.9000000004</v>
      </c>
      <c r="J17" s="769"/>
      <c r="K17" s="795"/>
      <c r="L17" s="795"/>
    </row>
    <row r="18" spans="1:12" ht="14.25" thickTop="1" thickBot="1" x14ac:dyDescent="0.25">
      <c r="A18" s="1699" t="s">
        <v>685</v>
      </c>
      <c r="B18" s="1700"/>
      <c r="C18" s="771"/>
      <c r="D18" s="771"/>
      <c r="E18" s="771"/>
      <c r="F18" s="850"/>
      <c r="G18" s="851"/>
      <c r="H18" s="773"/>
      <c r="I18" s="1692">
        <f>SUM(I16,I17)</f>
        <v>305368918.89999998</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2D050"/>
  </sheetPr>
  <dimension ref="A1:H202"/>
  <sheetViews>
    <sheetView showGridLines="0" defaultGridColor="0" colorId="8" zoomScale="110" zoomScaleNormal="110" workbookViewId="0">
      <pane ySplit="5" topLeftCell="A163" activePane="bottomLeft" state="frozen"/>
      <selection activeCell="A47" sqref="A47"/>
      <selection pane="bottomLeft" activeCell="D189" sqref="D189"/>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96" t="s">
        <v>1950</v>
      </c>
      <c r="B1" s="2297"/>
      <c r="C1" s="2297"/>
      <c r="D1" s="2297"/>
      <c r="E1" s="2297"/>
      <c r="F1" s="2298"/>
      <c r="G1" s="855"/>
    </row>
    <row r="2" spans="1:7" ht="15" customHeight="1" thickBot="1" x14ac:dyDescent="0.25">
      <c r="A2" s="2299" t="s">
        <v>477</v>
      </c>
      <c r="B2" s="2300"/>
      <c r="C2" s="2300"/>
      <c r="D2" s="2300"/>
      <c r="E2" s="2300"/>
      <c r="F2" s="2301"/>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302"/>
      <c r="B5" s="2303"/>
      <c r="C5" s="2303"/>
      <c r="D5" s="2303"/>
      <c r="E5" s="2303"/>
      <c r="F5" s="2303"/>
    </row>
    <row r="6" spans="1:7" ht="13.5" customHeight="1" thickBot="1" x14ac:dyDescent="0.25">
      <c r="A6" s="2293" t="s">
        <v>1104</v>
      </c>
      <c r="B6" s="2294"/>
      <c r="C6" s="2294"/>
      <c r="D6" s="2294"/>
      <c r="E6" s="2294"/>
      <c r="F6" s="2295"/>
      <c r="G6" s="865"/>
    </row>
    <row r="7" spans="1:7" s="865" customFormat="1" ht="12" thickTop="1" x14ac:dyDescent="0.2">
      <c r="A7" s="866" t="s">
        <v>502</v>
      </c>
      <c r="B7" s="867"/>
      <c r="C7" s="868"/>
      <c r="D7" s="867"/>
      <c r="E7" s="868"/>
      <c r="F7" s="867"/>
    </row>
    <row r="8" spans="1:7" x14ac:dyDescent="0.2">
      <c r="A8" s="869" t="s">
        <v>459</v>
      </c>
      <c r="B8" s="870" t="s">
        <v>1463</v>
      </c>
      <c r="C8" s="871"/>
      <c r="D8" s="869" t="s">
        <v>501</v>
      </c>
      <c r="E8" s="868" t="s">
        <v>958</v>
      </c>
      <c r="F8" s="1840">
        <f>'Expenditures 15-22'!K114</f>
        <v>5042273828</v>
      </c>
      <c r="G8" s="865"/>
    </row>
    <row r="9" spans="1:7" x14ac:dyDescent="0.2">
      <c r="A9" s="869" t="s">
        <v>460</v>
      </c>
      <c r="B9" s="870" t="s">
        <v>1853</v>
      </c>
      <c r="C9" s="871"/>
      <c r="D9" s="869" t="s">
        <v>501</v>
      </c>
      <c r="E9" s="868"/>
      <c r="F9" s="1841">
        <f>'Expenditures 15-22'!K151</f>
        <v>379924577</v>
      </c>
      <c r="G9" s="872"/>
    </row>
    <row r="10" spans="1:7" x14ac:dyDescent="0.2">
      <c r="A10" s="869" t="s">
        <v>499</v>
      </c>
      <c r="B10" s="870" t="s">
        <v>1854</v>
      </c>
      <c r="C10" s="871"/>
      <c r="D10" s="869" t="s">
        <v>501</v>
      </c>
      <c r="E10" s="868"/>
      <c r="F10" s="1841">
        <f>'Expenditures 15-22'!K174</f>
        <v>629554828</v>
      </c>
      <c r="G10" s="872"/>
    </row>
    <row r="11" spans="1:7" x14ac:dyDescent="0.2">
      <c r="A11" s="869" t="s">
        <v>461</v>
      </c>
      <c r="B11" s="870" t="s">
        <v>1855</v>
      </c>
      <c r="C11" s="871"/>
      <c r="D11" s="869" t="s">
        <v>501</v>
      </c>
      <c r="E11" s="868"/>
      <c r="F11" s="1841">
        <f>'Expenditures 15-22'!K210</f>
        <v>0</v>
      </c>
      <c r="G11" s="872"/>
    </row>
    <row r="12" spans="1:7" x14ac:dyDescent="0.2">
      <c r="A12" s="869" t="s">
        <v>462</v>
      </c>
      <c r="B12" s="870" t="s">
        <v>1856</v>
      </c>
      <c r="C12" s="871"/>
      <c r="D12" s="869" t="s">
        <v>501</v>
      </c>
      <c r="E12" s="868"/>
      <c r="F12" s="1841">
        <f>'Expenditures 15-22'!K295</f>
        <v>0</v>
      </c>
      <c r="G12" s="872"/>
    </row>
    <row r="13" spans="1:7" x14ac:dyDescent="0.2">
      <c r="A13" s="869" t="s">
        <v>106</v>
      </c>
      <c r="B13" s="870" t="s">
        <v>1857</v>
      </c>
      <c r="C13" s="871"/>
      <c r="D13" s="869" t="s">
        <v>501</v>
      </c>
      <c r="E13" s="868"/>
      <c r="F13" s="1841">
        <f>'Expenditures 15-22'!K342</f>
        <v>78311452</v>
      </c>
      <c r="G13" s="873"/>
    </row>
    <row r="14" spans="1:7" ht="12" customHeight="1" thickBot="1" x14ac:dyDescent="0.25">
      <c r="A14" s="1702"/>
      <c r="B14" s="1703"/>
      <c r="C14" s="1704"/>
      <c r="D14" s="1705" t="s">
        <v>501</v>
      </c>
      <c r="E14" s="1706" t="s">
        <v>958</v>
      </c>
      <c r="F14" s="1707">
        <f>SUM(F8:F13)</f>
        <v>6130064685</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842">
        <f>'Revenues 9-14'!F43</f>
        <v>0</v>
      </c>
      <c r="G18" s="865"/>
    </row>
    <row r="19" spans="1:7" x14ac:dyDescent="0.2">
      <c r="A19" s="869" t="s">
        <v>461</v>
      </c>
      <c r="B19" s="870" t="s">
        <v>1011</v>
      </c>
      <c r="C19" s="877">
        <f>'Revenues 9-14'!B47</f>
        <v>1421</v>
      </c>
      <c r="D19" s="878" t="str">
        <f>'Revenues 9-14'!A47</f>
        <v>Summer Sch - Transp. Fees from Pupils or Parents (In State)</v>
      </c>
      <c r="E19" s="879"/>
      <c r="F19" s="1843">
        <f>'Revenues 9-14'!F47</f>
        <v>0</v>
      </c>
      <c r="G19" s="865"/>
    </row>
    <row r="20" spans="1:7" x14ac:dyDescent="0.2">
      <c r="A20" s="869" t="s">
        <v>461</v>
      </c>
      <c r="B20" s="870" t="s">
        <v>1012</v>
      </c>
      <c r="C20" s="875">
        <f>'Revenues 9-14'!B48</f>
        <v>1422</v>
      </c>
      <c r="D20" s="876" t="str">
        <f>'Revenues 9-14'!A48</f>
        <v>Summer Sch - Transp. Fees from Other Districts (In State)</v>
      </c>
      <c r="E20" s="868"/>
      <c r="F20" s="1844">
        <f>'Revenues 9-14'!F48</f>
        <v>0</v>
      </c>
      <c r="G20" s="865"/>
    </row>
    <row r="21" spans="1:7" x14ac:dyDescent="0.2">
      <c r="A21" s="869" t="s">
        <v>461</v>
      </c>
      <c r="B21" s="870" t="s">
        <v>1013</v>
      </c>
      <c r="C21" s="877">
        <f>'Revenues 9-14'!B49</f>
        <v>1423</v>
      </c>
      <c r="D21" s="876" t="str">
        <f>'Revenues 9-14'!A49</f>
        <v>Summer Sch - Transp. Fees from Other Sources (In State)</v>
      </c>
      <c r="E21" s="868"/>
      <c r="F21" s="1845">
        <f>'Revenues 9-14'!F49</f>
        <v>0</v>
      </c>
      <c r="G21" s="865"/>
    </row>
    <row r="22" spans="1:7" x14ac:dyDescent="0.2">
      <c r="A22" s="869" t="s">
        <v>461</v>
      </c>
      <c r="B22" s="870" t="s">
        <v>1014</v>
      </c>
      <c r="C22" s="877">
        <f>'Revenues 9-14'!B50</f>
        <v>1424</v>
      </c>
      <c r="D22" s="876" t="str">
        <f>'Revenues 9-14'!A50</f>
        <v>Summer Sch - Transp. Fees from Other Sources (Out of State)</v>
      </c>
      <c r="E22" s="868"/>
      <c r="F22" s="1845">
        <f>'Revenues 9-14'!F50</f>
        <v>0</v>
      </c>
      <c r="G22" s="865"/>
    </row>
    <row r="23" spans="1:7" x14ac:dyDescent="0.2">
      <c r="A23" s="869" t="s">
        <v>461</v>
      </c>
      <c r="B23" s="870" t="s">
        <v>1015</v>
      </c>
      <c r="C23" s="875">
        <f>'Revenues 9-14'!B52</f>
        <v>1432</v>
      </c>
      <c r="D23" s="876" t="str">
        <f>'Revenues 9-14'!A52</f>
        <v>CTE - Transp Fees from Other Districts (In State)</v>
      </c>
      <c r="E23" s="868"/>
      <c r="F23" s="1845">
        <f>'Revenues 9-14'!F52</f>
        <v>0</v>
      </c>
      <c r="G23" s="865"/>
    </row>
    <row r="24" spans="1:7" x14ac:dyDescent="0.2">
      <c r="A24" s="869" t="s">
        <v>461</v>
      </c>
      <c r="B24" s="870" t="s">
        <v>1016</v>
      </c>
      <c r="C24" s="875">
        <f>'Revenues 9-14'!B56</f>
        <v>1442</v>
      </c>
      <c r="D24" s="876" t="str">
        <f>'Revenues 9-14'!A56</f>
        <v>Special Ed - Transp Fees from Other Districts (In State)</v>
      </c>
      <c r="E24" s="868"/>
      <c r="F24" s="1845">
        <f>'Revenues 9-14'!F56</f>
        <v>0</v>
      </c>
      <c r="G24" s="865"/>
    </row>
    <row r="25" spans="1:7" x14ac:dyDescent="0.2">
      <c r="A25" s="869" t="s">
        <v>461</v>
      </c>
      <c r="B25" s="870" t="s">
        <v>1017</v>
      </c>
      <c r="C25" s="875">
        <f>'Revenues 9-14'!B59</f>
        <v>1451</v>
      </c>
      <c r="D25" s="876" t="str">
        <f>'Revenues 9-14'!A59</f>
        <v>Adult - Transp Fees from Pupils or Parents (In State)</v>
      </c>
      <c r="E25" s="868"/>
      <c r="F25" s="1845">
        <f>'Revenues 9-14'!F59</f>
        <v>0</v>
      </c>
      <c r="G25" s="865"/>
    </row>
    <row r="26" spans="1:7" x14ac:dyDescent="0.2">
      <c r="A26" s="869" t="s">
        <v>461</v>
      </c>
      <c r="B26" s="870" t="s">
        <v>1018</v>
      </c>
      <c r="C26" s="875">
        <f>'Revenues 9-14'!B60</f>
        <v>1452</v>
      </c>
      <c r="D26" s="876" t="str">
        <f>'Revenues 9-14'!A60</f>
        <v>Adult - Transp Fees from Other Districts (In State)</v>
      </c>
      <c r="E26" s="868"/>
      <c r="F26" s="1845">
        <f>'Revenues 9-14'!F60</f>
        <v>0</v>
      </c>
      <c r="G26" s="865"/>
    </row>
    <row r="27" spans="1:7" x14ac:dyDescent="0.2">
      <c r="A27" s="869" t="s">
        <v>461</v>
      </c>
      <c r="B27" s="870" t="s">
        <v>1019</v>
      </c>
      <c r="C27" s="875">
        <f>'Revenues 9-14'!B61</f>
        <v>1453</v>
      </c>
      <c r="D27" s="876" t="str">
        <f>'Revenues 9-14'!A61</f>
        <v>Adult - Transp Fees from Other Sources (In State)</v>
      </c>
      <c r="E27" s="868"/>
      <c r="F27" s="1845">
        <f>'Revenues 9-14'!F61</f>
        <v>0</v>
      </c>
      <c r="G27" s="865"/>
    </row>
    <row r="28" spans="1:7" x14ac:dyDescent="0.2">
      <c r="A28" s="869" t="s">
        <v>461</v>
      </c>
      <c r="B28" s="870" t="s">
        <v>1020</v>
      </c>
      <c r="C28" s="875">
        <f>'Revenues 9-14'!B62</f>
        <v>1454</v>
      </c>
      <c r="D28" s="876" t="str">
        <f>'Revenues 9-14'!A62</f>
        <v>Adult - Transp Fees from Other Sources (Out of State)</v>
      </c>
      <c r="E28" s="868"/>
      <c r="F28" s="1845">
        <f>'Revenues 9-14'!F62</f>
        <v>0</v>
      </c>
      <c r="G28" s="865"/>
    </row>
    <row r="29" spans="1:7" x14ac:dyDescent="0.2">
      <c r="A29" s="869" t="s">
        <v>1097</v>
      </c>
      <c r="B29" s="870" t="s">
        <v>810</v>
      </c>
      <c r="C29" s="880">
        <f>'Revenues 9-14'!B149</f>
        <v>3410</v>
      </c>
      <c r="D29" s="881" t="str">
        <f>'Revenues 9-14'!A149</f>
        <v>Adult Ed (from ICCB)</v>
      </c>
      <c r="E29" s="868"/>
      <c r="F29" s="1845">
        <f>SUM('Revenues 9-14'!D149,'Revenues 9-14'!F149)</f>
        <v>0</v>
      </c>
      <c r="G29" s="865"/>
    </row>
    <row r="30" spans="1:7" x14ac:dyDescent="0.2">
      <c r="A30" s="869" t="s">
        <v>1097</v>
      </c>
      <c r="B30" s="870" t="s">
        <v>1974</v>
      </c>
      <c r="C30" s="880">
        <f>'Revenues 9-14'!B150</f>
        <v>3499</v>
      </c>
      <c r="D30" s="881" t="str">
        <f>'Revenues 9-14'!A150</f>
        <v>Adult Ed - Other (Describe &amp; Itemize)</v>
      </c>
      <c r="E30" s="868"/>
      <c r="F30" s="1846">
        <f>('Revenues 9-14'!D150+'Revenues 9-14'!F150)</f>
        <v>0</v>
      </c>
      <c r="G30" s="865"/>
    </row>
    <row r="31" spans="1:7" x14ac:dyDescent="0.2">
      <c r="A31" s="869" t="s">
        <v>1097</v>
      </c>
      <c r="B31" s="870" t="s">
        <v>1975</v>
      </c>
      <c r="C31" s="875">
        <f>'Revenues 9-14'!B211</f>
        <v>4600</v>
      </c>
      <c r="D31" s="883" t="str">
        <f>'Revenues 9-14'!A211</f>
        <v>Fed - Spec Education - Preschool Flow-Through</v>
      </c>
      <c r="E31" s="884"/>
      <c r="F31" s="1845">
        <f>SUM('Revenues 9-14'!D211,'Revenues 9-14'!F211)</f>
        <v>0</v>
      </c>
      <c r="G31" s="865"/>
    </row>
    <row r="32" spans="1:7" x14ac:dyDescent="0.2">
      <c r="A32" s="869" t="s">
        <v>1097</v>
      </c>
      <c r="B32" s="870" t="s">
        <v>1976</v>
      </c>
      <c r="C32" s="875">
        <f>'Revenues 9-14'!B212</f>
        <v>4605</v>
      </c>
      <c r="D32" s="885" t="str">
        <f>'Revenues 9-14'!A212</f>
        <v>Fed - Spec Education - Preschool Discretionary</v>
      </c>
      <c r="E32" s="884"/>
      <c r="F32" s="1845">
        <f>SUM('Revenues 9-14'!D212,'Revenues 9-14'!F212)</f>
        <v>0</v>
      </c>
      <c r="G32" s="865"/>
    </row>
    <row r="33" spans="1:7" x14ac:dyDescent="0.2">
      <c r="A33" s="869" t="s">
        <v>460</v>
      </c>
      <c r="B33" s="870" t="s">
        <v>1977</v>
      </c>
      <c r="C33" s="875">
        <f>'Revenues 9-14'!B222</f>
        <v>4810</v>
      </c>
      <c r="D33" s="883" t="str">
        <f>'Revenues 9-14'!A222</f>
        <v>Federal - Adult Education</v>
      </c>
      <c r="E33" s="868"/>
      <c r="F33" s="1845">
        <f>'Revenues 9-14'!D222</f>
        <v>0</v>
      </c>
      <c r="G33" s="865"/>
    </row>
    <row r="34" spans="1:7" x14ac:dyDescent="0.2">
      <c r="A34" s="869" t="s">
        <v>459</v>
      </c>
      <c r="B34" s="869" t="s">
        <v>1464</v>
      </c>
      <c r="C34" s="886" t="str">
        <f>'Expenditures 15-22'!B7</f>
        <v>1125</v>
      </c>
      <c r="D34" s="887" t="str">
        <f>'Expenditures 15-22'!A7</f>
        <v>Pre-K Programs</v>
      </c>
      <c r="E34" s="868"/>
      <c r="F34" s="1845">
        <f>'Expenditures 15-22'!K7-SUM('Expenditures 15-22'!G7,'Expenditures 15-22'!I7)</f>
        <v>127992303</v>
      </c>
      <c r="G34" s="865"/>
    </row>
    <row r="35" spans="1:7" x14ac:dyDescent="0.2">
      <c r="A35" s="869" t="s">
        <v>459</v>
      </c>
      <c r="B35" s="869" t="s">
        <v>1465</v>
      </c>
      <c r="C35" s="886" t="str">
        <f>'Expenditures 15-22'!B9</f>
        <v>1225</v>
      </c>
      <c r="D35" s="887" t="str">
        <f>'Expenditures 15-22'!A9</f>
        <v>Special Education Programs Pre-K</v>
      </c>
      <c r="E35" s="868"/>
      <c r="F35" s="1845">
        <f>'Expenditures 15-22'!K9-SUM('Expenditures 15-22'!G9+'Expenditures 15-22'!I9)</f>
        <v>36024884</v>
      </c>
      <c r="G35" s="865"/>
    </row>
    <row r="36" spans="1:7" x14ac:dyDescent="0.2">
      <c r="A36" s="869" t="s">
        <v>459</v>
      </c>
      <c r="B36" s="869" t="s">
        <v>116</v>
      </c>
      <c r="C36" s="886" t="str">
        <f>'Expenditures 15-22'!B11</f>
        <v>1275</v>
      </c>
      <c r="D36" s="887" t="str">
        <f>'Expenditures 15-22'!A11</f>
        <v>Remedial and Supplemental Programs Pre-K</v>
      </c>
      <c r="E36" s="868"/>
      <c r="F36" s="1845">
        <f>'Expenditures 15-22'!K11-SUM('Expenditures 15-22'!G11,'Expenditures 15-22'!I11)</f>
        <v>0</v>
      </c>
      <c r="G36" s="865"/>
    </row>
    <row r="37" spans="1:7" x14ac:dyDescent="0.2">
      <c r="A37" s="869" t="s">
        <v>459</v>
      </c>
      <c r="B37" s="869" t="s">
        <v>1466</v>
      </c>
      <c r="C37" s="886">
        <f>'Expenditures 15-22'!B12</f>
        <v>1300</v>
      </c>
      <c r="D37" s="888" t="str">
        <f>'Expenditures 15-22'!A12</f>
        <v>Adult/Continuing Education Programs</v>
      </c>
      <c r="E37" s="868"/>
      <c r="F37" s="1845">
        <f>'Expenditures 15-22'!K12-SUM('Expenditures 15-22'!G12+'Expenditures 15-22'!I12)</f>
        <v>3331981</v>
      </c>
      <c r="G37" s="865"/>
    </row>
    <row r="38" spans="1:7" x14ac:dyDescent="0.2">
      <c r="A38" s="869" t="s">
        <v>459</v>
      </c>
      <c r="B38" s="869" t="s">
        <v>1467</v>
      </c>
      <c r="C38" s="886">
        <f>'Expenditures 15-22'!B15</f>
        <v>1600</v>
      </c>
      <c r="D38" s="888" t="str">
        <f>'Expenditures 15-22'!A15</f>
        <v>Summer School Programs</v>
      </c>
      <c r="E38" s="868"/>
      <c r="F38" s="1845">
        <f>'Expenditures 15-22'!K15-SUM('Expenditures 15-22'!G15,'Expenditures 15-22'!I15)</f>
        <v>13515295</v>
      </c>
      <c r="G38" s="865"/>
    </row>
    <row r="39" spans="1:7" x14ac:dyDescent="0.2">
      <c r="A39" s="869" t="s">
        <v>459</v>
      </c>
      <c r="B39" s="869" t="s">
        <v>117</v>
      </c>
      <c r="C39" s="886" t="str">
        <f>'Expenditures 15-22'!B20</f>
        <v>1910</v>
      </c>
      <c r="D39" s="888" t="str">
        <f>'Expenditures 15-22'!A20</f>
        <v>Pre-K Programs - Private Tuition</v>
      </c>
      <c r="E39" s="868"/>
      <c r="F39" s="1845">
        <f>'Expenditures 15-22'!K20</f>
        <v>0</v>
      </c>
      <c r="G39" s="865"/>
    </row>
    <row r="40" spans="1:7" x14ac:dyDescent="0.2">
      <c r="A40" s="869" t="s">
        <v>459</v>
      </c>
      <c r="B40" s="869" t="s">
        <v>118</v>
      </c>
      <c r="C40" s="886" t="str">
        <f>'Expenditures 15-22'!B21</f>
        <v>1911</v>
      </c>
      <c r="D40" s="888" t="str">
        <f>'Expenditures 15-22'!A21</f>
        <v>Regular K-12 Programs - Private Tuition</v>
      </c>
      <c r="E40" s="868"/>
      <c r="F40" s="1845">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845">
        <f>'Expenditures 15-22'!K22</f>
        <v>53664369</v>
      </c>
      <c r="G41" s="865"/>
    </row>
    <row r="42" spans="1:7" x14ac:dyDescent="0.2">
      <c r="A42" s="869" t="s">
        <v>459</v>
      </c>
      <c r="B42" s="869" t="s">
        <v>120</v>
      </c>
      <c r="C42" s="889" t="str">
        <f>'Expenditures 15-22'!B23</f>
        <v>1913</v>
      </c>
      <c r="D42" s="888" t="str">
        <f>'Expenditures 15-22'!A23</f>
        <v>Special Education Programs Pre-K - Tuition</v>
      </c>
      <c r="E42" s="868"/>
      <c r="F42" s="1845">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845">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845">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845">
        <f>'Expenditures 15-22'!K26</f>
        <v>0</v>
      </c>
      <c r="G45" s="865"/>
    </row>
    <row r="46" spans="1:7" x14ac:dyDescent="0.2">
      <c r="A46" s="869" t="s">
        <v>459</v>
      </c>
      <c r="B46" s="869" t="s">
        <v>124</v>
      </c>
      <c r="C46" s="886" t="str">
        <f>'Expenditures 15-22'!B27</f>
        <v>1917</v>
      </c>
      <c r="D46" s="888" t="str">
        <f>'Expenditures 15-22'!A27</f>
        <v>CTE Programs - Private Tuition</v>
      </c>
      <c r="E46" s="868"/>
      <c r="F46" s="1845">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845">
        <f>'Expenditures 15-22'!K28</f>
        <v>0</v>
      </c>
      <c r="G47" s="865"/>
    </row>
    <row r="48" spans="1:7" x14ac:dyDescent="0.2">
      <c r="A48" s="869" t="s">
        <v>459</v>
      </c>
      <c r="B48" s="869" t="s">
        <v>126</v>
      </c>
      <c r="C48" s="889" t="str">
        <f>'Expenditures 15-22'!B29</f>
        <v>1919</v>
      </c>
      <c r="D48" s="888" t="str">
        <f>'Expenditures 15-22'!A29</f>
        <v>Summer School Programs - Private Tuition</v>
      </c>
      <c r="E48" s="868"/>
      <c r="F48" s="1845">
        <f>'Expenditures 15-22'!K29</f>
        <v>0</v>
      </c>
      <c r="G48" s="865"/>
    </row>
    <row r="49" spans="1:7" x14ac:dyDescent="0.2">
      <c r="A49" s="869" t="s">
        <v>459</v>
      </c>
      <c r="B49" s="869" t="s">
        <v>127</v>
      </c>
      <c r="C49" s="886" t="str">
        <f>'Expenditures 15-22'!B30</f>
        <v>1920</v>
      </c>
      <c r="D49" s="888" t="str">
        <f>'Expenditures 15-22'!A30</f>
        <v>Gifted Programs - Private Tuition</v>
      </c>
      <c r="E49" s="868"/>
      <c r="F49" s="1845">
        <f>'Expenditures 15-22'!K30</f>
        <v>0</v>
      </c>
      <c r="G49" s="865"/>
    </row>
    <row r="50" spans="1:7" x14ac:dyDescent="0.2">
      <c r="A50" s="869" t="s">
        <v>459</v>
      </c>
      <c r="B50" s="869" t="s">
        <v>128</v>
      </c>
      <c r="C50" s="886" t="str">
        <f>'Expenditures 15-22'!B31</f>
        <v>1921</v>
      </c>
      <c r="D50" s="888" t="str">
        <f>'Expenditures 15-22'!A31</f>
        <v>Bilingual Programs - Private Tuition</v>
      </c>
      <c r="E50" s="868"/>
      <c r="F50" s="1845">
        <f>'Expenditures 15-22'!K31</f>
        <v>0</v>
      </c>
      <c r="G50" s="865"/>
    </row>
    <row r="51" spans="1:7" x14ac:dyDescent="0.2">
      <c r="A51" s="869" t="s">
        <v>459</v>
      </c>
      <c r="B51" s="869" t="s">
        <v>1468</v>
      </c>
      <c r="C51" s="886" t="str">
        <f>'Expenditures 15-22'!B32</f>
        <v>1922</v>
      </c>
      <c r="D51" s="888" t="str">
        <f>'Expenditures 15-22'!A32</f>
        <v>Truants Alternative/Optional Ed Progms - Private Tuition</v>
      </c>
      <c r="E51" s="868"/>
      <c r="F51" s="1845">
        <f>'Expenditures 15-22'!K32</f>
        <v>0</v>
      </c>
      <c r="G51" s="865"/>
    </row>
    <row r="52" spans="1:7" x14ac:dyDescent="0.2">
      <c r="A52" s="869" t="s">
        <v>459</v>
      </c>
      <c r="B52" s="869" t="s">
        <v>1469</v>
      </c>
      <c r="C52" s="889" t="str">
        <f>'Expenditures 15-22'!B75</f>
        <v>3000</v>
      </c>
      <c r="D52" s="888" t="s">
        <v>449</v>
      </c>
      <c r="E52" s="868"/>
      <c r="F52" s="1845">
        <f>'Expenditures 15-22'!K75-SUM('Expenditures 15-22'!G75,'Expenditures 15-22'!I75)</f>
        <v>62885519</v>
      </c>
      <c r="G52" s="865"/>
    </row>
    <row r="53" spans="1:7" x14ac:dyDescent="0.2">
      <c r="A53" s="869" t="s">
        <v>459</v>
      </c>
      <c r="B53" s="869" t="s">
        <v>1470</v>
      </c>
      <c r="C53" s="889">
        <f>'Expenditures 15-22'!B102</f>
        <v>4000</v>
      </c>
      <c r="D53" s="888" t="str">
        <f>'Expenditures 15-22'!A102</f>
        <v>Total Payments to Other Govt Units</v>
      </c>
      <c r="E53" s="868"/>
      <c r="F53" s="1845">
        <f>'Expenditures 15-22'!K102</f>
        <v>69201295</v>
      </c>
      <c r="G53" s="865"/>
    </row>
    <row r="54" spans="1:7" x14ac:dyDescent="0.2">
      <c r="A54" s="869" t="s">
        <v>459</v>
      </c>
      <c r="B54" s="869" t="s">
        <v>1471</v>
      </c>
      <c r="C54" s="889" t="s">
        <v>982</v>
      </c>
      <c r="D54" s="885" t="s">
        <v>1095</v>
      </c>
      <c r="E54" s="868"/>
      <c r="F54" s="1845">
        <f>'Expenditures 15-22'!G114</f>
        <v>80106</v>
      </c>
      <c r="G54" s="865"/>
    </row>
    <row r="55" spans="1:7" x14ac:dyDescent="0.2">
      <c r="A55" s="869" t="s">
        <v>459</v>
      </c>
      <c r="B55" s="869" t="s">
        <v>1472</v>
      </c>
      <c r="C55" s="889" t="s">
        <v>982</v>
      </c>
      <c r="D55" s="885" t="s">
        <v>291</v>
      </c>
      <c r="E55" s="868"/>
      <c r="F55" s="1845">
        <f>'Expenditures 15-22'!I114</f>
        <v>50112494</v>
      </c>
      <c r="G55" s="865"/>
    </row>
    <row r="56" spans="1:7" x14ac:dyDescent="0.2">
      <c r="A56" s="869" t="s">
        <v>460</v>
      </c>
      <c r="B56" s="869" t="s">
        <v>1473</v>
      </c>
      <c r="C56" s="886" t="str">
        <f>'Expenditures 15-22'!B130</f>
        <v>3000</v>
      </c>
      <c r="D56" s="892" t="s">
        <v>449</v>
      </c>
      <c r="E56" s="868"/>
      <c r="F56" s="1845">
        <f>'Expenditures 15-22'!K130-SUM('Expenditures 15-22'!G130+'Expenditures 15-22'!I130)</f>
        <v>0</v>
      </c>
      <c r="G56" s="865"/>
    </row>
    <row r="57" spans="1:7" x14ac:dyDescent="0.2">
      <c r="A57" s="869" t="s">
        <v>460</v>
      </c>
      <c r="B57" s="869" t="s">
        <v>1858</v>
      </c>
      <c r="C57" s="889">
        <f>'Expenditures 15-22'!B139</f>
        <v>4000</v>
      </c>
      <c r="D57" s="887" t="str">
        <f>'Expenditures 15-22'!A139</f>
        <v>Total Payments to Other Govt Units</v>
      </c>
      <c r="E57" s="868"/>
      <c r="F57" s="1845">
        <f>'Expenditures 15-22'!K139</f>
        <v>0</v>
      </c>
      <c r="G57" s="865"/>
    </row>
    <row r="58" spans="1:7" x14ac:dyDescent="0.2">
      <c r="A58" s="869" t="s">
        <v>460</v>
      </c>
      <c r="B58" s="869" t="s">
        <v>1859</v>
      </c>
      <c r="C58" s="886" t="s">
        <v>982</v>
      </c>
      <c r="D58" s="885" t="s">
        <v>1095</v>
      </c>
      <c r="E58" s="868"/>
      <c r="F58" s="1847">
        <f>'Expenditures 15-22'!G151</f>
        <v>0</v>
      </c>
      <c r="G58" s="865"/>
    </row>
    <row r="59" spans="1:7" x14ac:dyDescent="0.2">
      <c r="A59" s="893" t="s">
        <v>460</v>
      </c>
      <c r="B59" s="856" t="s">
        <v>1860</v>
      </c>
      <c r="C59" s="894" t="s">
        <v>982</v>
      </c>
      <c r="D59" s="856" t="s">
        <v>291</v>
      </c>
      <c r="F59" s="1848">
        <f>'Expenditures 15-22'!I151</f>
        <v>437791</v>
      </c>
      <c r="G59" s="865"/>
    </row>
    <row r="60" spans="1:7" x14ac:dyDescent="0.2">
      <c r="A60" s="893" t="s">
        <v>499</v>
      </c>
      <c r="B60" s="856" t="s">
        <v>1861</v>
      </c>
      <c r="C60" s="894">
        <v>4000</v>
      </c>
      <c r="D60" s="856" t="s">
        <v>312</v>
      </c>
      <c r="F60" s="1846">
        <f>'Expenditures 15-22'!K160</f>
        <v>0</v>
      </c>
      <c r="G60" s="865"/>
    </row>
    <row r="61" spans="1:7" x14ac:dyDescent="0.2">
      <c r="A61" s="895" t="s">
        <v>499</v>
      </c>
      <c r="B61" s="895" t="s">
        <v>1862</v>
      </c>
      <c r="C61" s="896" t="str">
        <f>'Expenditures 15-22'!B170</f>
        <v>5300</v>
      </c>
      <c r="D61" s="897" t="s">
        <v>311</v>
      </c>
      <c r="E61" s="879"/>
      <c r="F61" s="1845">
        <f>'Expenditures 15-22'!K170</f>
        <v>158759948</v>
      </c>
      <c r="G61" s="865"/>
    </row>
    <row r="62" spans="1:7" x14ac:dyDescent="0.2">
      <c r="A62" s="869" t="s">
        <v>461</v>
      </c>
      <c r="B62" s="869" t="s">
        <v>1863</v>
      </c>
      <c r="C62" s="886">
        <f>'Expenditures 15-22'!B185</f>
        <v>3000</v>
      </c>
      <c r="D62" s="876" t="s">
        <v>449</v>
      </c>
      <c r="E62" s="868"/>
      <c r="F62" s="1845">
        <f>'Expenditures 15-22'!K185-SUM('Expenditures 15-22'!G185,'Expenditures 15-22'!I185)</f>
        <v>0</v>
      </c>
      <c r="G62" s="865"/>
    </row>
    <row r="63" spans="1:7" x14ac:dyDescent="0.2">
      <c r="A63" s="869" t="s">
        <v>461</v>
      </c>
      <c r="B63" s="869" t="s">
        <v>1864</v>
      </c>
      <c r="C63" s="886" t="str">
        <f>'Expenditures 15-22'!B196</f>
        <v>4000</v>
      </c>
      <c r="D63" s="887" t="str">
        <f>'Expenditures 15-22'!A196</f>
        <v>Total Payments to Other Govt Units</v>
      </c>
      <c r="E63" s="868"/>
      <c r="F63" s="1845">
        <f>'Expenditures 15-22'!K196</f>
        <v>0</v>
      </c>
      <c r="G63" s="865"/>
    </row>
    <row r="64" spans="1:7" x14ac:dyDescent="0.2">
      <c r="A64" s="895" t="s">
        <v>461</v>
      </c>
      <c r="B64" s="895" t="s">
        <v>1865</v>
      </c>
      <c r="C64" s="896" t="str">
        <f>'Expenditures 15-22'!B206</f>
        <v>5300</v>
      </c>
      <c r="D64" s="892" t="s">
        <v>311</v>
      </c>
      <c r="E64" s="868"/>
      <c r="F64" s="1845">
        <f>'Expenditures 15-22'!K206</f>
        <v>0</v>
      </c>
      <c r="G64" s="865"/>
    </row>
    <row r="65" spans="1:8" x14ac:dyDescent="0.2">
      <c r="A65" s="869" t="s">
        <v>461</v>
      </c>
      <c r="B65" s="869" t="s">
        <v>1866</v>
      </c>
      <c r="C65" s="886" t="s">
        <v>982</v>
      </c>
      <c r="D65" s="885" t="s">
        <v>1095</v>
      </c>
      <c r="E65" s="868"/>
      <c r="F65" s="1845">
        <f>'Expenditures 15-22'!G210</f>
        <v>0</v>
      </c>
      <c r="G65" s="865"/>
    </row>
    <row r="66" spans="1:8" x14ac:dyDescent="0.2">
      <c r="A66" s="869" t="s">
        <v>461</v>
      </c>
      <c r="B66" s="869" t="s">
        <v>1867</v>
      </c>
      <c r="C66" s="886" t="s">
        <v>982</v>
      </c>
      <c r="D66" s="885" t="s">
        <v>291</v>
      </c>
      <c r="E66" s="868"/>
      <c r="F66" s="1845">
        <f>'Expenditures 15-22'!I210</f>
        <v>0</v>
      </c>
      <c r="G66" s="865"/>
    </row>
    <row r="67" spans="1:8" x14ac:dyDescent="0.2">
      <c r="A67" s="869" t="s">
        <v>462</v>
      </c>
      <c r="B67" s="869" t="s">
        <v>1868</v>
      </c>
      <c r="C67" s="886" t="str">
        <f>'Expenditures 15-22'!B216</f>
        <v>1125</v>
      </c>
      <c r="D67" s="892" t="str">
        <f>'Expenditures 15-22'!A216</f>
        <v>Pre-K Programs</v>
      </c>
      <c r="E67" s="868"/>
      <c r="F67" s="1845">
        <f>'Expenditures 15-22'!K216</f>
        <v>0</v>
      </c>
      <c r="G67" s="865"/>
    </row>
    <row r="68" spans="1:8" x14ac:dyDescent="0.2">
      <c r="A68" s="869" t="s">
        <v>462</v>
      </c>
      <c r="B68" s="869" t="s">
        <v>1474</v>
      </c>
      <c r="C68" s="886" t="str">
        <f>'Expenditures 15-22'!B218</f>
        <v>1225</v>
      </c>
      <c r="D68" s="892" t="str">
        <f>'Expenditures 15-22'!A218</f>
        <v>Special Education Programs - Pre-K</v>
      </c>
      <c r="E68" s="868"/>
      <c r="F68" s="1845">
        <f>'Expenditures 15-22'!K218</f>
        <v>0</v>
      </c>
      <c r="G68" s="865"/>
    </row>
    <row r="69" spans="1:8" x14ac:dyDescent="0.2">
      <c r="A69" s="869" t="s">
        <v>462</v>
      </c>
      <c r="B69" s="869" t="s">
        <v>1869</v>
      </c>
      <c r="C69" s="886" t="str">
        <f>'Expenditures 15-22'!B220</f>
        <v>1275</v>
      </c>
      <c r="D69" s="892" t="str">
        <f>'Expenditures 15-22'!A220</f>
        <v>Remedial and Supplemental Programs - Pre-K</v>
      </c>
      <c r="E69" s="868"/>
      <c r="F69" s="1845">
        <f>'Expenditures 15-22'!K220</f>
        <v>0</v>
      </c>
      <c r="G69" s="865"/>
    </row>
    <row r="70" spans="1:8" x14ac:dyDescent="0.2">
      <c r="A70" s="869" t="s">
        <v>462</v>
      </c>
      <c r="B70" s="869" t="s">
        <v>1870</v>
      </c>
      <c r="C70" s="886">
        <f>'Expenditures 15-22'!B221</f>
        <v>1300</v>
      </c>
      <c r="D70" s="887" t="str">
        <f>'Expenditures 15-22'!A221</f>
        <v>Adult/Continuing Education Programs</v>
      </c>
      <c r="E70" s="868"/>
      <c r="F70" s="1845">
        <f>'Expenditures 15-22'!K221</f>
        <v>0</v>
      </c>
      <c r="G70" s="865"/>
    </row>
    <row r="71" spans="1:8" x14ac:dyDescent="0.2">
      <c r="A71" s="869" t="s">
        <v>462</v>
      </c>
      <c r="B71" s="869" t="s">
        <v>1871</v>
      </c>
      <c r="C71" s="886">
        <f>'Expenditures 15-22'!B224</f>
        <v>1600</v>
      </c>
      <c r="D71" s="887" t="str">
        <f>'Expenditures 15-22'!A224</f>
        <v>Summer School Programs</v>
      </c>
      <c r="E71" s="868"/>
      <c r="F71" s="1845">
        <f>'Expenditures 15-22'!K224</f>
        <v>0</v>
      </c>
      <c r="G71" s="865"/>
    </row>
    <row r="72" spans="1:8" x14ac:dyDescent="0.2">
      <c r="A72" s="869" t="s">
        <v>462</v>
      </c>
      <c r="B72" s="869" t="s">
        <v>1872</v>
      </c>
      <c r="C72" s="886">
        <f>'Expenditures 15-22'!B280</f>
        <v>3000</v>
      </c>
      <c r="D72" s="876" t="s">
        <v>449</v>
      </c>
      <c r="E72" s="868"/>
      <c r="F72" s="1845">
        <f>'Expenditures 15-22'!K280</f>
        <v>0</v>
      </c>
      <c r="G72" s="865"/>
    </row>
    <row r="73" spans="1:8" x14ac:dyDescent="0.2">
      <c r="A73" s="869" t="s">
        <v>462</v>
      </c>
      <c r="B73" s="869" t="s">
        <v>1873</v>
      </c>
      <c r="C73" s="886" t="str">
        <f>'Expenditures 15-22'!B285</f>
        <v>4000</v>
      </c>
      <c r="D73" s="887" t="str">
        <f>'Expenditures 15-22'!A285</f>
        <v>Total Payments to Other Govt Units</v>
      </c>
      <c r="E73" s="868"/>
      <c r="F73" s="1845">
        <f>'Expenditures 15-22'!K285</f>
        <v>0</v>
      </c>
      <c r="G73" s="865"/>
    </row>
    <row r="74" spans="1:8" x14ac:dyDescent="0.2">
      <c r="A74" s="869" t="s">
        <v>436</v>
      </c>
      <c r="B74" s="869" t="s">
        <v>1874</v>
      </c>
      <c r="C74" s="886" t="s">
        <v>860</v>
      </c>
      <c r="D74" s="887" t="s">
        <v>1482</v>
      </c>
      <c r="E74" s="868"/>
      <c r="F74" s="1849">
        <f>'Expenditures 15-22'!K334</f>
        <v>0</v>
      </c>
      <c r="G74" s="865"/>
    </row>
    <row r="75" spans="1:8" ht="5.25" customHeight="1" x14ac:dyDescent="0.2">
      <c r="A75" s="865"/>
      <c r="B75" s="875"/>
      <c r="C75" s="875"/>
      <c r="D75" s="865"/>
      <c r="E75" s="868"/>
      <c r="F75" s="882"/>
      <c r="G75" s="867"/>
    </row>
    <row r="76" spans="1:8" ht="12" thickBot="1" x14ac:dyDescent="0.25">
      <c r="A76" s="1702"/>
      <c r="B76" s="1708"/>
      <c r="C76" s="1704"/>
      <c r="D76" s="1709" t="s">
        <v>1875</v>
      </c>
      <c r="E76" s="1706" t="s">
        <v>958</v>
      </c>
      <c r="F76" s="1710">
        <f>SUM(F18:F74)</f>
        <v>576005985</v>
      </c>
      <c r="G76" s="865"/>
    </row>
    <row r="77" spans="1:8" s="893" customFormat="1" ht="12" customHeight="1" thickTop="1" thickBot="1" x14ac:dyDescent="0.25">
      <c r="A77" s="1711"/>
      <c r="B77" s="1708"/>
      <c r="C77" s="1704"/>
      <c r="D77" s="1709" t="s">
        <v>1876</v>
      </c>
      <c r="E77" s="1706"/>
      <c r="F77" s="1712">
        <f>(F14-F76)</f>
        <v>5554058700</v>
      </c>
      <c r="G77" s="869"/>
    </row>
    <row r="78" spans="1:8" s="893" customFormat="1" ht="12" customHeight="1" thickTop="1" x14ac:dyDescent="0.2">
      <c r="A78" s="1713"/>
      <c r="B78" s="1708"/>
      <c r="C78" s="1704"/>
      <c r="D78" s="1709" t="s">
        <v>2037</v>
      </c>
      <c r="E78" s="1706"/>
      <c r="F78" s="898">
        <v>328091.09999999998</v>
      </c>
      <c r="G78" s="899"/>
      <c r="H78" s="869"/>
    </row>
    <row r="79" spans="1:8" s="893" customFormat="1" ht="12" customHeight="1" thickBot="1" x14ac:dyDescent="0.25">
      <c r="A79" s="1714"/>
      <c r="B79" s="1708"/>
      <c r="C79" s="1704"/>
      <c r="D79" s="1709" t="s">
        <v>1877</v>
      </c>
      <c r="E79" s="1706" t="s">
        <v>958</v>
      </c>
      <c r="F79" s="1715">
        <f>IF(F78&gt;0,F77/F78," Complete Line 78")</f>
        <v>16928.404031685102</v>
      </c>
      <c r="G79" s="869"/>
    </row>
    <row r="80" spans="1:8" s="893" customFormat="1" ht="8.25" customHeight="1" thickTop="1" x14ac:dyDescent="0.2">
      <c r="A80" s="900"/>
      <c r="B80" s="869"/>
      <c r="C80" s="871"/>
      <c r="D80" s="901"/>
      <c r="E80" s="868"/>
      <c r="F80" s="902"/>
      <c r="G80" s="869"/>
    </row>
    <row r="81" spans="1:7" s="893" customFormat="1" ht="12" thickBot="1" x14ac:dyDescent="0.25">
      <c r="A81" s="2293" t="s">
        <v>1105</v>
      </c>
      <c r="B81" s="2294"/>
      <c r="C81" s="2294"/>
      <c r="D81" s="2294"/>
      <c r="E81" s="2294"/>
      <c r="F81" s="2295"/>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839">
        <f>'Revenues 9-14'!F42</f>
        <v>0</v>
      </c>
      <c r="G84" s="912"/>
    </row>
    <row r="85" spans="1:7" x14ac:dyDescent="0.2">
      <c r="A85" s="908" t="s">
        <v>461</v>
      </c>
      <c r="B85" s="908" t="s">
        <v>183</v>
      </c>
      <c r="C85" s="913">
        <f>'Revenues 9-14'!B44</f>
        <v>1413</v>
      </c>
      <c r="D85" s="911" t="str">
        <f>'Revenues 9-14'!A44</f>
        <v>Regular - Transp Fees from Other Sources (In State)</v>
      </c>
      <c r="E85" s="906"/>
      <c r="F85" s="1721">
        <f>'Revenues 9-14'!F44</f>
        <v>0</v>
      </c>
      <c r="G85" s="914"/>
    </row>
    <row r="86" spans="1:7" x14ac:dyDescent="0.2">
      <c r="A86" s="908" t="s">
        <v>461</v>
      </c>
      <c r="B86" s="908" t="s">
        <v>166</v>
      </c>
      <c r="C86" s="910">
        <f>'Revenues 9-14'!B45</f>
        <v>1415</v>
      </c>
      <c r="D86" s="911" t="str">
        <f>'Revenues 9-14'!A45</f>
        <v>Regular - Transp Fees from Co-curricular Activities (In State)</v>
      </c>
      <c r="E86" s="906"/>
      <c r="F86" s="1721">
        <f>'Revenues 9-14'!F45</f>
        <v>0</v>
      </c>
      <c r="G86" s="914"/>
    </row>
    <row r="87" spans="1:7" x14ac:dyDescent="0.2">
      <c r="A87" s="908" t="s">
        <v>461</v>
      </c>
      <c r="B87" s="908" t="s">
        <v>167</v>
      </c>
      <c r="C87" s="910">
        <v>1416</v>
      </c>
      <c r="D87" s="911" t="str">
        <f>'Revenues 9-14'!A46</f>
        <v>Regular Transp Fees from Other Sources (Out of State)</v>
      </c>
      <c r="E87" s="906"/>
      <c r="F87" s="1721">
        <f>'Revenues 9-14'!F46</f>
        <v>0</v>
      </c>
      <c r="G87" s="914"/>
    </row>
    <row r="88" spans="1:7" x14ac:dyDescent="0.2">
      <c r="A88" s="908" t="s">
        <v>461</v>
      </c>
      <c r="B88" s="908" t="s">
        <v>168</v>
      </c>
      <c r="C88" s="910">
        <f>'Revenues 9-14'!B51</f>
        <v>1431</v>
      </c>
      <c r="D88" s="911" t="str">
        <f>'Revenues 9-14'!A51</f>
        <v>CTE - Transp Fees from Pupils or Parents (In State)</v>
      </c>
      <c r="E88" s="906"/>
      <c r="F88" s="1721">
        <f>'Revenues 9-14'!F51</f>
        <v>0</v>
      </c>
      <c r="G88" s="914"/>
    </row>
    <row r="89" spans="1:7" x14ac:dyDescent="0.2">
      <c r="A89" s="908" t="s">
        <v>461</v>
      </c>
      <c r="B89" s="908" t="s">
        <v>169</v>
      </c>
      <c r="C89" s="910">
        <f>'Revenues 9-14'!B53</f>
        <v>1433</v>
      </c>
      <c r="D89" s="911" t="str">
        <f>'Revenues 9-14'!A53</f>
        <v>CTE - Transp Fees from Other Sources (In State)</v>
      </c>
      <c r="E89" s="906"/>
      <c r="F89" s="1721">
        <f>'Revenues 9-14'!F53</f>
        <v>0</v>
      </c>
      <c r="G89" s="914"/>
    </row>
    <row r="90" spans="1:7" x14ac:dyDescent="0.2">
      <c r="A90" s="908" t="s">
        <v>461</v>
      </c>
      <c r="B90" s="908" t="s">
        <v>170</v>
      </c>
      <c r="C90" s="910">
        <f>'Revenues 9-14'!B54</f>
        <v>1434</v>
      </c>
      <c r="D90" s="911" t="str">
        <f>'Revenues 9-14'!A54</f>
        <v>CTE - Transp Fees from Other Sources (Out of State)</v>
      </c>
      <c r="E90" s="906"/>
      <c r="F90" s="1721">
        <f>'Revenues 9-14'!F54</f>
        <v>0</v>
      </c>
      <c r="G90" s="914"/>
    </row>
    <row r="91" spans="1:7" x14ac:dyDescent="0.2">
      <c r="A91" s="908" t="s">
        <v>461</v>
      </c>
      <c r="B91" s="908" t="s">
        <v>171</v>
      </c>
      <c r="C91" s="915">
        <f>'Revenues 9-14'!B55</f>
        <v>1441</v>
      </c>
      <c r="D91" s="911" t="str">
        <f>'Revenues 9-14'!A55</f>
        <v>Special Ed - Transp Fees from Pupils or Parents (In State)</v>
      </c>
      <c r="E91" s="906"/>
      <c r="F91" s="1721">
        <f>'Revenues 9-14'!F55</f>
        <v>0</v>
      </c>
      <c r="G91" s="914"/>
    </row>
    <row r="92" spans="1:7" x14ac:dyDescent="0.2">
      <c r="A92" s="908" t="s">
        <v>461</v>
      </c>
      <c r="B92" s="908" t="s">
        <v>172</v>
      </c>
      <c r="C92" s="910">
        <f>'Revenues 9-14'!B57</f>
        <v>1443</v>
      </c>
      <c r="D92" s="911" t="str">
        <f>'Revenues 9-14'!A57</f>
        <v>Special Ed - Transp Fees from Other Sources (In State)</v>
      </c>
      <c r="E92" s="906"/>
      <c r="F92" s="1721">
        <f>'Revenues 9-14'!F57</f>
        <v>0</v>
      </c>
      <c r="G92" s="916"/>
    </row>
    <row r="93" spans="1:7" x14ac:dyDescent="0.2">
      <c r="A93" s="908" t="s">
        <v>461</v>
      </c>
      <c r="B93" s="908" t="s">
        <v>173</v>
      </c>
      <c r="C93" s="910">
        <f>'Revenues 9-14'!B58</f>
        <v>1444</v>
      </c>
      <c r="D93" s="911" t="str">
        <f>'Revenues 9-14'!A58</f>
        <v>Special Ed - Transp Fees from Other Sources (Out of State)</v>
      </c>
      <c r="E93" s="906"/>
      <c r="F93" s="1721">
        <f>'Revenues 9-14'!F58</f>
        <v>0</v>
      </c>
      <c r="G93" s="916"/>
    </row>
    <row r="94" spans="1:7" x14ac:dyDescent="0.2">
      <c r="A94" s="908" t="s">
        <v>459</v>
      </c>
      <c r="B94" s="908" t="s">
        <v>174</v>
      </c>
      <c r="C94" s="910">
        <v>1600</v>
      </c>
      <c r="D94" s="917" t="str">
        <f>'Revenues 9-14'!A75</f>
        <v>Total Food Service</v>
      </c>
      <c r="E94" s="906"/>
      <c r="F94" s="1721">
        <f>'Revenues 9-14'!C75</f>
        <v>2321954</v>
      </c>
      <c r="G94" s="912"/>
    </row>
    <row r="95" spans="1:7" x14ac:dyDescent="0.2">
      <c r="A95" s="908" t="s">
        <v>140</v>
      </c>
      <c r="B95" s="908" t="s">
        <v>175</v>
      </c>
      <c r="C95" s="910">
        <v>1700</v>
      </c>
      <c r="D95" s="918" t="str">
        <f>'Revenues 9-14'!A82</f>
        <v>Total District/School Activity Income</v>
      </c>
      <c r="E95" s="906"/>
      <c r="F95" s="1721">
        <f>SUM('Revenues 9-14'!C82,'Revenues 9-14'!D82)</f>
        <v>0</v>
      </c>
      <c r="G95" s="912"/>
    </row>
    <row r="96" spans="1:7" x14ac:dyDescent="0.2">
      <c r="A96" s="908" t="s">
        <v>459</v>
      </c>
      <c r="B96" s="908" t="s">
        <v>176</v>
      </c>
      <c r="C96" s="910">
        <f>'Revenues 9-14'!B84</f>
        <v>1811</v>
      </c>
      <c r="D96" s="911" t="str">
        <f>'Revenues 9-14'!A84</f>
        <v>Rentals - Regular Textbooks</v>
      </c>
      <c r="E96" s="906"/>
      <c r="F96" s="1721">
        <f>'Revenues 9-14'!C84</f>
        <v>0</v>
      </c>
      <c r="G96" s="912"/>
    </row>
    <row r="97" spans="1:7" x14ac:dyDescent="0.2">
      <c r="A97" s="908" t="s">
        <v>459</v>
      </c>
      <c r="B97" s="908" t="s">
        <v>177</v>
      </c>
      <c r="C97" s="910">
        <f>'Revenues 9-14'!B87</f>
        <v>1819</v>
      </c>
      <c r="D97" s="911" t="str">
        <f>'Revenues 9-14'!A87</f>
        <v>Rentals - Other (Describe &amp; Itemize)</v>
      </c>
      <c r="E97" s="906"/>
      <c r="F97" s="1721">
        <f>'Revenues 9-14'!C87</f>
        <v>0</v>
      </c>
      <c r="G97" s="912"/>
    </row>
    <row r="98" spans="1:7" x14ac:dyDescent="0.2">
      <c r="A98" s="908" t="s">
        <v>459</v>
      </c>
      <c r="B98" s="908" t="s">
        <v>178</v>
      </c>
      <c r="C98" s="910">
        <f>'Revenues 9-14'!B88</f>
        <v>1821</v>
      </c>
      <c r="D98" s="911" t="str">
        <f>'Revenues 9-14'!A88</f>
        <v>Sales - Regular Textbooks</v>
      </c>
      <c r="E98" s="906"/>
      <c r="F98" s="1721">
        <f>'Revenues 9-14'!C88</f>
        <v>0</v>
      </c>
      <c r="G98" s="912"/>
    </row>
    <row r="99" spans="1:7" x14ac:dyDescent="0.2">
      <c r="A99" s="908" t="s">
        <v>459</v>
      </c>
      <c r="B99" s="908" t="s">
        <v>179</v>
      </c>
      <c r="C99" s="910">
        <f>'Revenues 9-14'!B91</f>
        <v>1829</v>
      </c>
      <c r="D99" s="911" t="str">
        <f>'Revenues 9-14'!A91</f>
        <v>Sales - Other (Describe &amp; Itemize)</v>
      </c>
      <c r="E99" s="906"/>
      <c r="F99" s="1721">
        <f>'Revenues 9-14'!C91</f>
        <v>0</v>
      </c>
      <c r="G99" s="912"/>
    </row>
    <row r="100" spans="1:7" x14ac:dyDescent="0.2">
      <c r="A100" s="908" t="s">
        <v>459</v>
      </c>
      <c r="B100" s="908" t="s">
        <v>180</v>
      </c>
      <c r="C100" s="910">
        <f>'Revenues 9-14'!B92</f>
        <v>1890</v>
      </c>
      <c r="D100" s="911" t="str">
        <f>'Revenues 9-14'!A92</f>
        <v>Other (Describe &amp; Itemize)</v>
      </c>
      <c r="E100" s="906"/>
      <c r="F100" s="1721">
        <f>'Revenues 9-14'!C92</f>
        <v>0</v>
      </c>
      <c r="G100" s="912"/>
    </row>
    <row r="101" spans="1:7" x14ac:dyDescent="0.2">
      <c r="A101" s="908" t="s">
        <v>140</v>
      </c>
      <c r="B101" s="908" t="s">
        <v>181</v>
      </c>
      <c r="C101" s="910">
        <f>'Revenues 9-14'!B95</f>
        <v>1910</v>
      </c>
      <c r="D101" s="911" t="str">
        <f>'Revenues 9-14'!A95</f>
        <v>Rentals</v>
      </c>
      <c r="E101" s="906"/>
      <c r="F101" s="1721">
        <f>SUM('Revenues 9-14'!C95:D95)</f>
        <v>6584350</v>
      </c>
      <c r="G101" s="912"/>
    </row>
    <row r="102" spans="1:7" x14ac:dyDescent="0.2">
      <c r="A102" s="908" t="s">
        <v>503</v>
      </c>
      <c r="B102" s="908" t="s">
        <v>182</v>
      </c>
      <c r="C102" s="910">
        <f>'Revenues 9-14'!B98</f>
        <v>1940</v>
      </c>
      <c r="D102" s="911" t="str">
        <f>'Revenues 9-14'!A98</f>
        <v>Services Provided Other Districts</v>
      </c>
      <c r="E102" s="906"/>
      <c r="F102" s="1721">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21">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21">
        <f>('Revenues 9-14'!C106)</f>
        <v>43281545</v>
      </c>
      <c r="G104" s="912"/>
    </row>
    <row r="105" spans="1:7" x14ac:dyDescent="0.2">
      <c r="A105" s="908" t="s">
        <v>503</v>
      </c>
      <c r="B105" s="908" t="s">
        <v>1978</v>
      </c>
      <c r="C105" s="913">
        <v>3100</v>
      </c>
      <c r="D105" s="919" t="str">
        <f>'Revenues 9-14'!A132</f>
        <v>Total Special Education</v>
      </c>
      <c r="E105" s="906"/>
      <c r="F105" s="1721">
        <f>SUM('Revenues 9-14'!C132:D132,'Revenues 9-14'!F132)</f>
        <v>31767960</v>
      </c>
      <c r="G105" s="912"/>
    </row>
    <row r="106" spans="1:7" x14ac:dyDescent="0.2">
      <c r="A106" s="908" t="s">
        <v>673</v>
      </c>
      <c r="B106" s="908" t="s">
        <v>1979</v>
      </c>
      <c r="C106" s="920">
        <v>3200</v>
      </c>
      <c r="D106" s="911" t="str">
        <f>'Revenues 9-14'!A141</f>
        <v>Total Career and Technical Education</v>
      </c>
      <c r="E106" s="906"/>
      <c r="F106" s="1721">
        <f>SUM('Revenues 9-14'!C141,'Revenues 9-14'!D141,'Revenues 9-14'!G141)</f>
        <v>3647456</v>
      </c>
      <c r="G106" s="912"/>
    </row>
    <row r="107" spans="1:7" x14ac:dyDescent="0.2">
      <c r="A107" s="921" t="s">
        <v>664</v>
      </c>
      <c r="B107" s="908" t="s">
        <v>1980</v>
      </c>
      <c r="C107" s="920">
        <v>3300</v>
      </c>
      <c r="D107" s="911" t="str">
        <f>'Revenues 9-14'!A145</f>
        <v>Total Bilingual Ed</v>
      </c>
      <c r="E107" s="906"/>
      <c r="F107" s="1721">
        <f>SUM('Revenues 9-14'!C145,'Revenues 9-14'!G145)</f>
        <v>0</v>
      </c>
      <c r="G107" s="912"/>
    </row>
    <row r="108" spans="1:7" x14ac:dyDescent="0.2">
      <c r="A108" s="908" t="s">
        <v>459</v>
      </c>
      <c r="B108" s="908" t="s">
        <v>1981</v>
      </c>
      <c r="C108" s="920">
        <f>'Revenues 9-14'!B146</f>
        <v>3360</v>
      </c>
      <c r="D108" s="911" t="str">
        <f>'Revenues 9-14'!A146</f>
        <v>State Free Lunch &amp; Breakfast</v>
      </c>
      <c r="E108" s="906"/>
      <c r="F108" s="1721">
        <f>'Revenues 9-14'!C146</f>
        <v>3240202</v>
      </c>
      <c r="G108" s="912"/>
    </row>
    <row r="109" spans="1:7" x14ac:dyDescent="0.2">
      <c r="A109" s="908" t="s">
        <v>673</v>
      </c>
      <c r="B109" s="908" t="s">
        <v>1982</v>
      </c>
      <c r="C109" s="920">
        <f>'Revenues 9-14'!B147</f>
        <v>3365</v>
      </c>
      <c r="D109" s="911" t="str">
        <f>'Revenues 9-14'!A147</f>
        <v>School Breakfast Initiative</v>
      </c>
      <c r="E109" s="906"/>
      <c r="F109" s="1721">
        <f>SUM('Revenues 9-14'!C147,'Revenues 9-14'!D147,'Revenues 9-14'!G147)</f>
        <v>0</v>
      </c>
      <c r="G109" s="912"/>
    </row>
    <row r="110" spans="1:7" x14ac:dyDescent="0.2">
      <c r="A110" s="908" t="s">
        <v>140</v>
      </c>
      <c r="B110" s="908" t="s">
        <v>1983</v>
      </c>
      <c r="C110" s="920">
        <f>'Revenues 9-14'!B148</f>
        <v>3370</v>
      </c>
      <c r="D110" s="911" t="str">
        <f>'Revenues 9-14'!A148</f>
        <v>Driver Education</v>
      </c>
      <c r="E110" s="906"/>
      <c r="F110" s="1721">
        <f>SUM('Revenues 9-14'!C148,'Revenues 9-14'!D148)</f>
        <v>2704910</v>
      </c>
      <c r="G110" s="912"/>
    </row>
    <row r="111" spans="1:7" x14ac:dyDescent="0.2">
      <c r="A111" s="908" t="s">
        <v>668</v>
      </c>
      <c r="B111" s="908" t="s">
        <v>1984</v>
      </c>
      <c r="C111" s="922">
        <v>3500</v>
      </c>
      <c r="D111" s="911" t="str">
        <f>'Revenues 9-14'!A155</f>
        <v>Total Transportation</v>
      </c>
      <c r="E111" s="906"/>
      <c r="F111" s="1721">
        <f>SUM('Revenues 9-14'!C155,'Revenues 9-14'!D155,'Revenues 9-14'!F155,'Revenues 9-14'!G155)</f>
        <v>78056508</v>
      </c>
      <c r="G111" s="912"/>
    </row>
    <row r="112" spans="1:7" x14ac:dyDescent="0.2">
      <c r="A112" s="908" t="s">
        <v>459</v>
      </c>
      <c r="B112" s="908" t="s">
        <v>1985</v>
      </c>
      <c r="C112" s="920">
        <f>'Revenues 9-14'!B156</f>
        <v>3610</v>
      </c>
      <c r="D112" s="911" t="str">
        <f>'Revenues 9-14'!A156</f>
        <v>Learning Improvement - Change Grants</v>
      </c>
      <c r="E112" s="906"/>
      <c r="F112" s="1721">
        <f>'Revenues 9-14'!C156</f>
        <v>0</v>
      </c>
      <c r="G112" s="912"/>
    </row>
    <row r="113" spans="1:7" x14ac:dyDescent="0.2">
      <c r="A113" s="908" t="s">
        <v>668</v>
      </c>
      <c r="B113" s="908" t="s">
        <v>1986</v>
      </c>
      <c r="C113" s="920">
        <f>'Revenues 9-14'!B157</f>
        <v>3660</v>
      </c>
      <c r="D113" s="911" t="str">
        <f>'Revenues 9-14'!A157</f>
        <v>Scientific Literacy</v>
      </c>
      <c r="E113" s="906"/>
      <c r="F113" s="1721">
        <f>SUM('Revenues 9-14'!C157,'Revenues 9-14'!D157,'Revenues 9-14'!F157,'Revenues 9-14'!G157)</f>
        <v>0</v>
      </c>
      <c r="G113" s="912"/>
    </row>
    <row r="114" spans="1:7" x14ac:dyDescent="0.2">
      <c r="A114" s="908" t="s">
        <v>5</v>
      </c>
      <c r="B114" s="908" t="s">
        <v>1987</v>
      </c>
      <c r="C114" s="920">
        <f>'Revenues 9-14'!B158</f>
        <v>3695</v>
      </c>
      <c r="D114" s="911" t="str">
        <f>'Revenues 9-14'!A158</f>
        <v>Truant Alternative/Optional Education</v>
      </c>
      <c r="E114" s="906"/>
      <c r="F114" s="1721">
        <f>SUM('Revenues 9-14'!C158,'Revenues 9-14'!F158,'Revenues 9-14'!G158)</f>
        <v>2698960</v>
      </c>
      <c r="G114" s="912"/>
    </row>
    <row r="115" spans="1:7" x14ac:dyDescent="0.2">
      <c r="A115" s="908" t="s">
        <v>668</v>
      </c>
      <c r="B115" s="908" t="s">
        <v>1988</v>
      </c>
      <c r="C115" s="920">
        <f>'Revenues 9-14'!B160</f>
        <v>3766</v>
      </c>
      <c r="D115" s="911" t="str">
        <f>'Revenues 9-14'!A160</f>
        <v>Chicago General Education Block Grant</v>
      </c>
      <c r="E115" s="906"/>
      <c r="F115" s="1721">
        <f>SUM('Revenues 9-14'!C160,'Revenues 9-14'!D160,'Revenues 9-14'!F160,'Revenues 9-14'!G160)</f>
        <v>0</v>
      </c>
      <c r="G115" s="912"/>
    </row>
    <row r="116" spans="1:7" x14ac:dyDescent="0.2">
      <c r="A116" s="908" t="s">
        <v>668</v>
      </c>
      <c r="B116" s="908" t="s">
        <v>1989</v>
      </c>
      <c r="C116" s="920">
        <f>'Revenues 9-14'!B161</f>
        <v>3767</v>
      </c>
      <c r="D116" s="911" t="str">
        <f>'Revenues 9-14'!A161</f>
        <v>Chicago Educational Services Block Grant</v>
      </c>
      <c r="E116" s="906"/>
      <c r="F116" s="1721">
        <f>SUM('Revenues 9-14'!C161,'Revenues 9-14'!D161,'Revenues 9-14'!F161,'Revenues 9-14'!G161)</f>
        <v>0</v>
      </c>
      <c r="G116" s="912"/>
    </row>
    <row r="117" spans="1:7" x14ac:dyDescent="0.2">
      <c r="A117" s="923" t="s">
        <v>1009</v>
      </c>
      <c r="B117" s="923" t="s">
        <v>1990</v>
      </c>
      <c r="C117" s="924">
        <f>'Revenues 9-14'!B162</f>
        <v>3775</v>
      </c>
      <c r="D117" s="925" t="str">
        <f>'Revenues 9-14'!A162</f>
        <v>School Safety &amp; Educational Improvement Block Grant</v>
      </c>
      <c r="E117" s="906"/>
      <c r="F117" s="1839">
        <f>SUM('Revenues 9-14'!C162,'Revenues 9-14'!D162,'Revenues 9-14'!E162,'Revenues 9-14'!F162,'Revenues 9-14'!G162)</f>
        <v>0</v>
      </c>
      <c r="G117" s="912"/>
    </row>
    <row r="118" spans="1:7" x14ac:dyDescent="0.2">
      <c r="A118" s="923" t="s">
        <v>1009</v>
      </c>
      <c r="B118" s="923" t="s">
        <v>1991</v>
      </c>
      <c r="C118" s="924">
        <f>'Revenues 9-14'!B163</f>
        <v>3780</v>
      </c>
      <c r="D118" s="925" t="str">
        <f>'Revenues 9-14'!A163</f>
        <v>Technology - Technology for Success</v>
      </c>
      <c r="E118" s="906"/>
      <c r="F118" s="1839">
        <f>SUM('Revenues 9-14'!C163:G163)</f>
        <v>0</v>
      </c>
      <c r="G118" s="912"/>
    </row>
    <row r="119" spans="1:7" x14ac:dyDescent="0.2">
      <c r="A119" s="923" t="s">
        <v>504</v>
      </c>
      <c r="B119" s="923" t="s">
        <v>1992</v>
      </c>
      <c r="C119" s="924">
        <f>'Revenues 9-14'!B164</f>
        <v>3815</v>
      </c>
      <c r="D119" s="925" t="str">
        <f>'Revenues 9-14'!A164</f>
        <v>State Charter Schools</v>
      </c>
      <c r="E119" s="906"/>
      <c r="F119" s="1839">
        <f>SUM('Revenues 9-14'!C164,'Revenues 9-14'!F164)</f>
        <v>0</v>
      </c>
      <c r="G119" s="912"/>
    </row>
    <row r="120" spans="1:7" x14ac:dyDescent="0.2">
      <c r="A120" s="927" t="s">
        <v>460</v>
      </c>
      <c r="B120" s="927" t="s">
        <v>1993</v>
      </c>
      <c r="C120" s="928">
        <f>'Revenues 9-14'!B167</f>
        <v>3925</v>
      </c>
      <c r="D120" s="929" t="str">
        <f>'Revenues 9-14'!A167</f>
        <v>School Infrastructure - Maintenance Projects</v>
      </c>
      <c r="E120" s="906"/>
      <c r="F120" s="1721">
        <f>'Revenues 9-14'!D167</f>
        <v>0</v>
      </c>
      <c r="G120" s="930"/>
    </row>
    <row r="121" spans="1:7" x14ac:dyDescent="0.2">
      <c r="A121" s="927" t="s">
        <v>500</v>
      </c>
      <c r="B121" s="927" t="s">
        <v>1994</v>
      </c>
      <c r="C121" s="928">
        <f>'Revenues 9-14'!B168</f>
        <v>3999</v>
      </c>
      <c r="D121" s="929" t="s">
        <v>543</v>
      </c>
      <c r="E121" s="931"/>
      <c r="F121" s="1721">
        <f>SUM('Revenues 9-14'!C168:G168,'Revenues 9-14'!J168)</f>
        <v>9647585</v>
      </c>
      <c r="G121" s="930"/>
    </row>
    <row r="122" spans="1:7" x14ac:dyDescent="0.2">
      <c r="A122" s="927" t="s">
        <v>459</v>
      </c>
      <c r="B122" s="927" t="s">
        <v>1995</v>
      </c>
      <c r="C122" s="932">
        <f>'Revenues 9-14'!B177</f>
        <v>4045</v>
      </c>
      <c r="D122" s="929" t="str">
        <f>'Revenues 9-14'!A177 &amp; " (Subtract)"</f>
        <v>Head Start (Subtract)</v>
      </c>
      <c r="E122" s="906"/>
      <c r="F122" s="1721">
        <f>SUM(-'Revenues 9-14'!C177)</f>
        <v>-35509457</v>
      </c>
      <c r="G122" s="930"/>
    </row>
    <row r="123" spans="1:7" x14ac:dyDescent="0.2">
      <c r="A123" s="927" t="s">
        <v>668</v>
      </c>
      <c r="B123" s="927" t="s">
        <v>1996</v>
      </c>
      <c r="C123" s="932" t="s">
        <v>982</v>
      </c>
      <c r="D123" s="929" t="str">
        <f>('Revenues 9-14'!A181)</f>
        <v>Total Restricted Grants-In-Aid Received Directly from Federal Govt</v>
      </c>
      <c r="E123" s="906"/>
      <c r="F123" s="1721">
        <f>SUM('Revenues 9-14'!C181,'Revenues 9-14'!D181,'Revenues 9-14'!F181,'Revenues 9-14'!G181)</f>
        <v>46491065</v>
      </c>
      <c r="G123" s="930"/>
    </row>
    <row r="124" spans="1:7" x14ac:dyDescent="0.2">
      <c r="A124" s="927" t="s">
        <v>668</v>
      </c>
      <c r="B124" s="927" t="s">
        <v>1997</v>
      </c>
      <c r="C124" s="932">
        <v>4100</v>
      </c>
      <c r="D124" s="933" t="str">
        <f>'Revenues 9-14'!A188</f>
        <v>Total Title V</v>
      </c>
      <c r="E124" s="906"/>
      <c r="F124" s="1721">
        <f>SUM('Revenues 9-14'!C188,'Revenues 9-14'!D188,'Revenues 9-14'!F188,'Revenues 9-14'!G188)</f>
        <v>0</v>
      </c>
      <c r="G124" s="930"/>
    </row>
    <row r="125" spans="1:7" x14ac:dyDescent="0.2">
      <c r="A125" s="927" t="s">
        <v>664</v>
      </c>
      <c r="B125" s="927" t="s">
        <v>1998</v>
      </c>
      <c r="C125" s="932">
        <v>4200</v>
      </c>
      <c r="D125" s="929" t="str">
        <f>'Revenues 9-14'!A198</f>
        <v>Total Food Service</v>
      </c>
      <c r="E125" s="906"/>
      <c r="F125" s="1721">
        <f>SUM('Revenues 9-14'!C198,'Revenues 9-14'!G198)</f>
        <v>198294148</v>
      </c>
      <c r="G125" s="930"/>
    </row>
    <row r="126" spans="1:7" x14ac:dyDescent="0.2">
      <c r="A126" s="927" t="s">
        <v>668</v>
      </c>
      <c r="B126" s="927" t="s">
        <v>1999</v>
      </c>
      <c r="C126" s="932">
        <v>4300</v>
      </c>
      <c r="D126" s="933" t="str">
        <f>'Revenues 9-14'!A204</f>
        <v>Total Title I</v>
      </c>
      <c r="E126" s="906"/>
      <c r="F126" s="1721">
        <f>SUM('Revenues 9-14'!C204,'Revenues 9-14'!D204,'Revenues 9-14'!F204,'Revenues 9-14'!G204)</f>
        <v>240563864</v>
      </c>
      <c r="G126" s="930"/>
    </row>
    <row r="127" spans="1:7" x14ac:dyDescent="0.2">
      <c r="A127" s="927" t="s">
        <v>668</v>
      </c>
      <c r="B127" s="927" t="s">
        <v>2000</v>
      </c>
      <c r="C127" s="932">
        <v>4400</v>
      </c>
      <c r="D127" s="933" t="str">
        <f>'Revenues 9-14'!A209</f>
        <v>Total Title IV</v>
      </c>
      <c r="E127" s="906"/>
      <c r="F127" s="1721">
        <f>SUM('Revenues 9-14'!C209,'Revenues 9-14'!D209,'Revenues 9-14'!F209,'Revenues 9-14'!G209)</f>
        <v>13745021</v>
      </c>
      <c r="G127" s="930"/>
    </row>
    <row r="128" spans="1:7" x14ac:dyDescent="0.2">
      <c r="A128" s="927" t="s">
        <v>668</v>
      </c>
      <c r="B128" s="927" t="s">
        <v>2001</v>
      </c>
      <c r="C128" s="932">
        <f>'Revenues 9-14'!B213</f>
        <v>4620</v>
      </c>
      <c r="D128" s="933" t="str">
        <f>'Revenues 9-14'!A213</f>
        <v>Fed - Spec Education - IDEA - Flow Through</v>
      </c>
      <c r="E128" s="906"/>
      <c r="F128" s="1721">
        <f>SUM('Revenues 9-14'!C213:D213,'Revenues 9-14'!F213:G213)</f>
        <v>89492400</v>
      </c>
      <c r="G128" s="930"/>
    </row>
    <row r="129" spans="1:7" x14ac:dyDescent="0.2">
      <c r="A129" s="927" t="s">
        <v>668</v>
      </c>
      <c r="B129" s="927" t="s">
        <v>2002</v>
      </c>
      <c r="C129" s="932">
        <f>'Revenues 9-14'!B214</f>
        <v>4625</v>
      </c>
      <c r="D129" s="933" t="str">
        <f>'Revenues 9-14'!A214</f>
        <v>Fed - Spec Education - IDEA - Room &amp; Board</v>
      </c>
      <c r="E129" s="906"/>
      <c r="F129" s="1721">
        <f>SUM('Revenues 9-14'!C214,'Revenues 9-14'!D214,'Revenues 9-14'!F214,'Revenues 9-14'!G214)</f>
        <v>2333886</v>
      </c>
      <c r="G129" s="930"/>
    </row>
    <row r="130" spans="1:7" x14ac:dyDescent="0.2">
      <c r="A130" s="927" t="s">
        <v>668</v>
      </c>
      <c r="B130" s="927" t="s">
        <v>2003</v>
      </c>
      <c r="C130" s="932">
        <f>'Revenues 9-14'!B215</f>
        <v>4630</v>
      </c>
      <c r="D130" s="933" t="str">
        <f>'Revenues 9-14'!A215</f>
        <v>Fed - Spec Education - IDEA - Discretionary</v>
      </c>
      <c r="E130" s="906"/>
      <c r="F130" s="1721">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21">
        <f>SUM('Revenues 9-14'!C216:D216,'Revenues 9-14'!F216:G216)</f>
        <v>0</v>
      </c>
      <c r="G131" s="930"/>
    </row>
    <row r="132" spans="1:7" x14ac:dyDescent="0.2">
      <c r="A132" s="927" t="s">
        <v>673</v>
      </c>
      <c r="B132" s="927" t="s">
        <v>2004</v>
      </c>
      <c r="C132" s="932">
        <v>4700</v>
      </c>
      <c r="D132" s="929" t="str">
        <f>'Revenues 9-14'!A221</f>
        <v>Total CTE - Perkins</v>
      </c>
      <c r="E132" s="906"/>
      <c r="F132" s="1721">
        <f>SUM('Revenues 9-14'!C221,'Revenues 9-14'!D221,'Revenues 9-14'!G221)</f>
        <v>5734224</v>
      </c>
      <c r="G132" s="930">
        <v>6303</v>
      </c>
    </row>
    <row r="133" spans="1:7" s="867" customFormat="1" hidden="1" x14ac:dyDescent="0.2">
      <c r="A133" s="934" t="s">
        <v>206</v>
      </c>
      <c r="B133" s="934" t="s">
        <v>2005</v>
      </c>
      <c r="C133" s="935" t="s">
        <v>207</v>
      </c>
      <c r="D133" s="936" t="str">
        <f>'Revenues 9-14'!A224</f>
        <v>ARRA - Title I - Low Income</v>
      </c>
      <c r="E133" s="937"/>
      <c r="F133" s="1839">
        <f>SUM('Revenues 9-14'!$C$224:$D$224,'Revenues 9-14'!$F$224:$G$224)</f>
        <v>0</v>
      </c>
      <c r="G133" s="905"/>
    </row>
    <row r="134" spans="1:7" s="867" customFormat="1" hidden="1" x14ac:dyDescent="0.2">
      <c r="A134" s="934" t="s">
        <v>206</v>
      </c>
      <c r="B134" s="934" t="s">
        <v>2006</v>
      </c>
      <c r="C134" s="935" t="s">
        <v>208</v>
      </c>
      <c r="D134" s="936" t="str">
        <f>'Revenues 9-14'!A225</f>
        <v>ARRA - Title I - Neglected, Private</v>
      </c>
      <c r="E134" s="937"/>
      <c r="F134" s="1721">
        <f>SUM('Revenues 9-14'!C225:G225,'Revenues 9-14'!J225)</f>
        <v>0</v>
      </c>
      <c r="G134" s="905"/>
    </row>
    <row r="135" spans="1:7" s="867" customFormat="1" hidden="1" x14ac:dyDescent="0.2">
      <c r="A135" s="934" t="s">
        <v>206</v>
      </c>
      <c r="B135" s="934" t="s">
        <v>2007</v>
      </c>
      <c r="C135" s="935" t="s">
        <v>209</v>
      </c>
      <c r="D135" s="936" t="str">
        <f>'Revenues 9-14'!A226</f>
        <v>ARRA - Title I - Delinquent, Private</v>
      </c>
      <c r="E135" s="937"/>
      <c r="F135" s="1721">
        <f>SUM('Revenues 9-14'!C226:G226,'Revenues 9-14'!J226)</f>
        <v>0</v>
      </c>
      <c r="G135" s="905"/>
    </row>
    <row r="136" spans="1:7" s="867" customFormat="1" hidden="1" x14ac:dyDescent="0.2">
      <c r="A136" s="934" t="s">
        <v>206</v>
      </c>
      <c r="B136" s="934" t="s">
        <v>2008</v>
      </c>
      <c r="C136" s="935" t="s">
        <v>210</v>
      </c>
      <c r="D136" s="936" t="str">
        <f>'Revenues 9-14'!A227</f>
        <v>ARRA - Title I - School Improvement (Part A)</v>
      </c>
      <c r="E136" s="937"/>
      <c r="F136" s="1721">
        <f>SUM('Revenues 9-14'!C227:G227,'Revenues 9-14'!J227)</f>
        <v>0</v>
      </c>
      <c r="G136" s="905"/>
    </row>
    <row r="137" spans="1:7" s="867" customFormat="1" hidden="1" x14ac:dyDescent="0.2">
      <c r="A137" s="934" t="s">
        <v>206</v>
      </c>
      <c r="B137" s="934" t="s">
        <v>2009</v>
      </c>
      <c r="C137" s="935" t="s">
        <v>211</v>
      </c>
      <c r="D137" s="936" t="str">
        <f>'Revenues 9-14'!A228</f>
        <v>ARRA - Title I - School Improvement (Section 1003g)</v>
      </c>
      <c r="E137" s="937"/>
      <c r="F137" s="1721">
        <f>SUM('Revenues 9-14'!C228:G228,'Revenues 9-14'!J228)</f>
        <v>0</v>
      </c>
      <c r="G137" s="905"/>
    </row>
    <row r="138" spans="1:7" s="867" customFormat="1" hidden="1" x14ac:dyDescent="0.2">
      <c r="A138" s="934" t="s">
        <v>206</v>
      </c>
      <c r="B138" s="934" t="s">
        <v>2010</v>
      </c>
      <c r="C138" s="935" t="s">
        <v>212</v>
      </c>
      <c r="D138" s="936" t="str">
        <f>'Revenues 9-14'!A229</f>
        <v>ARRA - IDEA - Part B - Preschool</v>
      </c>
      <c r="E138" s="937"/>
      <c r="F138" s="1721">
        <v>0</v>
      </c>
      <c r="G138" s="905"/>
    </row>
    <row r="139" spans="1:7" s="867" customFormat="1" hidden="1" x14ac:dyDescent="0.2">
      <c r="A139" s="934" t="s">
        <v>206</v>
      </c>
      <c r="B139" s="934" t="s">
        <v>2011</v>
      </c>
      <c r="C139" s="935" t="s">
        <v>213</v>
      </c>
      <c r="D139" s="936" t="str">
        <f>'Revenues 9-14'!A230</f>
        <v>ARRA - IDEA - Part B - Flow-Through</v>
      </c>
      <c r="E139" s="937"/>
      <c r="F139" s="1721">
        <f>SUM('Revenues 9-14'!C230:G230,'Revenues 9-14'!J230)</f>
        <v>0</v>
      </c>
      <c r="G139" s="905"/>
    </row>
    <row r="140" spans="1:7" s="867" customFormat="1" hidden="1" x14ac:dyDescent="0.2">
      <c r="A140" s="934" t="s">
        <v>206</v>
      </c>
      <c r="B140" s="934" t="s">
        <v>2012</v>
      </c>
      <c r="C140" s="935" t="s">
        <v>214</v>
      </c>
      <c r="D140" s="936" t="str">
        <f>'Revenues 9-14'!A231</f>
        <v>ARRA - Title IID - Technology-Formula</v>
      </c>
      <c r="E140" s="937"/>
      <c r="F140" s="1721">
        <f>SUM('Revenues 9-14'!C231:G231,'Revenues 9-14'!J231)</f>
        <v>0</v>
      </c>
      <c r="G140" s="905"/>
    </row>
    <row r="141" spans="1:7" s="867" customFormat="1" hidden="1" x14ac:dyDescent="0.2">
      <c r="A141" s="934" t="s">
        <v>206</v>
      </c>
      <c r="B141" s="934" t="s">
        <v>2013</v>
      </c>
      <c r="C141" s="935" t="s">
        <v>216</v>
      </c>
      <c r="D141" s="936" t="str">
        <f>'Revenues 9-14'!A232</f>
        <v>ARRA - Title IID - Technology-Competitive</v>
      </c>
      <c r="E141" s="937"/>
      <c r="F141" s="1721">
        <f>SUM('Revenues 9-14'!C232:G232,'Revenues 9-14'!J232)</f>
        <v>0</v>
      </c>
      <c r="G141" s="905"/>
    </row>
    <row r="142" spans="1:7" s="867" customFormat="1" hidden="1" x14ac:dyDescent="0.2">
      <c r="A142" s="934" t="s">
        <v>668</v>
      </c>
      <c r="B142" s="934" t="s">
        <v>2014</v>
      </c>
      <c r="C142" s="935" t="s">
        <v>217</v>
      </c>
      <c r="D142" s="936" t="str">
        <f>'Revenues 9-14'!A233</f>
        <v>ARRA - McKinney - Vento Homeless Education</v>
      </c>
      <c r="E142" s="937"/>
      <c r="F142" s="1721">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21">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21">
        <f>SUM('Revenues 9-14'!C238:G238,'Revenues 9-14'!J238)</f>
        <v>0</v>
      </c>
      <c r="G144" s="905"/>
    </row>
    <row r="145" spans="1:7" s="867" customFormat="1" hidden="1" x14ac:dyDescent="0.2">
      <c r="A145" s="934" t="s">
        <v>206</v>
      </c>
      <c r="B145" s="934" t="s">
        <v>1411</v>
      </c>
      <c r="C145" s="935" t="s">
        <v>221</v>
      </c>
      <c r="D145" s="936" t="str">
        <f>'Revenues 9-14'!A239</f>
        <v>Build America Bond Tax Credits</v>
      </c>
      <c r="E145" s="937"/>
      <c r="F145" s="1721">
        <f>SUM('Revenues 9-14'!C239:G239,'Revenues 9-14'!J239)</f>
        <v>0</v>
      </c>
      <c r="G145" s="905"/>
    </row>
    <row r="146" spans="1:7" s="867" customFormat="1" hidden="1" x14ac:dyDescent="0.2">
      <c r="A146" s="934" t="s">
        <v>206</v>
      </c>
      <c r="B146" s="934" t="s">
        <v>2015</v>
      </c>
      <c r="C146" s="935" t="s">
        <v>223</v>
      </c>
      <c r="D146" s="936" t="str">
        <f>'Revenues 9-14'!A240</f>
        <v>Build America Bond Interest Reimbursement</v>
      </c>
      <c r="E146" s="937"/>
      <c r="F146" s="1721">
        <f>SUM('Revenues 9-14'!C240:G240,'Revenues 9-14'!J240)</f>
        <v>24886885</v>
      </c>
      <c r="G146" s="905"/>
    </row>
    <row r="147" spans="1:7" s="867" customFormat="1" hidden="1" x14ac:dyDescent="0.2">
      <c r="A147" s="934" t="s">
        <v>206</v>
      </c>
      <c r="B147" s="934" t="s">
        <v>2016</v>
      </c>
      <c r="C147" s="935" t="s">
        <v>225</v>
      </c>
      <c r="D147" s="936" t="str">
        <f>'Revenues 9-14'!A242</f>
        <v>Other ARRA Funds - II</v>
      </c>
      <c r="E147" s="937"/>
      <c r="F147" s="1721">
        <f>SUM('Revenues 9-14'!C242:G242,'Revenues 9-14'!J242)</f>
        <v>0</v>
      </c>
      <c r="G147" s="905"/>
    </row>
    <row r="148" spans="1:7" s="867" customFormat="1" hidden="1" x14ac:dyDescent="0.2">
      <c r="A148" s="934" t="s">
        <v>206</v>
      </c>
      <c r="B148" s="934" t="s">
        <v>2017</v>
      </c>
      <c r="C148" s="935" t="s">
        <v>226</v>
      </c>
      <c r="D148" s="936" t="str">
        <f>'Revenues 9-14'!A243</f>
        <v>Other ARRA Funds - III</v>
      </c>
      <c r="E148" s="937"/>
      <c r="F148" s="1721">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21">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21">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21">
        <v>0</v>
      </c>
      <c r="G151" s="905"/>
    </row>
    <row r="152" spans="1:7" s="867" customFormat="1" hidden="1" x14ac:dyDescent="0.2">
      <c r="A152" s="934" t="s">
        <v>206</v>
      </c>
      <c r="B152" s="934" t="s">
        <v>1412</v>
      </c>
      <c r="C152" s="935" t="s">
        <v>233</v>
      </c>
      <c r="D152" s="936" t="str">
        <f>'Revenues 9-14'!A247</f>
        <v>Other ARRA Funds VII</v>
      </c>
      <c r="E152" s="937"/>
      <c r="F152" s="1721">
        <f>SUM('Revenues 9-14'!C247:G247,'Revenues 9-14'!J247)</f>
        <v>0</v>
      </c>
      <c r="G152" s="905"/>
    </row>
    <row r="153" spans="1:7" s="867" customFormat="1" hidden="1" x14ac:dyDescent="0.2">
      <c r="A153" s="934" t="s">
        <v>206</v>
      </c>
      <c r="B153" s="934" t="s">
        <v>2018</v>
      </c>
      <c r="C153" s="935" t="s">
        <v>234</v>
      </c>
      <c r="D153" s="936" t="str">
        <f>'Revenues 9-14'!A248</f>
        <v>Other ARRA Funds VIII</v>
      </c>
      <c r="E153" s="937"/>
      <c r="F153" s="1721">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21">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21">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21">
        <f>SUM('Revenues 9-14'!C251:G251,'Revenues 9-14'!J251)</f>
        <v>0</v>
      </c>
      <c r="G156" s="905"/>
    </row>
    <row r="157" spans="1:7" s="867" customFormat="1" x14ac:dyDescent="0.2">
      <c r="A157" s="938" t="s">
        <v>500</v>
      </c>
      <c r="B157" s="939" t="s">
        <v>2019</v>
      </c>
      <c r="C157" s="940" t="s">
        <v>841</v>
      </c>
      <c r="D157" s="941" t="s">
        <v>777</v>
      </c>
      <c r="E157" s="942"/>
      <c r="F157" s="1721">
        <f>SUM(F133:F156)</f>
        <v>24886885</v>
      </c>
      <c r="G157" s="905"/>
    </row>
    <row r="158" spans="1:7" s="867" customFormat="1" x14ac:dyDescent="0.2">
      <c r="A158" s="938" t="s">
        <v>459</v>
      </c>
      <c r="B158" s="939" t="s">
        <v>2020</v>
      </c>
      <c r="C158" s="940" t="s">
        <v>1422</v>
      </c>
      <c r="D158" s="941" t="s">
        <v>1423</v>
      </c>
      <c r="E158" s="942"/>
      <c r="F158" s="1721">
        <f>SUM('Revenues 9-14'!C253)</f>
        <v>0</v>
      </c>
      <c r="G158" s="905"/>
    </row>
    <row r="159" spans="1:7" s="867" customFormat="1" x14ac:dyDescent="0.2">
      <c r="A159" s="938" t="s">
        <v>500</v>
      </c>
      <c r="B159" s="939" t="s">
        <v>2021</v>
      </c>
      <c r="C159" s="940" t="s">
        <v>1461</v>
      </c>
      <c r="D159" s="941" t="s">
        <v>1462</v>
      </c>
      <c r="E159" s="942"/>
      <c r="F159" s="1721">
        <f>SUM('Revenues 9-14'!C254:H254,'Revenues 9-14'!J254:K254)</f>
        <v>0</v>
      </c>
      <c r="G159" s="905"/>
    </row>
    <row r="160" spans="1:7" x14ac:dyDescent="0.2">
      <c r="A160" s="927" t="s">
        <v>5</v>
      </c>
      <c r="B160" s="927" t="s">
        <v>2022</v>
      </c>
      <c r="C160" s="932">
        <f>'Revenues 9-14'!B255</f>
        <v>4905</v>
      </c>
      <c r="D160" s="929" t="str">
        <f>'Revenues 9-14'!A255</f>
        <v>Title III - Immigrant Education Program (IEP)</v>
      </c>
      <c r="E160" s="906"/>
      <c r="F160" s="1721">
        <f>SUM('Revenues 9-14'!C255,'Revenues 9-14'!F255,'Revenues 9-14'!G255)</f>
        <v>563132</v>
      </c>
      <c r="G160" s="943">
        <v>6306</v>
      </c>
    </row>
    <row r="161" spans="1:7" x14ac:dyDescent="0.2">
      <c r="A161" s="927" t="s">
        <v>5</v>
      </c>
      <c r="B161" s="927" t="s">
        <v>2023</v>
      </c>
      <c r="C161" s="932">
        <f>'Revenues 9-14'!B256</f>
        <v>4909</v>
      </c>
      <c r="D161" s="929" t="str">
        <f>'Revenues 9-14'!A256</f>
        <v>Title III - Language Inst Program - Limited Eng (LIPLEP)</v>
      </c>
      <c r="E161" s="906"/>
      <c r="F161" s="1721">
        <f>SUM('Revenues 9-14'!C256,'Revenues 9-14'!F256,'Revenues 9-14'!G256)</f>
        <v>9429198</v>
      </c>
      <c r="G161" s="943"/>
    </row>
    <row r="162" spans="1:7" x14ac:dyDescent="0.2">
      <c r="A162" s="927" t="s">
        <v>668</v>
      </c>
      <c r="B162" s="927" t="s">
        <v>2024</v>
      </c>
      <c r="C162" s="932">
        <f>'Revenues 9-14'!B257</f>
        <v>4920</v>
      </c>
      <c r="D162" s="929" t="str">
        <f>'Revenues 9-14'!A257</f>
        <v>McKinney Education for Homeless Children</v>
      </c>
      <c r="E162" s="906"/>
      <c r="F162" s="1721">
        <f>SUM('Revenues 9-14'!C257,'Revenues 9-14'!D257,'Revenues 9-14'!F257,'Revenues 9-14'!G257)</f>
        <v>877030</v>
      </c>
      <c r="G162" s="930"/>
    </row>
    <row r="163" spans="1:7" x14ac:dyDescent="0.2">
      <c r="A163" s="944" t="s">
        <v>668</v>
      </c>
      <c r="B163" s="944" t="s">
        <v>2025</v>
      </c>
      <c r="C163" s="945">
        <f>'Revenues 9-14'!B258</f>
        <v>4930</v>
      </c>
      <c r="D163" s="946" t="str">
        <f>'Revenues 9-14'!A258</f>
        <v>Title II - Eisenhower Professional Development Formula</v>
      </c>
      <c r="E163" s="926"/>
      <c r="F163" s="1839">
        <f>SUM('Revenues 9-14'!C258:D258,'Revenues 9-14'!F258,'Revenues 9-14'!G258)</f>
        <v>0</v>
      </c>
      <c r="G163" s="930"/>
    </row>
    <row r="164" spans="1:7" x14ac:dyDescent="0.2">
      <c r="A164" s="927" t="s">
        <v>668</v>
      </c>
      <c r="B164" s="927" t="s">
        <v>2026</v>
      </c>
      <c r="C164" s="932">
        <f>'Revenues 9-14'!B259</f>
        <v>4932</v>
      </c>
      <c r="D164" s="933" t="str">
        <f>'Revenues 9-14'!A259</f>
        <v>Title II - Teacher Quality</v>
      </c>
      <c r="E164" s="906"/>
      <c r="F164" s="1839">
        <f>SUM('Revenues 9-14'!C259,'Revenues 9-14'!D259,'Revenues 9-14'!F259,'Revenues 9-14'!G259)</f>
        <v>18462819</v>
      </c>
      <c r="G164" s="930"/>
    </row>
    <row r="165" spans="1:7" x14ac:dyDescent="0.2">
      <c r="A165" s="927" t="s">
        <v>668</v>
      </c>
      <c r="B165" s="927" t="s">
        <v>2027</v>
      </c>
      <c r="C165" s="932">
        <f>'Revenues 9-14'!B260</f>
        <v>4960</v>
      </c>
      <c r="D165" s="929" t="str">
        <f>'Revenues 9-14'!A260</f>
        <v>Federal Charter Schools</v>
      </c>
      <c r="E165" s="906"/>
      <c r="F165" s="1721">
        <f>SUM('Revenues 9-14'!C260:D260,'Revenues 9-14'!F260:G260)</f>
        <v>0</v>
      </c>
      <c r="G165" s="930"/>
    </row>
    <row r="166" spans="1:7" x14ac:dyDescent="0.2">
      <c r="A166" s="927" t="s">
        <v>668</v>
      </c>
      <c r="B166" s="927" t="s">
        <v>1972</v>
      </c>
      <c r="C166" s="932">
        <f>'Revenues 9-14'!B261</f>
        <v>4981</v>
      </c>
      <c r="D166" s="929" t="str">
        <f>'Revenues 9-14'!A261</f>
        <v>State Assessment Grants</v>
      </c>
      <c r="E166" s="906"/>
      <c r="F166" s="1721">
        <f>SUM('Revenues 9-14'!C261:D261,'Revenues 9-14'!F261:G261)</f>
        <v>0</v>
      </c>
      <c r="G166" s="930"/>
    </row>
    <row r="167" spans="1:7" x14ac:dyDescent="0.2">
      <c r="A167" s="927" t="s">
        <v>668</v>
      </c>
      <c r="B167" s="927" t="s">
        <v>1973</v>
      </c>
      <c r="C167" s="932">
        <f>'Revenues 9-14'!B262</f>
        <v>4982</v>
      </c>
      <c r="D167" s="929" t="str">
        <f>'Revenues 9-14'!A262</f>
        <v>Grant for State Assessments and Related Activities</v>
      </c>
      <c r="E167" s="906"/>
      <c r="F167" s="1721">
        <f>SUM('Revenues 9-14'!C262:D262,'Revenues 9-14'!F262:G262)</f>
        <v>0</v>
      </c>
      <c r="G167" s="930"/>
    </row>
    <row r="168" spans="1:7" x14ac:dyDescent="0.2">
      <c r="A168" s="927" t="s">
        <v>668</v>
      </c>
      <c r="B168" s="927" t="s">
        <v>2028</v>
      </c>
      <c r="C168" s="932">
        <f>'Revenues 9-14'!B263</f>
        <v>4991</v>
      </c>
      <c r="D168" s="933" t="str">
        <f>'Revenues 9-14'!A263</f>
        <v>Medicaid Matching Funds - Administrative Outreach</v>
      </c>
      <c r="E168" s="906"/>
      <c r="F168" s="1721">
        <f>SUM('Revenues 9-14'!C263:D263,'Revenues 9-14'!F263:G263)</f>
        <v>7960001</v>
      </c>
      <c r="G168" s="947">
        <v>6320</v>
      </c>
    </row>
    <row r="169" spans="1:7" x14ac:dyDescent="0.2">
      <c r="A169" s="927" t="s">
        <v>668</v>
      </c>
      <c r="B169" s="927" t="s">
        <v>2029</v>
      </c>
      <c r="C169" s="932">
        <f>'Revenues 9-14'!B264</f>
        <v>4992</v>
      </c>
      <c r="D169" s="933" t="str">
        <f>'Revenues 9-14'!A264</f>
        <v>Medicaid Matching Funds - Fee-for-Service Program</v>
      </c>
      <c r="E169" s="906"/>
      <c r="F169" s="1721">
        <f>SUM('Revenues 9-14'!C264:D264,'Revenues 9-14'!F264:G264)</f>
        <v>27014979</v>
      </c>
      <c r="G169" s="947"/>
    </row>
    <row r="170" spans="1:7" x14ac:dyDescent="0.2">
      <c r="A170" s="948" t="s">
        <v>668</v>
      </c>
      <c r="B170" s="944" t="s">
        <v>2030</v>
      </c>
      <c r="C170" s="945">
        <f>'Revenues 9-14'!B265</f>
        <v>4999</v>
      </c>
      <c r="D170" s="946" t="str">
        <f>'Revenues 9-14'!A265</f>
        <v>Other Restricted Revenue from Federal Sources (Describe &amp; Itemize)</v>
      </c>
      <c r="E170" s="906"/>
      <c r="F170" s="1721">
        <f>SUM('Revenues 9-14'!C265:D265,'Revenues 9-14'!F265:G265)</f>
        <v>4015539</v>
      </c>
      <c r="G170" s="927"/>
    </row>
    <row r="171" spans="1:7" x14ac:dyDescent="0.2">
      <c r="A171" s="1850" t="s">
        <v>5</v>
      </c>
      <c r="B171" s="1851" t="s">
        <v>1896</v>
      </c>
      <c r="C171" s="1852">
        <v>3100</v>
      </c>
      <c r="D171" s="1853" t="s">
        <v>1898</v>
      </c>
      <c r="E171" s="906"/>
      <c r="F171" s="1838">
        <v>376018403</v>
      </c>
      <c r="G171" s="927"/>
    </row>
    <row r="172" spans="1:7" x14ac:dyDescent="0.2">
      <c r="A172" s="1850" t="s">
        <v>664</v>
      </c>
      <c r="B172" s="1851" t="s">
        <v>1896</v>
      </c>
      <c r="C172" s="1852">
        <v>3300</v>
      </c>
      <c r="D172" s="1853" t="s">
        <v>1899</v>
      </c>
      <c r="E172" s="906"/>
      <c r="F172" s="1838">
        <v>40124761</v>
      </c>
      <c r="G172" s="927"/>
    </row>
    <row r="173" spans="1:7" ht="6" customHeight="1" x14ac:dyDescent="0.2">
      <c r="A173" s="927"/>
      <c r="B173" s="927"/>
      <c r="C173" s="949"/>
      <c r="D173" s="927"/>
      <c r="E173" s="906"/>
      <c r="F173" s="950"/>
      <c r="G173" s="947"/>
    </row>
    <row r="174" spans="1:7" x14ac:dyDescent="0.2">
      <c r="A174" s="1702"/>
      <c r="B174" s="1716"/>
      <c r="C174" s="1717"/>
      <c r="D174" s="1718" t="s">
        <v>2031</v>
      </c>
      <c r="E174" s="1719" t="s">
        <v>958</v>
      </c>
      <c r="F174" s="1720">
        <f>SUM(F84:F132,F157:F172)</f>
        <v>1254449328</v>
      </c>
    </row>
    <row r="175" spans="1:7" ht="12" customHeight="1" x14ac:dyDescent="0.2">
      <c r="A175" s="1702"/>
      <c r="B175" s="1716"/>
      <c r="C175" s="1717"/>
      <c r="D175" s="1718" t="s">
        <v>2032</v>
      </c>
      <c r="E175" s="1719"/>
      <c r="F175" s="1721">
        <f>'PCTC-OEPP 27-28'!F77-F174</f>
        <v>4299609372</v>
      </c>
    </row>
    <row r="176" spans="1:7" ht="12" customHeight="1" x14ac:dyDescent="0.2">
      <c r="A176" s="1702"/>
      <c r="B176" s="1716"/>
      <c r="C176" s="1717"/>
      <c r="D176" s="1718" t="s">
        <v>1795</v>
      </c>
      <c r="E176" s="1719"/>
      <c r="F176" s="1721">
        <f>'Cap Outlay Deprec 26'!I18</f>
        <v>305368918.89999998</v>
      </c>
    </row>
    <row r="177" spans="1:7" ht="12" customHeight="1" x14ac:dyDescent="0.2">
      <c r="A177" s="1702"/>
      <c r="B177" s="1716"/>
      <c r="C177" s="1717"/>
      <c r="D177" s="1718" t="s">
        <v>2033</v>
      </c>
      <c r="E177" s="1719"/>
      <c r="F177" s="1721">
        <f>F175+F176</f>
        <v>4604978290.8999996</v>
      </c>
    </row>
    <row r="178" spans="1:7" ht="12" customHeight="1" x14ac:dyDescent="0.2">
      <c r="A178" s="1702"/>
      <c r="B178" s="1722"/>
      <c r="C178" s="1717"/>
      <c r="D178" s="1718" t="str">
        <f>D78</f>
        <v>9 Month ADA from District Average Daily Attendance/Prior General State Aid Inquiry 2018-2019</v>
      </c>
      <c r="E178" s="1719"/>
      <c r="F178" s="1723">
        <f>'PCTC-OEPP 27-28'!F78</f>
        <v>328091.09999999998</v>
      </c>
      <c r="G178" s="930"/>
    </row>
    <row r="179" spans="1:7" ht="12" customHeight="1" thickBot="1" x14ac:dyDescent="0.25">
      <c r="A179" s="1702"/>
      <c r="B179" s="1722"/>
      <c r="C179" s="1717"/>
      <c r="D179" s="1718" t="s">
        <v>2034</v>
      </c>
      <c r="E179" s="1719" t="s">
        <v>1540</v>
      </c>
      <c r="F179" s="1724">
        <f>F177/F178</f>
        <v>14035.66963840226</v>
      </c>
      <c r="G179" s="856">
        <v>6323</v>
      </c>
    </row>
    <row r="180" spans="1:7" ht="12" thickTop="1" x14ac:dyDescent="0.2">
      <c r="B180" s="930"/>
      <c r="C180" s="949"/>
      <c r="D180" s="930"/>
      <c r="E180" s="949"/>
      <c r="F180" s="930"/>
      <c r="G180" s="951">
        <v>6326</v>
      </c>
    </row>
    <row r="181" spans="1:7" ht="12.2" customHeight="1" x14ac:dyDescent="0.2">
      <c r="A181" s="930" t="s">
        <v>1897</v>
      </c>
      <c r="B181" s="930"/>
      <c r="C181" s="949"/>
      <c r="D181" s="930"/>
      <c r="E181" s="949"/>
      <c r="F181" s="930"/>
      <c r="G181" s="930"/>
    </row>
    <row r="182" spans="1:7" s="1854" customFormat="1" ht="12.2" customHeight="1" x14ac:dyDescent="0.2">
      <c r="A182" s="1854" t="s">
        <v>1969</v>
      </c>
      <c r="B182" s="1855"/>
      <c r="C182" s="1856"/>
      <c r="D182" s="1855"/>
      <c r="E182" s="1856"/>
      <c r="F182" s="1855"/>
      <c r="G182" s="1855"/>
    </row>
    <row r="183" spans="1:7" s="1854" customFormat="1" ht="12.2" customHeight="1" x14ac:dyDescent="0.2">
      <c r="A183" s="1857" t="s">
        <v>1971</v>
      </c>
      <c r="C183" s="1856"/>
      <c r="D183" s="1855"/>
      <c r="E183" s="1856"/>
      <c r="F183" s="1855"/>
      <c r="G183" s="1855"/>
    </row>
    <row r="184" spans="1:7" ht="12" customHeight="1" x14ac:dyDescent="0.2">
      <c r="C184" s="949"/>
      <c r="D184" s="930"/>
      <c r="E184" s="949"/>
      <c r="F184" s="930"/>
      <c r="G184" s="930"/>
    </row>
    <row r="185" spans="1:7" x14ac:dyDescent="0.2">
      <c r="A185" s="1858" t="s">
        <v>1901</v>
      </c>
      <c r="B185" s="1859" t="s">
        <v>1900</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6"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2D050"/>
    <pageSetUpPr fitToPage="1"/>
  </sheetPr>
  <dimension ref="A1:H136"/>
  <sheetViews>
    <sheetView showGridLines="0" topLeftCell="A16" zoomScaleNormal="100" workbookViewId="0">
      <selection activeCell="B47" sqref="B47"/>
    </sheetView>
  </sheetViews>
  <sheetFormatPr defaultRowHeight="15" x14ac:dyDescent="0.25"/>
  <cols>
    <col min="1" max="1" width="52" style="1475" customWidth="1"/>
    <col min="2" max="2" width="16.42578125" style="1476" bestFit="1" customWidth="1"/>
    <col min="3" max="3" width="33.7109375" style="1476" customWidth="1"/>
    <col min="4" max="4" width="16.28515625" style="1477" customWidth="1"/>
    <col min="5" max="5" width="13.140625" style="1477" customWidth="1"/>
    <col min="6" max="6" width="23.5703125" style="1477" customWidth="1"/>
    <col min="7" max="7" width="23.28515625" style="1476" customWidth="1"/>
    <col min="8" max="16384" width="9.140625" style="1466"/>
  </cols>
  <sheetData>
    <row r="1" spans="1:7" ht="15" customHeight="1" x14ac:dyDescent="0.25">
      <c r="A1" s="1592" t="s">
        <v>1810</v>
      </c>
      <c r="B1" s="1593"/>
      <c r="C1" s="1593"/>
      <c r="D1" s="1593"/>
      <c r="E1" s="1593"/>
      <c r="F1" s="1593"/>
      <c r="G1" s="1593"/>
    </row>
    <row r="2" spans="1:7" x14ac:dyDescent="0.25">
      <c r="A2" s="1590"/>
      <c r="B2" s="1590"/>
      <c r="C2" s="1591" t="s">
        <v>979</v>
      </c>
      <c r="D2" s="1590"/>
      <c r="E2" s="1590"/>
      <c r="F2" s="1590"/>
      <c r="G2" s="1590"/>
    </row>
    <row r="3" spans="1:7" ht="5.25" customHeight="1" x14ac:dyDescent="0.25">
      <c r="A3" s="1478"/>
      <c r="B3" s="1478"/>
      <c r="C3" s="1478"/>
      <c r="D3" s="1478"/>
      <c r="E3" s="1478"/>
      <c r="F3" s="1478"/>
      <c r="G3" s="1478"/>
    </row>
    <row r="4" spans="1:7" ht="18.75" customHeight="1" x14ac:dyDescent="0.25">
      <c r="A4" s="2307" t="s">
        <v>1796</v>
      </c>
      <c r="B4" s="2308"/>
      <c r="C4" s="2308"/>
      <c r="D4" s="2308"/>
      <c r="E4" s="2308"/>
      <c r="F4" s="2308"/>
      <c r="G4" s="2309"/>
    </row>
    <row r="5" spans="1:7" x14ac:dyDescent="0.25">
      <c r="A5" s="2310"/>
      <c r="B5" s="2311"/>
      <c r="C5" s="2311"/>
      <c r="D5" s="2311"/>
      <c r="E5" s="2311"/>
      <c r="F5" s="2311"/>
      <c r="G5" s="2312"/>
    </row>
    <row r="6" spans="1:7" ht="18.75" x14ac:dyDescent="0.25">
      <c r="A6" s="1867" t="s">
        <v>2041</v>
      </c>
      <c r="B6" s="1868"/>
      <c r="C6" s="1868"/>
      <c r="D6" s="1868"/>
      <c r="E6" s="1868"/>
      <c r="F6" s="1868"/>
      <c r="G6" s="1869"/>
    </row>
    <row r="7" spans="1:7" ht="18.75" x14ac:dyDescent="0.25">
      <c r="A7" s="1467" t="s">
        <v>1797</v>
      </c>
      <c r="B7" s="1468"/>
      <c r="C7" s="1468"/>
      <c r="D7" s="1468"/>
      <c r="E7" s="1468"/>
      <c r="F7" s="1468"/>
      <c r="G7" s="1469"/>
    </row>
    <row r="8" spans="1:7" ht="30.75" customHeight="1" x14ac:dyDescent="0.25">
      <c r="A8" s="2313" t="s">
        <v>1908</v>
      </c>
      <c r="B8" s="2314"/>
      <c r="C8" s="2314"/>
      <c r="D8" s="2314"/>
      <c r="E8" s="2314"/>
      <c r="F8" s="2314"/>
      <c r="G8" s="2315"/>
    </row>
    <row r="9" spans="1:7" ht="15.75" customHeight="1" x14ac:dyDescent="0.25">
      <c r="A9" s="2316" t="s">
        <v>1883</v>
      </c>
      <c r="B9" s="2317"/>
      <c r="C9" s="2317"/>
      <c r="D9" s="2317"/>
      <c r="E9" s="2317"/>
      <c r="F9" s="2317"/>
      <c r="G9" s="2318"/>
    </row>
    <row r="10" spans="1:7" ht="35.25" customHeight="1" x14ac:dyDescent="0.25">
      <c r="A10" s="2313" t="s">
        <v>2040</v>
      </c>
      <c r="B10" s="2314"/>
      <c r="C10" s="2314"/>
      <c r="D10" s="2314"/>
      <c r="E10" s="2314"/>
      <c r="F10" s="2314"/>
      <c r="G10" s="2315"/>
    </row>
    <row r="11" spans="1:7" ht="15" customHeight="1" x14ac:dyDescent="0.25">
      <c r="A11" s="1470" t="s">
        <v>1798</v>
      </c>
      <c r="B11" s="1471"/>
      <c r="C11" s="1471"/>
      <c r="D11" s="1471"/>
      <c r="E11" s="1471"/>
      <c r="F11" s="1471"/>
      <c r="G11" s="1472"/>
    </row>
    <row r="12" spans="1:7" ht="17.25" customHeight="1" x14ac:dyDescent="0.25">
      <c r="A12" s="2313" t="s">
        <v>1910</v>
      </c>
      <c r="B12" s="2314"/>
      <c r="C12" s="2314"/>
      <c r="D12" s="2314"/>
      <c r="E12" s="2314"/>
      <c r="F12" s="2314"/>
      <c r="G12" s="2315"/>
    </row>
    <row r="13" spans="1:7" ht="15" customHeight="1" x14ac:dyDescent="0.25">
      <c r="A13" s="1470" t="s">
        <v>1803</v>
      </c>
      <c r="B13" s="1471"/>
      <c r="C13" s="1471"/>
      <c r="D13" s="1471"/>
      <c r="E13" s="1471"/>
      <c r="F13" s="1471"/>
      <c r="G13" s="1472"/>
    </row>
    <row r="14" spans="1:7" ht="32.25" customHeight="1" x14ac:dyDescent="0.25">
      <c r="A14" s="2304" t="s">
        <v>1951</v>
      </c>
      <c r="B14" s="2305"/>
      <c r="C14" s="2305"/>
      <c r="D14" s="2305"/>
      <c r="E14" s="2305"/>
      <c r="F14" s="2305"/>
      <c r="G14" s="2306"/>
    </row>
    <row r="15" spans="1:7" x14ac:dyDescent="0.25">
      <c r="A15" s="1594" t="s">
        <v>1811</v>
      </c>
      <c r="B15" s="1595"/>
      <c r="C15" s="1595"/>
      <c r="D15" s="1595"/>
      <c r="E15" s="1595"/>
      <c r="F15" s="1595"/>
      <c r="G15" s="1596"/>
    </row>
    <row r="16" spans="1:7" ht="61.5" customHeight="1" x14ac:dyDescent="0.25">
      <c r="A16" s="1479" t="s">
        <v>1804</v>
      </c>
      <c r="B16" s="1479" t="s">
        <v>1805</v>
      </c>
      <c r="C16" s="1479" t="s">
        <v>1806</v>
      </c>
      <c r="D16" s="1480" t="s">
        <v>1807</v>
      </c>
      <c r="E16" s="1480" t="s">
        <v>1799</v>
      </c>
      <c r="F16" s="1480" t="s">
        <v>1808</v>
      </c>
      <c r="G16" s="1480" t="s">
        <v>1809</v>
      </c>
    </row>
    <row r="17" spans="1:8" x14ac:dyDescent="0.25">
      <c r="A17" s="1581" t="s">
        <v>1812</v>
      </c>
      <c r="B17" s="1582" t="s">
        <v>1802</v>
      </c>
      <c r="C17" s="1583" t="s">
        <v>1800</v>
      </c>
      <c r="D17" s="1584">
        <v>500000</v>
      </c>
      <c r="E17" s="1584">
        <f>IF(D17&lt;=25000,D17,IF(D17&gt;25000,25000,0))</f>
        <v>25000</v>
      </c>
      <c r="F17" s="1584">
        <f>(IF(D17="",0,(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Check func/obj # in Colm B"))))</f>
        <v>25000</v>
      </c>
      <c r="G17" s="1585">
        <f>IF(F17=0,"0",D17-F17)</f>
        <v>475000</v>
      </c>
    </row>
    <row r="18" spans="1:8" x14ac:dyDescent="0.25">
      <c r="A18" s="1976" t="s">
        <v>2421</v>
      </c>
      <c r="B18" s="1973" t="s">
        <v>2390</v>
      </c>
      <c r="C18" s="1977" t="s">
        <v>2452</v>
      </c>
      <c r="D18" s="1776">
        <v>16052583</v>
      </c>
      <c r="E18" s="1473">
        <f>IF(D18&lt;=25000,D18,IF(D18&gt;25000,25000,0))*33</f>
        <v>825000</v>
      </c>
      <c r="F18" s="1866">
        <f t="shared" ref="F18:F75" si="0">(IF(D18="",0,(IF(OR(B18="10-1000-100",B18="10-1000-200",B18="10-1000-300",B18="10-1000-400",B18="10-1000-600",B18="10-1000-800",B18="50-1000-200",B18="10-2100-100",B18="10-2100-200",B18="10-2100-300",B18="10-2100-400",B18="10-2100-600",B18="10-2100-800",B18="20-2100-100",B18="20-2100-200",B18="20-2100-300",B18="20-2100-400",B18="20-2100-600",B18="20-2100-800",B18="40-2100-100",B18="40-2100-200",B18="40-2100-300",B18="40-2100-400",B18="40-2100-600",B18="40-2100-800",B18="50-2100-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10-2540-800",B18="20-2540-100",B18="20-2540-200",B18="20-2540-300",B18="20-2540-400",B18="20-2540-600",B18="20-2540-800",B18="50-2540-200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10-3000-100",B18="10-3000-200",B18="10-3000-300",B18="10-3000-400",B18="10-3000-600",B18="10-3000-800",B18="20-3000-100",B18="20-3000-200",B18="20-3000-300",B18="20-3000-400",B18="20-3000-600",B18="20-3000-800",B18="40-3000-100",B18="40-3000-200",B18="40-3000-300",B18="40-3000-400",B18="40-3000-600",B18="40-3000-800",B18="50-3000-200"),E18,"Check func/obj # in Colm B"))))</f>
        <v>825000</v>
      </c>
      <c r="G18" s="1725">
        <f>IF(F18=0,0,D18-F18)</f>
        <v>15227583</v>
      </c>
      <c r="H18" s="1580"/>
    </row>
    <row r="19" spans="1:8" x14ac:dyDescent="0.25">
      <c r="A19" s="1976" t="s">
        <v>2422</v>
      </c>
      <c r="B19" s="1973" t="s">
        <v>2391</v>
      </c>
      <c r="C19" s="1977" t="s">
        <v>2452</v>
      </c>
      <c r="D19" s="1776">
        <v>23619134</v>
      </c>
      <c r="E19" s="1473">
        <f>IF(D19&lt;=25000,D19,IF(D19&gt;25000,25000,0))*31</f>
        <v>775000</v>
      </c>
      <c r="F19" s="1866">
        <f t="shared" si="0"/>
        <v>775000</v>
      </c>
      <c r="G19" s="1725">
        <f t="shared" ref="G19:G135" si="1">IF(F19=0,0,D19-F19)</f>
        <v>22844134</v>
      </c>
    </row>
    <row r="20" spans="1:8" x14ac:dyDescent="0.25">
      <c r="A20" s="1976" t="s">
        <v>2423</v>
      </c>
      <c r="B20" s="1973" t="s">
        <v>2392</v>
      </c>
      <c r="C20" s="1977" t="s">
        <v>2452</v>
      </c>
      <c r="D20" s="1776">
        <v>17513673</v>
      </c>
      <c r="E20" s="1473">
        <f>IF(D20&lt;=25000,D20,IF(D20&gt;25000,25000,0))*37</f>
        <v>925000</v>
      </c>
      <c r="F20" s="1866">
        <f t="shared" si="0"/>
        <v>925000</v>
      </c>
      <c r="G20" s="1725">
        <f t="shared" si="1"/>
        <v>16588673</v>
      </c>
    </row>
    <row r="21" spans="1:8" x14ac:dyDescent="0.25">
      <c r="A21" s="1976" t="s">
        <v>2424</v>
      </c>
      <c r="B21" s="1973" t="s">
        <v>2393</v>
      </c>
      <c r="C21" s="1977" t="s">
        <v>2452</v>
      </c>
      <c r="D21" s="1776">
        <v>323976</v>
      </c>
      <c r="E21" s="1473">
        <f>IF(D21&lt;=25000,D21,IF(D21&gt;25000,25000,0))*2</f>
        <v>50000</v>
      </c>
      <c r="F21" s="1866">
        <f t="shared" si="0"/>
        <v>50000</v>
      </c>
      <c r="G21" s="1725">
        <f t="shared" si="1"/>
        <v>273976</v>
      </c>
    </row>
    <row r="22" spans="1:8" x14ac:dyDescent="0.25">
      <c r="A22" s="1976" t="s">
        <v>2425</v>
      </c>
      <c r="B22" s="1973" t="s">
        <v>2394</v>
      </c>
      <c r="C22" s="1977" t="s">
        <v>2452</v>
      </c>
      <c r="D22" s="1776">
        <v>12732739</v>
      </c>
      <c r="E22" s="1473">
        <f>IF(D22&lt;=25000,D22,IF(D22&gt;25000,25000,0))*35</f>
        <v>875000</v>
      </c>
      <c r="F22" s="1866">
        <f t="shared" si="0"/>
        <v>875000</v>
      </c>
      <c r="G22" s="1725">
        <f t="shared" si="1"/>
        <v>11857739</v>
      </c>
    </row>
    <row r="23" spans="1:8" x14ac:dyDescent="0.25">
      <c r="A23" s="1976" t="s">
        <v>2426</v>
      </c>
      <c r="B23" s="1973" t="s">
        <v>2416</v>
      </c>
      <c r="C23" s="1977" t="s">
        <v>2452</v>
      </c>
      <c r="D23" s="1776">
        <v>15334002</v>
      </c>
      <c r="E23" s="1473">
        <f>IF(D23&lt;=25000,D23,IF(D23&gt;25000,25000,0))*6</f>
        <v>150000</v>
      </c>
      <c r="F23" s="1866">
        <f t="shared" si="0"/>
        <v>150000</v>
      </c>
      <c r="G23" s="1725">
        <f t="shared" si="1"/>
        <v>15184002</v>
      </c>
    </row>
    <row r="24" spans="1:8" x14ac:dyDescent="0.25">
      <c r="A24" s="1976" t="s">
        <v>2427</v>
      </c>
      <c r="B24" s="1973" t="s">
        <v>2395</v>
      </c>
      <c r="C24" s="1977" t="s">
        <v>2452</v>
      </c>
      <c r="D24" s="1776">
        <v>1432041</v>
      </c>
      <c r="E24" s="1473">
        <f>IF(D24&lt;=25000,D24,IF(D24&gt;25000,25000,0))*6</f>
        <v>150000</v>
      </c>
      <c r="F24" s="1866">
        <f t="shared" si="0"/>
        <v>150000</v>
      </c>
      <c r="G24" s="1725">
        <f t="shared" si="1"/>
        <v>1282041</v>
      </c>
    </row>
    <row r="25" spans="1:8" x14ac:dyDescent="0.25">
      <c r="A25" s="1976" t="s">
        <v>2428</v>
      </c>
      <c r="B25" s="1973" t="s">
        <v>2396</v>
      </c>
      <c r="C25" s="1977" t="s">
        <v>2452</v>
      </c>
      <c r="D25" s="1776">
        <v>1270043</v>
      </c>
      <c r="E25" s="1473">
        <f>IF(D25&lt;=25000,D25,IF(D25&gt;25000,25000,0))*13</f>
        <v>325000</v>
      </c>
      <c r="F25" s="1866">
        <f t="shared" si="0"/>
        <v>325000</v>
      </c>
      <c r="G25" s="1725">
        <f t="shared" si="1"/>
        <v>945043</v>
      </c>
    </row>
    <row r="26" spans="1:8" x14ac:dyDescent="0.25">
      <c r="A26" s="1976" t="s">
        <v>2429</v>
      </c>
      <c r="B26" s="1973" t="s">
        <v>2397</v>
      </c>
      <c r="C26" s="1977" t="s">
        <v>2452</v>
      </c>
      <c r="D26" s="1776">
        <v>12211171</v>
      </c>
      <c r="E26" s="1473">
        <f>IF(D26&lt;=25000,D26,IF(D26&gt;25000,25000,0))*1</f>
        <v>25000</v>
      </c>
      <c r="F26" s="1866">
        <f t="shared" si="0"/>
        <v>25000</v>
      </c>
      <c r="G26" s="1725">
        <f t="shared" si="1"/>
        <v>12186171</v>
      </c>
    </row>
    <row r="27" spans="1:8" x14ac:dyDescent="0.25">
      <c r="A27" s="1976" t="s">
        <v>2430</v>
      </c>
      <c r="B27" s="1973" t="s">
        <v>2398</v>
      </c>
      <c r="C27" s="1977" t="s">
        <v>2452</v>
      </c>
      <c r="D27" s="1776">
        <v>2791578</v>
      </c>
      <c r="E27" s="1473">
        <f>IF(D27&lt;=25000,D27,IF(D27&gt;25000,25000,0))*1</f>
        <v>25000</v>
      </c>
      <c r="F27" s="1866">
        <f t="shared" si="0"/>
        <v>25000</v>
      </c>
      <c r="G27" s="1725">
        <f t="shared" si="1"/>
        <v>2766578</v>
      </c>
    </row>
    <row r="28" spans="1:8" x14ac:dyDescent="0.25">
      <c r="A28" s="1976" t="s">
        <v>2431</v>
      </c>
      <c r="B28" s="1973" t="s">
        <v>2399</v>
      </c>
      <c r="C28" s="1977" t="s">
        <v>2452</v>
      </c>
      <c r="D28" s="1776">
        <v>609083</v>
      </c>
      <c r="E28" s="1473">
        <f t="shared" ref="E28:E135" si="2">IF(D28&lt;=25000,D28,IF(D28&gt;25000,25000,0))</f>
        <v>25000</v>
      </c>
      <c r="F28" s="1866">
        <f t="shared" si="0"/>
        <v>25000</v>
      </c>
      <c r="G28" s="1725">
        <f t="shared" si="1"/>
        <v>584083</v>
      </c>
    </row>
    <row r="29" spans="1:8" x14ac:dyDescent="0.25">
      <c r="A29" s="1976" t="s">
        <v>2432</v>
      </c>
      <c r="B29" s="1973" t="s">
        <v>2417</v>
      </c>
      <c r="C29" s="1977" t="s">
        <v>2452</v>
      </c>
      <c r="D29" s="1776">
        <v>4242984</v>
      </c>
      <c r="E29" s="1473">
        <f>IF(D29&lt;=25000,D29,IF(D29&gt;25000,25000,0))*18</f>
        <v>450000</v>
      </c>
      <c r="F29" s="1866">
        <f t="shared" si="0"/>
        <v>450000</v>
      </c>
      <c r="G29" s="1725">
        <f t="shared" si="1"/>
        <v>3792984</v>
      </c>
    </row>
    <row r="30" spans="1:8" x14ac:dyDescent="0.25">
      <c r="A30" s="1976" t="s">
        <v>2433</v>
      </c>
      <c r="B30" s="1973" t="s">
        <v>2400</v>
      </c>
      <c r="C30" s="1977" t="s">
        <v>2452</v>
      </c>
      <c r="D30" s="1776">
        <v>48048555</v>
      </c>
      <c r="E30" s="1473">
        <f>IF(D30&lt;=25000,D30,IF(D30&gt;25000,25000,0))*46</f>
        <v>1150000</v>
      </c>
      <c r="F30" s="1866">
        <f t="shared" si="0"/>
        <v>1150000</v>
      </c>
      <c r="G30" s="1725">
        <f t="shared" si="1"/>
        <v>46898555</v>
      </c>
    </row>
    <row r="31" spans="1:8" x14ac:dyDescent="0.25">
      <c r="A31" s="1976" t="s">
        <v>2434</v>
      </c>
      <c r="B31" s="1973" t="s">
        <v>2401</v>
      </c>
      <c r="C31" s="1977" t="s">
        <v>2452</v>
      </c>
      <c r="D31" s="1776">
        <v>1257615</v>
      </c>
      <c r="E31" s="1473">
        <f>IF(D31&lt;=25000,D31,IF(D31&gt;25000,25000,0))*2</f>
        <v>50000</v>
      </c>
      <c r="F31" s="1866">
        <f t="shared" si="0"/>
        <v>50000</v>
      </c>
      <c r="G31" s="1725">
        <f t="shared" si="1"/>
        <v>1207615</v>
      </c>
    </row>
    <row r="32" spans="1:8" x14ac:dyDescent="0.25">
      <c r="A32" s="1976" t="s">
        <v>2435</v>
      </c>
      <c r="B32" s="1973" t="s">
        <v>2402</v>
      </c>
      <c r="C32" s="1977" t="s">
        <v>2452</v>
      </c>
      <c r="D32" s="1776">
        <v>92977146</v>
      </c>
      <c r="E32" s="1473">
        <f>IF(D32&lt;=25000,D32,IF(D32&gt;25000,25000,0))*19</f>
        <v>475000</v>
      </c>
      <c r="F32" s="1866">
        <f t="shared" si="0"/>
        <v>475000</v>
      </c>
      <c r="G32" s="1725">
        <f t="shared" si="1"/>
        <v>92502146</v>
      </c>
    </row>
    <row r="33" spans="1:7" x14ac:dyDescent="0.25">
      <c r="A33" s="1976" t="s">
        <v>2436</v>
      </c>
      <c r="B33" s="1973" t="s">
        <v>2403</v>
      </c>
      <c r="C33" s="1977" t="s">
        <v>2452</v>
      </c>
      <c r="D33" s="1776">
        <v>54000</v>
      </c>
      <c r="E33" s="1473">
        <f t="shared" si="2"/>
        <v>25000</v>
      </c>
      <c r="F33" s="1866">
        <f t="shared" si="0"/>
        <v>25000</v>
      </c>
      <c r="G33" s="1725">
        <f t="shared" si="1"/>
        <v>29000</v>
      </c>
    </row>
    <row r="34" spans="1:7" x14ac:dyDescent="0.25">
      <c r="A34" s="1976" t="s">
        <v>2437</v>
      </c>
      <c r="B34" s="1973" t="s">
        <v>2404</v>
      </c>
      <c r="C34" s="1977" t="s">
        <v>2452</v>
      </c>
      <c r="D34" s="1776">
        <v>4597273</v>
      </c>
      <c r="E34" s="1473">
        <f>IF(D34&lt;=25000,D34,IF(D34&gt;25000,25000,0))*10</f>
        <v>250000</v>
      </c>
      <c r="F34" s="1866">
        <f t="shared" si="0"/>
        <v>250000</v>
      </c>
      <c r="G34" s="1725">
        <f t="shared" si="1"/>
        <v>4347273</v>
      </c>
    </row>
    <row r="35" spans="1:7" x14ac:dyDescent="0.25">
      <c r="A35" s="1976" t="s">
        <v>2438</v>
      </c>
      <c r="B35" s="1973" t="s">
        <v>2405</v>
      </c>
      <c r="C35" s="1977" t="s">
        <v>2452</v>
      </c>
      <c r="D35" s="1776">
        <v>86178033</v>
      </c>
      <c r="E35" s="1473">
        <f>IF(D35&lt;=25000,D35,IF(D35&gt;25000,25000,0))*2</f>
        <v>50000</v>
      </c>
      <c r="F35" s="1866">
        <f t="shared" si="0"/>
        <v>50000</v>
      </c>
      <c r="G35" s="1725">
        <f t="shared" si="1"/>
        <v>86128033</v>
      </c>
    </row>
    <row r="36" spans="1:7" x14ac:dyDescent="0.25">
      <c r="A36" s="1976" t="s">
        <v>2439</v>
      </c>
      <c r="B36" s="1973" t="s">
        <v>2406</v>
      </c>
      <c r="C36" s="1977" t="s">
        <v>2452</v>
      </c>
      <c r="D36" s="1776">
        <v>165000</v>
      </c>
      <c r="E36" s="1473">
        <f>IF(D36&lt;=25000,D36,IF(D36&gt;25000,25000,0))</f>
        <v>25000</v>
      </c>
      <c r="F36" s="1866">
        <f t="shared" si="0"/>
        <v>25000</v>
      </c>
      <c r="G36" s="1725">
        <f t="shared" si="1"/>
        <v>140000</v>
      </c>
    </row>
    <row r="37" spans="1:7" x14ac:dyDescent="0.25">
      <c r="A37" s="1976" t="s">
        <v>2440</v>
      </c>
      <c r="B37" s="1974" t="s">
        <v>2407</v>
      </c>
      <c r="C37" s="1977" t="s">
        <v>2452</v>
      </c>
      <c r="D37" s="1776">
        <v>328829</v>
      </c>
      <c r="E37" s="1473">
        <f t="shared" si="2"/>
        <v>25000</v>
      </c>
      <c r="F37" s="1866">
        <f t="shared" si="0"/>
        <v>25000</v>
      </c>
      <c r="G37" s="1725">
        <f t="shared" si="1"/>
        <v>303829</v>
      </c>
    </row>
    <row r="38" spans="1:7" x14ac:dyDescent="0.25">
      <c r="A38" s="1976" t="s">
        <v>2441</v>
      </c>
      <c r="B38" s="1974" t="s">
        <v>2408</v>
      </c>
      <c r="C38" s="1977" t="s">
        <v>2452</v>
      </c>
      <c r="D38" s="1776">
        <v>355806</v>
      </c>
      <c r="E38" s="1473">
        <f t="shared" si="2"/>
        <v>25000</v>
      </c>
      <c r="F38" s="1866">
        <f t="shared" si="0"/>
        <v>25000</v>
      </c>
      <c r="G38" s="1725">
        <f t="shared" si="1"/>
        <v>330806</v>
      </c>
    </row>
    <row r="39" spans="1:7" x14ac:dyDescent="0.25">
      <c r="A39" s="1976" t="s">
        <v>2442</v>
      </c>
      <c r="B39" s="1974" t="s">
        <v>2409</v>
      </c>
      <c r="C39" s="1977" t="s">
        <v>2452</v>
      </c>
      <c r="D39" s="1776">
        <v>1147536</v>
      </c>
      <c r="E39" s="1473">
        <f>IF(D39&lt;=25000,D39,IF(D39&gt;25000,25000,0))*7</f>
        <v>175000</v>
      </c>
      <c r="F39" s="1866">
        <f t="shared" si="0"/>
        <v>175000</v>
      </c>
      <c r="G39" s="1725">
        <f t="shared" si="1"/>
        <v>972536</v>
      </c>
    </row>
    <row r="40" spans="1:7" x14ac:dyDescent="0.25">
      <c r="A40" s="1976" t="s">
        <v>2443</v>
      </c>
      <c r="B40" s="1974" t="s">
        <v>2410</v>
      </c>
      <c r="C40" s="1977" t="s">
        <v>2452</v>
      </c>
      <c r="D40" s="1776">
        <v>47750</v>
      </c>
      <c r="E40" s="1473">
        <f t="shared" si="2"/>
        <v>25000</v>
      </c>
      <c r="F40" s="1866">
        <f t="shared" si="0"/>
        <v>25000</v>
      </c>
      <c r="G40" s="1725">
        <f t="shared" si="1"/>
        <v>22750</v>
      </c>
    </row>
    <row r="41" spans="1:7" x14ac:dyDescent="0.25">
      <c r="A41" s="1976" t="s">
        <v>2444</v>
      </c>
      <c r="B41" s="1974" t="s">
        <v>2411</v>
      </c>
      <c r="C41" s="1977" t="s">
        <v>2452</v>
      </c>
      <c r="D41" s="1776">
        <v>23985834</v>
      </c>
      <c r="E41" s="1473">
        <f>IF(D41&lt;=25000,D41,IF(D41&gt;25000,25000,0))*39</f>
        <v>975000</v>
      </c>
      <c r="F41" s="1866">
        <f t="shared" si="0"/>
        <v>975000</v>
      </c>
      <c r="G41" s="1725">
        <f t="shared" si="1"/>
        <v>23010834</v>
      </c>
    </row>
    <row r="42" spans="1:7" x14ac:dyDescent="0.25">
      <c r="A42" s="1976" t="s">
        <v>2445</v>
      </c>
      <c r="B42" s="1974" t="s">
        <v>2412</v>
      </c>
      <c r="C42" s="1977" t="s">
        <v>2452</v>
      </c>
      <c r="D42" s="1776">
        <v>9885142</v>
      </c>
      <c r="E42" s="1473">
        <f>IF(D42&lt;=25000,D42,IF(D42&gt;25000,25000,0))*17</f>
        <v>425000</v>
      </c>
      <c r="F42" s="1866">
        <f t="shared" si="0"/>
        <v>425000</v>
      </c>
      <c r="G42" s="1725">
        <f t="shared" si="1"/>
        <v>9460142</v>
      </c>
    </row>
    <row r="43" spans="1:7" x14ac:dyDescent="0.25">
      <c r="A43" s="1976" t="s">
        <v>2446</v>
      </c>
      <c r="B43" s="1974" t="s">
        <v>2413</v>
      </c>
      <c r="C43" s="1977" t="s">
        <v>2452</v>
      </c>
      <c r="D43" s="1776">
        <v>363444</v>
      </c>
      <c r="E43" s="1473">
        <f>IF(D43&lt;=25000,D43,IF(D43&gt;25000,25000,0))*4</f>
        <v>100000</v>
      </c>
      <c r="F43" s="1866">
        <f t="shared" si="0"/>
        <v>100000</v>
      </c>
      <c r="G43" s="1725">
        <f t="shared" si="1"/>
        <v>263444</v>
      </c>
    </row>
    <row r="44" spans="1:7" x14ac:dyDescent="0.25">
      <c r="A44" s="1976" t="s">
        <v>2447</v>
      </c>
      <c r="B44" s="1974" t="s">
        <v>2414</v>
      </c>
      <c r="C44" s="1977" t="s">
        <v>2452</v>
      </c>
      <c r="D44" s="1776">
        <v>22881040</v>
      </c>
      <c r="E44" s="1473">
        <f>IF(D44&lt;=25000,D44,IF(D44&gt;25000,25000,0))*19</f>
        <v>475000</v>
      </c>
      <c r="F44" s="1866">
        <f t="shared" si="0"/>
        <v>475000</v>
      </c>
      <c r="G44" s="1725">
        <f t="shared" si="1"/>
        <v>22406040</v>
      </c>
    </row>
    <row r="45" spans="1:7" x14ac:dyDescent="0.25">
      <c r="A45" s="1976" t="s">
        <v>2448</v>
      </c>
      <c r="B45" s="1974" t="s">
        <v>2415</v>
      </c>
      <c r="C45" s="1977" t="s">
        <v>2452</v>
      </c>
      <c r="D45" s="1776">
        <v>374352</v>
      </c>
      <c r="E45" s="1473">
        <f>IF(D45&lt;=25000,D45,IF(D45&gt;25000,25000,0))*3</f>
        <v>75000</v>
      </c>
      <c r="F45" s="1866">
        <f t="shared" si="0"/>
        <v>75000</v>
      </c>
      <c r="G45" s="1725">
        <f t="shared" si="1"/>
        <v>299352</v>
      </c>
    </row>
    <row r="46" spans="1:7" x14ac:dyDescent="0.25">
      <c r="A46" s="1976" t="s">
        <v>2449</v>
      </c>
      <c r="B46" s="1974" t="s">
        <v>2419</v>
      </c>
      <c r="C46" s="1977" t="s">
        <v>2452</v>
      </c>
      <c r="D46" s="1776">
        <v>239919869</v>
      </c>
      <c r="E46" s="1473">
        <f>IF(D46&lt;=25000,D46,IF(D46&gt;25000,25000,0))*29</f>
        <v>725000</v>
      </c>
      <c r="F46" s="1866">
        <f t="shared" si="0"/>
        <v>725000</v>
      </c>
      <c r="G46" s="1725">
        <f t="shared" si="1"/>
        <v>239194869</v>
      </c>
    </row>
    <row r="47" spans="1:7" ht="30" x14ac:dyDescent="0.25">
      <c r="A47" s="1976" t="s">
        <v>2450</v>
      </c>
      <c r="B47" s="1974" t="s">
        <v>2420</v>
      </c>
      <c r="C47" s="1977" t="s">
        <v>2452</v>
      </c>
      <c r="D47" s="1776">
        <v>34656189</v>
      </c>
      <c r="E47" s="1473">
        <f>IF(D47&lt;=25000,D47,IF(D47&gt;25000,25000,0))*2</f>
        <v>50000</v>
      </c>
      <c r="F47" s="1866">
        <f t="shared" si="0"/>
        <v>50000</v>
      </c>
      <c r="G47" s="1725">
        <f t="shared" si="1"/>
        <v>34606189</v>
      </c>
    </row>
    <row r="48" spans="1:7" x14ac:dyDescent="0.25">
      <c r="A48" s="1976" t="s">
        <v>2451</v>
      </c>
      <c r="B48" s="1974" t="s">
        <v>2418</v>
      </c>
      <c r="C48" s="1977" t="s">
        <v>2452</v>
      </c>
      <c r="D48" s="1776">
        <v>30282138</v>
      </c>
      <c r="E48" s="1473">
        <f>IF(D48&lt;=25000,D48,IF(D48&gt;25000,25000,0))*3</f>
        <v>75000</v>
      </c>
      <c r="F48" s="1866">
        <f t="shared" si="0"/>
        <v>75000</v>
      </c>
      <c r="G48" s="1725">
        <f t="shared" si="1"/>
        <v>30207138</v>
      </c>
    </row>
    <row r="49" spans="1:7" hidden="1" x14ac:dyDescent="0.25">
      <c r="A49" s="1586"/>
      <c r="B49" s="1974"/>
      <c r="C49" s="1975"/>
      <c r="D49" s="1776"/>
      <c r="E49" s="1473">
        <f t="shared" si="2"/>
        <v>0</v>
      </c>
      <c r="F49" s="1866">
        <f t="shared" si="0"/>
        <v>0</v>
      </c>
      <c r="G49" s="1725">
        <f t="shared" si="1"/>
        <v>0</v>
      </c>
    </row>
    <row r="50" spans="1:7" hidden="1" x14ac:dyDescent="0.25">
      <c r="A50" s="1586"/>
      <c r="B50" s="1974"/>
      <c r="C50" s="1975"/>
      <c r="D50" s="1776"/>
      <c r="E50" s="1473">
        <f t="shared" si="2"/>
        <v>0</v>
      </c>
      <c r="F50" s="1866">
        <f t="shared" si="0"/>
        <v>0</v>
      </c>
      <c r="G50" s="1725">
        <f t="shared" si="1"/>
        <v>0</v>
      </c>
    </row>
    <row r="51" spans="1:7" hidden="1" x14ac:dyDescent="0.25">
      <c r="A51" s="1586"/>
      <c r="B51" s="1599"/>
      <c r="C51" s="1587"/>
      <c r="D51" s="1776"/>
      <c r="E51" s="1473">
        <f t="shared" si="2"/>
        <v>0</v>
      </c>
      <c r="F51" s="1866">
        <f t="shared" si="0"/>
        <v>0</v>
      </c>
      <c r="G51" s="1725">
        <f t="shared" si="1"/>
        <v>0</v>
      </c>
    </row>
    <row r="52" spans="1:7" hidden="1" x14ac:dyDescent="0.25">
      <c r="A52" s="1586"/>
      <c r="B52" s="1599"/>
      <c r="C52" s="1587"/>
      <c r="D52" s="1776"/>
      <c r="E52" s="1473">
        <f t="shared" si="2"/>
        <v>0</v>
      </c>
      <c r="F52" s="1866">
        <f t="shared" si="0"/>
        <v>0</v>
      </c>
      <c r="G52" s="1725">
        <f t="shared" si="1"/>
        <v>0</v>
      </c>
    </row>
    <row r="53" spans="1:7" hidden="1" x14ac:dyDescent="0.25">
      <c r="A53" s="1586"/>
      <c r="B53" s="1599"/>
      <c r="C53" s="1587"/>
      <c r="D53" s="1776"/>
      <c r="E53" s="1473">
        <f t="shared" si="2"/>
        <v>0</v>
      </c>
      <c r="F53" s="1866">
        <f t="shared" si="0"/>
        <v>0</v>
      </c>
      <c r="G53" s="1725">
        <f t="shared" si="1"/>
        <v>0</v>
      </c>
    </row>
    <row r="54" spans="1:7" hidden="1" x14ac:dyDescent="0.25">
      <c r="A54" s="1586"/>
      <c r="B54" s="1599"/>
      <c r="C54" s="1587"/>
      <c r="D54" s="1776"/>
      <c r="E54" s="1473">
        <f t="shared" si="2"/>
        <v>0</v>
      </c>
      <c r="F54" s="1866">
        <f t="shared" si="0"/>
        <v>0</v>
      </c>
      <c r="G54" s="1725">
        <f t="shared" si="1"/>
        <v>0</v>
      </c>
    </row>
    <row r="55" spans="1:7" hidden="1" x14ac:dyDescent="0.25">
      <c r="A55" s="1586"/>
      <c r="B55" s="1599"/>
      <c r="C55" s="1587"/>
      <c r="D55" s="1776"/>
      <c r="E55" s="1473">
        <f t="shared" si="2"/>
        <v>0</v>
      </c>
      <c r="F55" s="1866">
        <f t="shared" si="0"/>
        <v>0</v>
      </c>
      <c r="G55" s="1725">
        <f t="shared" si="1"/>
        <v>0</v>
      </c>
    </row>
    <row r="56" spans="1:7" hidden="1" x14ac:dyDescent="0.25">
      <c r="A56" s="1586"/>
      <c r="B56" s="1599"/>
      <c r="C56" s="1587"/>
      <c r="D56" s="1776"/>
      <c r="E56" s="1473">
        <f t="shared" si="2"/>
        <v>0</v>
      </c>
      <c r="F56" s="1866">
        <f t="shared" si="0"/>
        <v>0</v>
      </c>
      <c r="G56" s="1725">
        <f t="shared" si="1"/>
        <v>0</v>
      </c>
    </row>
    <row r="57" spans="1:7" hidden="1" x14ac:dyDescent="0.25">
      <c r="A57" s="1586"/>
      <c r="B57" s="1599"/>
      <c r="C57" s="1587"/>
      <c r="D57" s="1776"/>
      <c r="E57" s="1473">
        <f t="shared" si="2"/>
        <v>0</v>
      </c>
      <c r="F57" s="1866">
        <f t="shared" si="0"/>
        <v>0</v>
      </c>
      <c r="G57" s="1725">
        <f t="shared" si="1"/>
        <v>0</v>
      </c>
    </row>
    <row r="58" spans="1:7" hidden="1" x14ac:dyDescent="0.25">
      <c r="A58" s="1586"/>
      <c r="B58" s="1599"/>
      <c r="C58" s="1587"/>
      <c r="D58" s="1776"/>
      <c r="E58" s="1473">
        <f t="shared" si="2"/>
        <v>0</v>
      </c>
      <c r="F58" s="1866">
        <f t="shared" si="0"/>
        <v>0</v>
      </c>
      <c r="G58" s="1725">
        <f t="shared" si="1"/>
        <v>0</v>
      </c>
    </row>
    <row r="59" spans="1:7" hidden="1" x14ac:dyDescent="0.25">
      <c r="A59" s="1588"/>
      <c r="B59" s="1599"/>
      <c r="C59" s="1589"/>
      <c r="D59" s="1776"/>
      <c r="E59" s="1473">
        <f t="shared" si="2"/>
        <v>0</v>
      </c>
      <c r="F59" s="1866">
        <f t="shared" si="0"/>
        <v>0</v>
      </c>
      <c r="G59" s="1725">
        <f t="shared" si="1"/>
        <v>0</v>
      </c>
    </row>
    <row r="60" spans="1:7" hidden="1" x14ac:dyDescent="0.25">
      <c r="A60" s="1586"/>
      <c r="B60" s="1599"/>
      <c r="C60" s="1587"/>
      <c r="D60" s="1776"/>
      <c r="E60" s="1473">
        <f t="shared" si="2"/>
        <v>0</v>
      </c>
      <c r="F60" s="1866">
        <f t="shared" si="0"/>
        <v>0</v>
      </c>
      <c r="G60" s="1725">
        <f t="shared" si="1"/>
        <v>0</v>
      </c>
    </row>
    <row r="61" spans="1:7" hidden="1" x14ac:dyDescent="0.25">
      <c r="A61" s="1586"/>
      <c r="B61" s="1599"/>
      <c r="C61" s="1587"/>
      <c r="D61" s="1776"/>
      <c r="E61" s="1473">
        <f t="shared" si="2"/>
        <v>0</v>
      </c>
      <c r="F61" s="1866">
        <f t="shared" si="0"/>
        <v>0</v>
      </c>
      <c r="G61" s="1725">
        <f t="shared" si="1"/>
        <v>0</v>
      </c>
    </row>
    <row r="62" spans="1:7" hidden="1" x14ac:dyDescent="0.25">
      <c r="A62" s="1586"/>
      <c r="B62" s="1599"/>
      <c r="C62" s="1587"/>
      <c r="D62" s="1776"/>
      <c r="E62" s="1473">
        <f t="shared" si="2"/>
        <v>0</v>
      </c>
      <c r="F62" s="1866">
        <f t="shared" si="0"/>
        <v>0</v>
      </c>
      <c r="G62" s="1725">
        <f t="shared" si="1"/>
        <v>0</v>
      </c>
    </row>
    <row r="63" spans="1:7" hidden="1" x14ac:dyDescent="0.25">
      <c r="A63" s="1586"/>
      <c r="B63" s="1599"/>
      <c r="C63" s="1587"/>
      <c r="D63" s="1776"/>
      <c r="E63" s="1473">
        <f t="shared" si="2"/>
        <v>0</v>
      </c>
      <c r="F63" s="1866">
        <f t="shared" si="0"/>
        <v>0</v>
      </c>
      <c r="G63" s="1725">
        <f t="shared" si="1"/>
        <v>0</v>
      </c>
    </row>
    <row r="64" spans="1:7" hidden="1" x14ac:dyDescent="0.25">
      <c r="A64" s="1586"/>
      <c r="B64" s="1599"/>
      <c r="C64" s="1587"/>
      <c r="D64" s="1776"/>
      <c r="E64" s="1473">
        <f t="shared" si="2"/>
        <v>0</v>
      </c>
      <c r="F64" s="1866">
        <f t="shared" si="0"/>
        <v>0</v>
      </c>
      <c r="G64" s="1725">
        <f t="shared" si="1"/>
        <v>0</v>
      </c>
    </row>
    <row r="65" spans="1:7" hidden="1" x14ac:dyDescent="0.25">
      <c r="A65" s="1586"/>
      <c r="B65" s="1599"/>
      <c r="C65" s="1587"/>
      <c r="D65" s="1776"/>
      <c r="E65" s="1473">
        <f t="shared" si="2"/>
        <v>0</v>
      </c>
      <c r="F65" s="1866">
        <f t="shared" si="0"/>
        <v>0</v>
      </c>
      <c r="G65" s="1725">
        <f t="shared" si="1"/>
        <v>0</v>
      </c>
    </row>
    <row r="66" spans="1:7" hidden="1" x14ac:dyDescent="0.25">
      <c r="A66" s="1586"/>
      <c r="B66" s="1599"/>
      <c r="C66" s="1587"/>
      <c r="D66" s="1776"/>
      <c r="E66" s="1473">
        <f t="shared" si="2"/>
        <v>0</v>
      </c>
      <c r="F66" s="1866">
        <f t="shared" si="0"/>
        <v>0</v>
      </c>
      <c r="G66" s="1725">
        <f t="shared" si="1"/>
        <v>0</v>
      </c>
    </row>
    <row r="67" spans="1:7" hidden="1" x14ac:dyDescent="0.25">
      <c r="A67" s="1586"/>
      <c r="B67" s="1599"/>
      <c r="C67" s="1587"/>
      <c r="D67" s="1776"/>
      <c r="E67" s="1473">
        <f t="shared" si="2"/>
        <v>0</v>
      </c>
      <c r="F67" s="1866">
        <f t="shared" si="0"/>
        <v>0</v>
      </c>
      <c r="G67" s="1725">
        <f t="shared" si="1"/>
        <v>0</v>
      </c>
    </row>
    <row r="68" spans="1:7" hidden="1" x14ac:dyDescent="0.25">
      <c r="A68" s="1586"/>
      <c r="B68" s="1599"/>
      <c r="C68" s="1587"/>
      <c r="D68" s="1776"/>
      <c r="E68" s="1473">
        <f t="shared" ref="E68:E79" si="3">IF(D68&lt;=25000,D68,IF(D68&gt;25000,25000,0))</f>
        <v>0</v>
      </c>
      <c r="F68" s="1866">
        <f t="shared" si="0"/>
        <v>0</v>
      </c>
      <c r="G68" s="1725">
        <f t="shared" ref="G68:G79" si="4">IF(F68=0,0,D68-F68)</f>
        <v>0</v>
      </c>
    </row>
    <row r="69" spans="1:7" hidden="1" x14ac:dyDescent="0.25">
      <c r="A69" s="1586"/>
      <c r="B69" s="1599"/>
      <c r="C69" s="1587"/>
      <c r="D69" s="1776"/>
      <c r="E69" s="1473">
        <f t="shared" si="3"/>
        <v>0</v>
      </c>
      <c r="F69" s="1866">
        <f t="shared" si="0"/>
        <v>0</v>
      </c>
      <c r="G69" s="1725">
        <f t="shared" si="4"/>
        <v>0</v>
      </c>
    </row>
    <row r="70" spans="1:7" hidden="1" x14ac:dyDescent="0.25">
      <c r="A70" s="1586"/>
      <c r="B70" s="1599"/>
      <c r="C70" s="1587"/>
      <c r="D70" s="1776"/>
      <c r="E70" s="1473">
        <f t="shared" si="3"/>
        <v>0</v>
      </c>
      <c r="F70" s="1866">
        <f t="shared" si="0"/>
        <v>0</v>
      </c>
      <c r="G70" s="1725">
        <f t="shared" si="4"/>
        <v>0</v>
      </c>
    </row>
    <row r="71" spans="1:7" hidden="1" x14ac:dyDescent="0.25">
      <c r="A71" s="1586"/>
      <c r="B71" s="1599"/>
      <c r="C71" s="1587"/>
      <c r="D71" s="1776"/>
      <c r="E71" s="1473">
        <f t="shared" si="3"/>
        <v>0</v>
      </c>
      <c r="F71" s="1866">
        <f t="shared" si="0"/>
        <v>0</v>
      </c>
      <c r="G71" s="1725">
        <f t="shared" si="4"/>
        <v>0</v>
      </c>
    </row>
    <row r="72" spans="1:7" hidden="1" x14ac:dyDescent="0.25">
      <c r="A72" s="1586"/>
      <c r="B72" s="1599"/>
      <c r="C72" s="1587"/>
      <c r="D72" s="1776"/>
      <c r="E72" s="1473">
        <f t="shared" si="3"/>
        <v>0</v>
      </c>
      <c r="F72" s="1866">
        <f t="shared" si="0"/>
        <v>0</v>
      </c>
      <c r="G72" s="1725">
        <f t="shared" si="4"/>
        <v>0</v>
      </c>
    </row>
    <row r="73" spans="1:7" hidden="1" x14ac:dyDescent="0.25">
      <c r="A73" s="1586"/>
      <c r="B73" s="1599"/>
      <c r="C73" s="1587"/>
      <c r="D73" s="1776"/>
      <c r="E73" s="1473">
        <f t="shared" si="3"/>
        <v>0</v>
      </c>
      <c r="F73" s="1866">
        <f t="shared" si="0"/>
        <v>0</v>
      </c>
      <c r="G73" s="1725">
        <f t="shared" si="4"/>
        <v>0</v>
      </c>
    </row>
    <row r="74" spans="1:7" hidden="1" x14ac:dyDescent="0.25">
      <c r="A74" s="1586"/>
      <c r="B74" s="1599"/>
      <c r="C74" s="1587"/>
      <c r="D74" s="1776"/>
      <c r="E74" s="1473">
        <f t="shared" si="3"/>
        <v>0</v>
      </c>
      <c r="F74" s="1866">
        <f t="shared" si="0"/>
        <v>0</v>
      </c>
      <c r="G74" s="1725">
        <f t="shared" si="4"/>
        <v>0</v>
      </c>
    </row>
    <row r="75" spans="1:7" hidden="1" x14ac:dyDescent="0.25">
      <c r="A75" s="1586"/>
      <c r="B75" s="1599"/>
      <c r="C75" s="1587"/>
      <c r="D75" s="1776"/>
      <c r="E75" s="1473">
        <f t="shared" si="3"/>
        <v>0</v>
      </c>
      <c r="F75" s="1866">
        <f t="shared" si="0"/>
        <v>0</v>
      </c>
      <c r="G75" s="1725">
        <f t="shared" si="4"/>
        <v>0</v>
      </c>
    </row>
    <row r="76" spans="1:7" hidden="1" x14ac:dyDescent="0.25">
      <c r="A76" s="1586"/>
      <c r="B76" s="1599"/>
      <c r="C76" s="1587"/>
      <c r="D76" s="1776"/>
      <c r="E76" s="1473">
        <f t="shared" si="3"/>
        <v>0</v>
      </c>
      <c r="F76" s="1866">
        <f t="shared" ref="F76:F135" si="5">(IF(D76="",0,(IF(OR(B76="10-1000-100",B76="10-1000-200",B76="10-1000-300",B76="10-1000-400",B76="10-1000-600",B76="10-1000-800",B76="50-1000-200",B76="10-2100-100",B76="10-2100-200",B76="10-2100-300",B76="10-2100-400",B76="10-2100-600",B76="10-2100-800",B76="20-2100-100",B76="20-2100-200",B76="20-2100-300",B76="20-2100-400",B76="20-2100-600",B76="20-2100-800",B76="40-2100-100",B76="40-2100-200",B76="40-2100-300",B76="40-2100-400",B76="40-2100-600",B76="40-2100-800",B76="50-2100-200",B76="10-2200-100",B76="10-2200-200",B76="10-2200-300",B76="10-2200-400",B76="10-2200-600",B76="10-2200-800",B76="50-2200-200",B76="10-2300-100",B76="10-2300-200",B76="10-2300-300",B76="10-2300-400",B76="10-2300-600",B76="10-2300-800",B76="50-2300-200",B76="80-2300-100",B76="80-2300-200",B76="80-2300-300",B76="80-2300-400",B76="80-2300-600",B76="80-2300-800",B76="10-2400-100",B76="10-2400-200",B76="10-2400-300",B76="10-2400-400",B76="10-2400-600",B76="10-2400-800",B76="50-2400-200",B76="10-2510-100",B76="10-2510-200",B76="10-2510-300",B76="10-2510-400",B76="10-2510-600",B76="10-2510-800",B76="20-2510-100",B76="20-2510-200",B76="20-2510-300",B76="20-2510-400",B76="20-2510-600",B76="20-2510-800",B76="50-2510-200",B76="10-2520-100",B76="10-2520-200",B76="10-2520-300",B76="10-2520-400",B76="10-2520-600",B76="10-2520-800",B76="50-2520-200",B76="10-2540-100",B76="10-2540-200",B76="10-2540-300",B76="10-2540-400",B76="10-2540-600",B76="10-2540-800",B76="20-2540-100",B76="20-2540-200",B76="20-2540-300",B76="20-2540-400",B76="20-2540-600",B76="20-2540-800",B76="50-2540-200",B76="10-2550-100",B76="10-2550-200",B76="10-2550-300",B76="10-2550-400",B76="10-2550-600",B76="10-2550-800",B76="20-2550-100",B76="20-2550-200",B76="20-2550-300",B76="20-2550-400",B76="20-2550-600",B76="20-2550-800",B76="40-2550-100",B76="40-2550-200",B76="40-2550-300",B76="40-2550-400",B76="40-2550-600",B76="40-2550-800",B76="50-2550-200",B76="10-2560-100",B76="10-2560-200",B76="10-2560-300",B76="10-2560-400",B76="10-2560-600",B76="10-2560-800",B76="50-2560-200",B76="10-2570-100",B76="10-2570-200",B76="10-2570-300",B76="10-2570-400",B76="10-2570-600",B76="10-2570-800",B76="50-2570-200",B76="10-2610-100",B76="10-2610-200",B76="10-2610-300",B76="10-2610-400",B76="10-2610-600",B76="10-2610-800",B76="50-2610-200",B76="10-2620-100",B76="10-2620-200",B76="10-2620-300",B76="10-2620-400",B76="10-2620-600",B76="10-2620-800",B76="50-2620-200",B76="10-2630-100",B76="10-2630-200",B76="10-2630-300",B76="10-2630-400",B76="10-2630-600",B76="10-2630-800",B76="50-2630-200",B76="10-2640-100",B76="10-2640-200",B76="10-2640-300",B76="10-2640-400",B76="10-2640-600",B76="10-2640-800",B76="50-2640-200",B76="10-2660-100",B76="10-2660-200",B76="10-2660-300",B76="10-2660-400",B76="10-2660-600",B76="10-2660-800",B76="50-2660-200",B76="10-2900-100",B76="10-2900-200",B76="10-2900-300",B76="10-2900-400",B76="10-2900-600",B76="10-2900-800",B76="20-2900-100",B76="20-2900-200",B76="20-2900-300",B76="20-2900-400",B76="20-2900-600",B76="20-2900-800",B76="40-2900-100",B76="40-2900-200",B76="40-2900-300",B76="40-2900-400",B76="40-2900-600",B76="40-2900-800",B76="50-2900-200",B76="10-3000-100",B76="10-3000-200",B76="10-3000-300",B76="10-3000-400",B76="10-3000-600",B76="10-3000-800",B76="20-3000-100",B76="20-3000-200",B76="20-3000-300",B76="20-3000-400",B76="20-3000-600",B76="20-3000-800",B76="40-3000-100",B76="40-3000-200",B76="40-3000-300",B76="40-3000-400",B76="40-3000-600",B76="40-3000-800",B76="50-3000-200"),E76,"Check func/obj # in Colm B"))))</f>
        <v>0</v>
      </c>
      <c r="G76" s="1725">
        <f t="shared" si="4"/>
        <v>0</v>
      </c>
    </row>
    <row r="77" spans="1:7" hidden="1" x14ac:dyDescent="0.25">
      <c r="A77" s="1586"/>
      <c r="B77" s="1599"/>
      <c r="C77" s="1587"/>
      <c r="D77" s="1776"/>
      <c r="E77" s="1473">
        <f t="shared" si="3"/>
        <v>0</v>
      </c>
      <c r="F77" s="1866">
        <f t="shared" si="5"/>
        <v>0</v>
      </c>
      <c r="G77" s="1725">
        <f t="shared" si="4"/>
        <v>0</v>
      </c>
    </row>
    <row r="78" spans="1:7" hidden="1" x14ac:dyDescent="0.25">
      <c r="A78" s="1586"/>
      <c r="B78" s="1599"/>
      <c r="C78" s="1587"/>
      <c r="D78" s="1776"/>
      <c r="E78" s="1473">
        <f t="shared" si="3"/>
        <v>0</v>
      </c>
      <c r="F78" s="1866">
        <f t="shared" si="5"/>
        <v>0</v>
      </c>
      <c r="G78" s="1725">
        <f t="shared" si="4"/>
        <v>0</v>
      </c>
    </row>
    <row r="79" spans="1:7" hidden="1" x14ac:dyDescent="0.25">
      <c r="A79" s="1586"/>
      <c r="B79" s="1599"/>
      <c r="C79" s="1587"/>
      <c r="D79" s="1776"/>
      <c r="E79" s="1473">
        <f t="shared" si="3"/>
        <v>0</v>
      </c>
      <c r="F79" s="1866">
        <f t="shared" si="5"/>
        <v>0</v>
      </c>
      <c r="G79" s="1725">
        <f t="shared" si="4"/>
        <v>0</v>
      </c>
    </row>
    <row r="80" spans="1:7" hidden="1" x14ac:dyDescent="0.25">
      <c r="A80" s="1586"/>
      <c r="B80" s="1599"/>
      <c r="C80" s="1587"/>
      <c r="D80" s="1776"/>
      <c r="E80" s="1473">
        <f t="shared" si="2"/>
        <v>0</v>
      </c>
      <c r="F80" s="1866">
        <f t="shared" si="5"/>
        <v>0</v>
      </c>
      <c r="G80" s="1725">
        <f t="shared" si="1"/>
        <v>0</v>
      </c>
    </row>
    <row r="81" spans="1:7" hidden="1" x14ac:dyDescent="0.25">
      <c r="A81" s="1586"/>
      <c r="B81" s="1599"/>
      <c r="C81" s="1587"/>
      <c r="D81" s="1776"/>
      <c r="E81" s="1473">
        <f t="shared" si="2"/>
        <v>0</v>
      </c>
      <c r="F81" s="1866">
        <f t="shared" si="5"/>
        <v>0</v>
      </c>
      <c r="G81" s="1725">
        <f t="shared" si="1"/>
        <v>0</v>
      </c>
    </row>
    <row r="82" spans="1:7" hidden="1" x14ac:dyDescent="0.25">
      <c r="A82" s="1586"/>
      <c r="B82" s="1599"/>
      <c r="C82" s="1587"/>
      <c r="D82" s="1776"/>
      <c r="E82" s="1473">
        <f t="shared" si="2"/>
        <v>0</v>
      </c>
      <c r="F82" s="1866">
        <f t="shared" si="5"/>
        <v>0</v>
      </c>
      <c r="G82" s="1725">
        <f t="shared" si="1"/>
        <v>0</v>
      </c>
    </row>
    <row r="83" spans="1:7" hidden="1" x14ac:dyDescent="0.25">
      <c r="A83" s="1586"/>
      <c r="B83" s="1599"/>
      <c r="C83" s="1587"/>
      <c r="D83" s="1776"/>
      <c r="E83" s="1473">
        <f t="shared" si="2"/>
        <v>0</v>
      </c>
      <c r="F83" s="1866">
        <f t="shared" si="5"/>
        <v>0</v>
      </c>
      <c r="G83" s="1725">
        <f t="shared" si="1"/>
        <v>0</v>
      </c>
    </row>
    <row r="84" spans="1:7" hidden="1" x14ac:dyDescent="0.25">
      <c r="A84" s="1586"/>
      <c r="B84" s="1599"/>
      <c r="C84" s="1587"/>
      <c r="D84" s="1776"/>
      <c r="E84" s="1473">
        <f t="shared" si="2"/>
        <v>0</v>
      </c>
      <c r="F84" s="1866">
        <f t="shared" si="5"/>
        <v>0</v>
      </c>
      <c r="G84" s="1725">
        <f t="shared" si="1"/>
        <v>0</v>
      </c>
    </row>
    <row r="85" spans="1:7" hidden="1" x14ac:dyDescent="0.25">
      <c r="A85" s="1586"/>
      <c r="B85" s="1599"/>
      <c r="C85" s="1587"/>
      <c r="D85" s="1776"/>
      <c r="E85" s="1473">
        <f t="shared" si="2"/>
        <v>0</v>
      </c>
      <c r="F85" s="1866">
        <f t="shared" si="5"/>
        <v>0</v>
      </c>
      <c r="G85" s="1725">
        <f t="shared" si="1"/>
        <v>0</v>
      </c>
    </row>
    <row r="86" spans="1:7" hidden="1" x14ac:dyDescent="0.25">
      <c r="A86" s="1586"/>
      <c r="B86" s="1599"/>
      <c r="C86" s="1587"/>
      <c r="D86" s="1776"/>
      <c r="E86" s="1473">
        <f t="shared" si="2"/>
        <v>0</v>
      </c>
      <c r="F86" s="1866">
        <f t="shared" si="5"/>
        <v>0</v>
      </c>
      <c r="G86" s="1725">
        <f t="shared" si="1"/>
        <v>0</v>
      </c>
    </row>
    <row r="87" spans="1:7" hidden="1" x14ac:dyDescent="0.25">
      <c r="A87" s="1586"/>
      <c r="B87" s="1599"/>
      <c r="C87" s="1587"/>
      <c r="D87" s="1776"/>
      <c r="E87" s="1473">
        <f t="shared" si="2"/>
        <v>0</v>
      </c>
      <c r="F87" s="1866">
        <f t="shared" si="5"/>
        <v>0</v>
      </c>
      <c r="G87" s="1725">
        <f t="shared" si="1"/>
        <v>0</v>
      </c>
    </row>
    <row r="88" spans="1:7" hidden="1" x14ac:dyDescent="0.25">
      <c r="A88" s="1586"/>
      <c r="B88" s="1599"/>
      <c r="C88" s="1587"/>
      <c r="D88" s="1776"/>
      <c r="E88" s="1473">
        <f t="shared" ref="E88" si="6">IF(D88&lt;=25000,D88,IF(D88&gt;25000,25000,0))</f>
        <v>0</v>
      </c>
      <c r="F88" s="1866">
        <f t="shared" si="5"/>
        <v>0</v>
      </c>
      <c r="G88" s="1725">
        <f t="shared" ref="G88" si="7">IF(F88=0,0,D88-F88)</f>
        <v>0</v>
      </c>
    </row>
    <row r="89" spans="1:7" hidden="1" x14ac:dyDescent="0.25">
      <c r="A89" s="1586"/>
      <c r="B89" s="1599"/>
      <c r="C89" s="1587"/>
      <c r="D89" s="1776"/>
      <c r="E89" s="1473">
        <f t="shared" si="2"/>
        <v>0</v>
      </c>
      <c r="F89" s="1866">
        <f t="shared" si="5"/>
        <v>0</v>
      </c>
      <c r="G89" s="1725">
        <f t="shared" si="1"/>
        <v>0</v>
      </c>
    </row>
    <row r="90" spans="1:7" hidden="1" x14ac:dyDescent="0.25">
      <c r="A90" s="1586"/>
      <c r="B90" s="1599"/>
      <c r="C90" s="1587"/>
      <c r="D90" s="1776"/>
      <c r="E90" s="1473">
        <f t="shared" ref="E90:E93" si="8">IF(D90&lt;=25000,D90,IF(D90&gt;25000,25000,0))</f>
        <v>0</v>
      </c>
      <c r="F90" s="1866">
        <f t="shared" si="5"/>
        <v>0</v>
      </c>
      <c r="G90" s="1725">
        <f t="shared" ref="G90:G93" si="9">IF(F90=0,0,D90-F90)</f>
        <v>0</v>
      </c>
    </row>
    <row r="91" spans="1:7" hidden="1" x14ac:dyDescent="0.25">
      <c r="A91" s="1586"/>
      <c r="B91" s="1599"/>
      <c r="C91" s="1587"/>
      <c r="D91" s="1776"/>
      <c r="E91" s="1473">
        <f t="shared" si="8"/>
        <v>0</v>
      </c>
      <c r="F91" s="1866">
        <f t="shared" si="5"/>
        <v>0</v>
      </c>
      <c r="G91" s="1725">
        <f t="shared" si="9"/>
        <v>0</v>
      </c>
    </row>
    <row r="92" spans="1:7" hidden="1" x14ac:dyDescent="0.25">
      <c r="A92" s="1586"/>
      <c r="B92" s="1599"/>
      <c r="C92" s="1587"/>
      <c r="D92" s="1776"/>
      <c r="E92" s="1473">
        <f t="shared" si="8"/>
        <v>0</v>
      </c>
      <c r="F92" s="1866">
        <f t="shared" si="5"/>
        <v>0</v>
      </c>
      <c r="G92" s="1725">
        <f t="shared" si="9"/>
        <v>0</v>
      </c>
    </row>
    <row r="93" spans="1:7" hidden="1" x14ac:dyDescent="0.25">
      <c r="A93" s="1586"/>
      <c r="B93" s="1599"/>
      <c r="C93" s="1587"/>
      <c r="D93" s="1776"/>
      <c r="E93" s="1473">
        <f t="shared" si="8"/>
        <v>0</v>
      </c>
      <c r="F93" s="1866">
        <f t="shared" si="5"/>
        <v>0</v>
      </c>
      <c r="G93" s="1725">
        <f t="shared" si="9"/>
        <v>0</v>
      </c>
    </row>
    <row r="94" spans="1:7" hidden="1" x14ac:dyDescent="0.25">
      <c r="A94" s="1586"/>
      <c r="B94" s="1599"/>
      <c r="C94" s="1587"/>
      <c r="D94" s="1776"/>
      <c r="E94" s="1473">
        <f t="shared" ref="E94" si="10">IF(D94&lt;=25000,D94,IF(D94&gt;25000,25000,0))</f>
        <v>0</v>
      </c>
      <c r="F94" s="1866">
        <f t="shared" si="5"/>
        <v>0</v>
      </c>
      <c r="G94" s="1725">
        <f t="shared" ref="G94" si="11">IF(F94=0,0,D94-F94)</f>
        <v>0</v>
      </c>
    </row>
    <row r="95" spans="1:7" hidden="1" x14ac:dyDescent="0.25">
      <c r="A95" s="1586"/>
      <c r="B95" s="1599"/>
      <c r="C95" s="1587"/>
      <c r="D95" s="1776"/>
      <c r="E95" s="1473">
        <f t="shared" ref="E95:E107" si="12">IF(D95&lt;=25000,D95,IF(D95&gt;25000,25000,0))</f>
        <v>0</v>
      </c>
      <c r="F95" s="1866">
        <f t="shared" si="5"/>
        <v>0</v>
      </c>
      <c r="G95" s="1725">
        <f t="shared" ref="G95:G107" si="13">IF(F95=0,0,D95-F95)</f>
        <v>0</v>
      </c>
    </row>
    <row r="96" spans="1:7" hidden="1" x14ac:dyDescent="0.25">
      <c r="A96" s="1586"/>
      <c r="B96" s="1599"/>
      <c r="C96" s="1587"/>
      <c r="D96" s="1776"/>
      <c r="E96" s="1473">
        <f t="shared" si="12"/>
        <v>0</v>
      </c>
      <c r="F96" s="1866">
        <f t="shared" si="5"/>
        <v>0</v>
      </c>
      <c r="G96" s="1725">
        <f t="shared" si="13"/>
        <v>0</v>
      </c>
    </row>
    <row r="97" spans="1:7" hidden="1" x14ac:dyDescent="0.25">
      <c r="A97" s="1586"/>
      <c r="B97" s="1599"/>
      <c r="C97" s="1587"/>
      <c r="D97" s="1776"/>
      <c r="E97" s="1473">
        <f t="shared" si="12"/>
        <v>0</v>
      </c>
      <c r="F97" s="1866">
        <f t="shared" si="5"/>
        <v>0</v>
      </c>
      <c r="G97" s="1725">
        <f t="shared" si="13"/>
        <v>0</v>
      </c>
    </row>
    <row r="98" spans="1:7" hidden="1" x14ac:dyDescent="0.25">
      <c r="A98" s="1586"/>
      <c r="B98" s="1599"/>
      <c r="C98" s="1587"/>
      <c r="D98" s="1776"/>
      <c r="E98" s="1473">
        <f t="shared" si="12"/>
        <v>0</v>
      </c>
      <c r="F98" s="1866">
        <f t="shared" si="5"/>
        <v>0</v>
      </c>
      <c r="G98" s="1725">
        <f t="shared" si="13"/>
        <v>0</v>
      </c>
    </row>
    <row r="99" spans="1:7" hidden="1" x14ac:dyDescent="0.25">
      <c r="A99" s="1586"/>
      <c r="B99" s="1599"/>
      <c r="C99" s="1587"/>
      <c r="D99" s="1776"/>
      <c r="E99" s="1473">
        <f t="shared" si="12"/>
        <v>0</v>
      </c>
      <c r="F99" s="1866">
        <f t="shared" si="5"/>
        <v>0</v>
      </c>
      <c r="G99" s="1725">
        <f t="shared" si="13"/>
        <v>0</v>
      </c>
    </row>
    <row r="100" spans="1:7" hidden="1" x14ac:dyDescent="0.25">
      <c r="A100" s="1586"/>
      <c r="B100" s="1599"/>
      <c r="C100" s="1587"/>
      <c r="D100" s="1776"/>
      <c r="E100" s="1473">
        <f t="shared" si="12"/>
        <v>0</v>
      </c>
      <c r="F100" s="1866">
        <f t="shared" si="5"/>
        <v>0</v>
      </c>
      <c r="G100" s="1725">
        <f t="shared" si="13"/>
        <v>0</v>
      </c>
    </row>
    <row r="101" spans="1:7" hidden="1" x14ac:dyDescent="0.25">
      <c r="A101" s="1586"/>
      <c r="B101" s="1599"/>
      <c r="C101" s="1587"/>
      <c r="D101" s="1776"/>
      <c r="E101" s="1473">
        <f t="shared" si="12"/>
        <v>0</v>
      </c>
      <c r="F101" s="1866">
        <f t="shared" si="5"/>
        <v>0</v>
      </c>
      <c r="G101" s="1725">
        <f t="shared" si="13"/>
        <v>0</v>
      </c>
    </row>
    <row r="102" spans="1:7" hidden="1" x14ac:dyDescent="0.25">
      <c r="A102" s="1586"/>
      <c r="B102" s="1599"/>
      <c r="C102" s="1587"/>
      <c r="D102" s="1776"/>
      <c r="E102" s="1473">
        <f t="shared" si="12"/>
        <v>0</v>
      </c>
      <c r="F102" s="1866">
        <f t="shared" si="5"/>
        <v>0</v>
      </c>
      <c r="G102" s="1725">
        <f t="shared" si="13"/>
        <v>0</v>
      </c>
    </row>
    <row r="103" spans="1:7" hidden="1" x14ac:dyDescent="0.25">
      <c r="A103" s="1586"/>
      <c r="B103" s="1599"/>
      <c r="C103" s="1587"/>
      <c r="D103" s="1776"/>
      <c r="E103" s="1473">
        <f t="shared" si="12"/>
        <v>0</v>
      </c>
      <c r="F103" s="1866">
        <f t="shared" si="5"/>
        <v>0</v>
      </c>
      <c r="G103" s="1725">
        <f t="shared" si="13"/>
        <v>0</v>
      </c>
    </row>
    <row r="104" spans="1:7" hidden="1" x14ac:dyDescent="0.25">
      <c r="A104" s="1586"/>
      <c r="B104" s="1599"/>
      <c r="C104" s="1587"/>
      <c r="D104" s="1776"/>
      <c r="E104" s="1473">
        <f t="shared" si="12"/>
        <v>0</v>
      </c>
      <c r="F104" s="1866">
        <f t="shared" si="5"/>
        <v>0</v>
      </c>
      <c r="G104" s="1725">
        <f t="shared" si="13"/>
        <v>0</v>
      </c>
    </row>
    <row r="105" spans="1:7" hidden="1" x14ac:dyDescent="0.25">
      <c r="A105" s="1586"/>
      <c r="B105" s="1599"/>
      <c r="C105" s="1587"/>
      <c r="D105" s="1776"/>
      <c r="E105" s="1473">
        <f t="shared" si="12"/>
        <v>0</v>
      </c>
      <c r="F105" s="1866">
        <f t="shared" si="5"/>
        <v>0</v>
      </c>
      <c r="G105" s="1725">
        <f t="shared" si="13"/>
        <v>0</v>
      </c>
    </row>
    <row r="106" spans="1:7" hidden="1" x14ac:dyDescent="0.25">
      <c r="A106" s="1586"/>
      <c r="B106" s="1599"/>
      <c r="C106" s="1587"/>
      <c r="D106" s="1776"/>
      <c r="E106" s="1473">
        <f t="shared" si="12"/>
        <v>0</v>
      </c>
      <c r="F106" s="1866">
        <f t="shared" si="5"/>
        <v>0</v>
      </c>
      <c r="G106" s="1725">
        <f t="shared" si="13"/>
        <v>0</v>
      </c>
    </row>
    <row r="107" spans="1:7" hidden="1" x14ac:dyDescent="0.25">
      <c r="A107" s="1586"/>
      <c r="B107" s="1599"/>
      <c r="C107" s="1587"/>
      <c r="D107" s="1776"/>
      <c r="E107" s="1473">
        <f t="shared" si="12"/>
        <v>0</v>
      </c>
      <c r="F107" s="1866">
        <f t="shared" si="5"/>
        <v>0</v>
      </c>
      <c r="G107" s="1725">
        <f t="shared" si="13"/>
        <v>0</v>
      </c>
    </row>
    <row r="108" spans="1:7" hidden="1" x14ac:dyDescent="0.25">
      <c r="A108" s="1586"/>
      <c r="B108" s="1599"/>
      <c r="C108" s="1587"/>
      <c r="D108" s="1776"/>
      <c r="E108" s="1473">
        <f t="shared" ref="E108:E120" si="14">IF(D108&lt;=25000,D108,IF(D108&gt;25000,25000,0))</f>
        <v>0</v>
      </c>
      <c r="F108" s="1866">
        <f t="shared" si="5"/>
        <v>0</v>
      </c>
      <c r="G108" s="1725">
        <f t="shared" ref="G108:G120" si="15">IF(F108=0,0,D108-F108)</f>
        <v>0</v>
      </c>
    </row>
    <row r="109" spans="1:7" hidden="1" x14ac:dyDescent="0.25">
      <c r="A109" s="1586"/>
      <c r="B109" s="1599"/>
      <c r="C109" s="1587"/>
      <c r="D109" s="1776"/>
      <c r="E109" s="1473">
        <f t="shared" si="14"/>
        <v>0</v>
      </c>
      <c r="F109" s="1866">
        <f t="shared" si="5"/>
        <v>0</v>
      </c>
      <c r="G109" s="1725">
        <f t="shared" si="15"/>
        <v>0</v>
      </c>
    </row>
    <row r="110" spans="1:7" hidden="1" x14ac:dyDescent="0.25">
      <c r="A110" s="1586"/>
      <c r="B110" s="1599"/>
      <c r="C110" s="1587"/>
      <c r="D110" s="1776"/>
      <c r="E110" s="1473">
        <f t="shared" si="14"/>
        <v>0</v>
      </c>
      <c r="F110" s="1866">
        <f t="shared" si="5"/>
        <v>0</v>
      </c>
      <c r="G110" s="1725">
        <f t="shared" si="15"/>
        <v>0</v>
      </c>
    </row>
    <row r="111" spans="1:7" hidden="1" x14ac:dyDescent="0.25">
      <c r="A111" s="1586"/>
      <c r="B111" s="1599"/>
      <c r="C111" s="1587"/>
      <c r="D111" s="1776"/>
      <c r="E111" s="1473">
        <f t="shared" si="14"/>
        <v>0</v>
      </c>
      <c r="F111" s="1866">
        <f t="shared" si="5"/>
        <v>0</v>
      </c>
      <c r="G111" s="1725">
        <f t="shared" si="15"/>
        <v>0</v>
      </c>
    </row>
    <row r="112" spans="1:7" hidden="1" x14ac:dyDescent="0.25">
      <c r="A112" s="1586"/>
      <c r="B112" s="1599"/>
      <c r="C112" s="1587"/>
      <c r="D112" s="1776"/>
      <c r="E112" s="1473">
        <f t="shared" si="14"/>
        <v>0</v>
      </c>
      <c r="F112" s="1866">
        <f t="shared" si="5"/>
        <v>0</v>
      </c>
      <c r="G112" s="1725">
        <f t="shared" si="15"/>
        <v>0</v>
      </c>
    </row>
    <row r="113" spans="1:7" hidden="1" x14ac:dyDescent="0.25">
      <c r="A113" s="1586"/>
      <c r="B113" s="1599"/>
      <c r="C113" s="1587"/>
      <c r="D113" s="1776"/>
      <c r="E113" s="1473">
        <f t="shared" si="14"/>
        <v>0</v>
      </c>
      <c r="F113" s="1866">
        <f t="shared" si="5"/>
        <v>0</v>
      </c>
      <c r="G113" s="1725">
        <f t="shared" si="15"/>
        <v>0</v>
      </c>
    </row>
    <row r="114" spans="1:7" hidden="1" x14ac:dyDescent="0.25">
      <c r="A114" s="1586"/>
      <c r="B114" s="1599"/>
      <c r="C114" s="1587"/>
      <c r="D114" s="1776"/>
      <c r="E114" s="1473">
        <f t="shared" si="14"/>
        <v>0</v>
      </c>
      <c r="F114" s="1866">
        <f t="shared" si="5"/>
        <v>0</v>
      </c>
      <c r="G114" s="1725">
        <f t="shared" si="15"/>
        <v>0</v>
      </c>
    </row>
    <row r="115" spans="1:7" hidden="1" x14ac:dyDescent="0.25">
      <c r="A115" s="1586"/>
      <c r="B115" s="1599"/>
      <c r="C115" s="1587"/>
      <c r="D115" s="1776"/>
      <c r="E115" s="1473">
        <f t="shared" si="14"/>
        <v>0</v>
      </c>
      <c r="F115" s="1866">
        <f t="shared" si="5"/>
        <v>0</v>
      </c>
      <c r="G115" s="1725">
        <f t="shared" si="15"/>
        <v>0</v>
      </c>
    </row>
    <row r="116" spans="1:7" hidden="1" x14ac:dyDescent="0.25">
      <c r="A116" s="1586"/>
      <c r="B116" s="1599"/>
      <c r="C116" s="1587"/>
      <c r="D116" s="1776"/>
      <c r="E116" s="1473">
        <f t="shared" si="14"/>
        <v>0</v>
      </c>
      <c r="F116" s="1866">
        <f t="shared" si="5"/>
        <v>0</v>
      </c>
      <c r="G116" s="1725">
        <f t="shared" si="15"/>
        <v>0</v>
      </c>
    </row>
    <row r="117" spans="1:7" hidden="1" x14ac:dyDescent="0.25">
      <c r="A117" s="1586"/>
      <c r="B117" s="1599"/>
      <c r="C117" s="1587"/>
      <c r="D117" s="1776"/>
      <c r="E117" s="1473">
        <f t="shared" si="14"/>
        <v>0</v>
      </c>
      <c r="F117" s="1866">
        <f t="shared" si="5"/>
        <v>0</v>
      </c>
      <c r="G117" s="1725">
        <f t="shared" si="15"/>
        <v>0</v>
      </c>
    </row>
    <row r="118" spans="1:7" hidden="1" x14ac:dyDescent="0.25">
      <c r="A118" s="1586"/>
      <c r="B118" s="1599"/>
      <c r="C118" s="1587"/>
      <c r="D118" s="1776"/>
      <c r="E118" s="1473">
        <f t="shared" si="14"/>
        <v>0</v>
      </c>
      <c r="F118" s="1866">
        <f t="shared" si="5"/>
        <v>0</v>
      </c>
      <c r="G118" s="1725">
        <f t="shared" si="15"/>
        <v>0</v>
      </c>
    </row>
    <row r="119" spans="1:7" hidden="1" x14ac:dyDescent="0.25">
      <c r="A119" s="1586"/>
      <c r="B119" s="1599"/>
      <c r="C119" s="1587"/>
      <c r="D119" s="1776"/>
      <c r="E119" s="1473">
        <f t="shared" si="14"/>
        <v>0</v>
      </c>
      <c r="F119" s="1866">
        <f t="shared" si="5"/>
        <v>0</v>
      </c>
      <c r="G119" s="1725">
        <f t="shared" si="15"/>
        <v>0</v>
      </c>
    </row>
    <row r="120" spans="1:7" hidden="1" x14ac:dyDescent="0.25">
      <c r="A120" s="1586"/>
      <c r="B120" s="1599"/>
      <c r="C120" s="1587"/>
      <c r="D120" s="1776"/>
      <c r="E120" s="1473">
        <f t="shared" si="14"/>
        <v>0</v>
      </c>
      <c r="F120" s="1866">
        <f t="shared" si="5"/>
        <v>0</v>
      </c>
      <c r="G120" s="1725">
        <f t="shared" si="15"/>
        <v>0</v>
      </c>
    </row>
    <row r="121" spans="1:7" hidden="1" x14ac:dyDescent="0.25">
      <c r="A121" s="1586"/>
      <c r="B121" s="1599"/>
      <c r="C121" s="1587"/>
      <c r="D121" s="1776"/>
      <c r="E121" s="1473">
        <f t="shared" ref="E121:E129" si="16">IF(D121&lt;=25000,D121,IF(D121&gt;25000,25000,0))</f>
        <v>0</v>
      </c>
      <c r="F121" s="1866">
        <f t="shared" si="5"/>
        <v>0</v>
      </c>
      <c r="G121" s="1725">
        <f t="shared" ref="G121:G129" si="17">IF(F121=0,0,D121-F121)</f>
        <v>0</v>
      </c>
    </row>
    <row r="122" spans="1:7" hidden="1" x14ac:dyDescent="0.25">
      <c r="A122" s="1586"/>
      <c r="B122" s="1599"/>
      <c r="C122" s="1587"/>
      <c r="D122" s="1776"/>
      <c r="E122" s="1473">
        <f t="shared" si="16"/>
        <v>0</v>
      </c>
      <c r="F122" s="1866">
        <f t="shared" si="5"/>
        <v>0</v>
      </c>
      <c r="G122" s="1725">
        <f t="shared" si="17"/>
        <v>0</v>
      </c>
    </row>
    <row r="123" spans="1:7" hidden="1" x14ac:dyDescent="0.25">
      <c r="A123" s="1586"/>
      <c r="B123" s="1599"/>
      <c r="C123" s="1587"/>
      <c r="D123" s="1776"/>
      <c r="E123" s="1473">
        <f t="shared" si="16"/>
        <v>0</v>
      </c>
      <c r="F123" s="1866">
        <f t="shared" si="5"/>
        <v>0</v>
      </c>
      <c r="G123" s="1725">
        <f t="shared" si="17"/>
        <v>0</v>
      </c>
    </row>
    <row r="124" spans="1:7" hidden="1" x14ac:dyDescent="0.25">
      <c r="A124" s="1586"/>
      <c r="B124" s="1599"/>
      <c r="C124" s="1587"/>
      <c r="D124" s="1776"/>
      <c r="E124" s="1473">
        <f t="shared" si="16"/>
        <v>0</v>
      </c>
      <c r="F124" s="1866">
        <f t="shared" si="5"/>
        <v>0</v>
      </c>
      <c r="G124" s="1725">
        <f t="shared" si="17"/>
        <v>0</v>
      </c>
    </row>
    <row r="125" spans="1:7" hidden="1" x14ac:dyDescent="0.25">
      <c r="A125" s="1586"/>
      <c r="B125" s="1599"/>
      <c r="C125" s="1587"/>
      <c r="D125" s="1776"/>
      <c r="E125" s="1473">
        <f t="shared" si="16"/>
        <v>0</v>
      </c>
      <c r="F125" s="1866">
        <f t="shared" si="5"/>
        <v>0</v>
      </c>
      <c r="G125" s="1725">
        <f t="shared" si="17"/>
        <v>0</v>
      </c>
    </row>
    <row r="126" spans="1:7" hidden="1" x14ac:dyDescent="0.25">
      <c r="A126" s="1586"/>
      <c r="B126" s="1769"/>
      <c r="C126" s="1587"/>
      <c r="D126" s="1776"/>
      <c r="E126" s="1473">
        <f t="shared" si="16"/>
        <v>0</v>
      </c>
      <c r="F126" s="1866">
        <f t="shared" si="5"/>
        <v>0</v>
      </c>
      <c r="G126" s="1725">
        <f t="shared" si="17"/>
        <v>0</v>
      </c>
    </row>
    <row r="127" spans="1:7" hidden="1" x14ac:dyDescent="0.25">
      <c r="A127" s="1586"/>
      <c r="B127" s="1769"/>
      <c r="C127" s="1587"/>
      <c r="D127" s="1776"/>
      <c r="E127" s="1473">
        <f t="shared" si="16"/>
        <v>0</v>
      </c>
      <c r="F127" s="1866">
        <f t="shared" si="5"/>
        <v>0</v>
      </c>
      <c r="G127" s="1725">
        <f t="shared" si="17"/>
        <v>0</v>
      </c>
    </row>
    <row r="128" spans="1:7" hidden="1" x14ac:dyDescent="0.25">
      <c r="A128" s="1586"/>
      <c r="B128" s="1599"/>
      <c r="C128" s="1587"/>
      <c r="D128" s="1776"/>
      <c r="E128" s="1473">
        <f t="shared" si="16"/>
        <v>0</v>
      </c>
      <c r="F128" s="1866">
        <f t="shared" si="5"/>
        <v>0</v>
      </c>
      <c r="G128" s="1725">
        <f t="shared" si="17"/>
        <v>0</v>
      </c>
    </row>
    <row r="129" spans="1:7" hidden="1" x14ac:dyDescent="0.25">
      <c r="A129" s="1586"/>
      <c r="B129" s="1599"/>
      <c r="C129" s="1587"/>
      <c r="D129" s="1776"/>
      <c r="E129" s="1473">
        <f t="shared" si="16"/>
        <v>0</v>
      </c>
      <c r="F129" s="1866">
        <f t="shared" si="5"/>
        <v>0</v>
      </c>
      <c r="G129" s="1725">
        <f t="shared" si="17"/>
        <v>0</v>
      </c>
    </row>
    <row r="130" spans="1:7" hidden="1" x14ac:dyDescent="0.25">
      <c r="A130" s="1586"/>
      <c r="B130" s="1599"/>
      <c r="C130" s="1587"/>
      <c r="D130" s="1776"/>
      <c r="E130" s="1473">
        <f t="shared" ref="E130:E134" si="18">IF(D130&lt;=25000,D130,IF(D130&gt;25000,25000,0))</f>
        <v>0</v>
      </c>
      <c r="F130" s="1866">
        <f t="shared" si="5"/>
        <v>0</v>
      </c>
      <c r="G130" s="1725">
        <f t="shared" ref="G130:G134" si="19">IF(F130=0,0,D130-F130)</f>
        <v>0</v>
      </c>
    </row>
    <row r="131" spans="1:7" hidden="1" x14ac:dyDescent="0.25">
      <c r="A131" s="1586"/>
      <c r="B131" s="1599"/>
      <c r="C131" s="1587"/>
      <c r="D131" s="1776"/>
      <c r="E131" s="1473">
        <f t="shared" si="18"/>
        <v>0</v>
      </c>
      <c r="F131" s="1866">
        <f t="shared" si="5"/>
        <v>0</v>
      </c>
      <c r="G131" s="1725">
        <f t="shared" si="19"/>
        <v>0</v>
      </c>
    </row>
    <row r="132" spans="1:7" hidden="1" x14ac:dyDescent="0.25">
      <c r="A132" s="1586"/>
      <c r="B132" s="1599"/>
      <c r="C132" s="1587"/>
      <c r="D132" s="1776"/>
      <c r="E132" s="1473">
        <f t="shared" si="18"/>
        <v>0</v>
      </c>
      <c r="F132" s="1866">
        <f t="shared" si="5"/>
        <v>0</v>
      </c>
      <c r="G132" s="1725">
        <f t="shared" si="19"/>
        <v>0</v>
      </c>
    </row>
    <row r="133" spans="1:7" hidden="1" x14ac:dyDescent="0.25">
      <c r="A133" s="1586"/>
      <c r="B133" s="1599"/>
      <c r="C133" s="1587"/>
      <c r="D133" s="1776"/>
      <c r="E133" s="1473">
        <f t="shared" si="18"/>
        <v>0</v>
      </c>
      <c r="F133" s="1866">
        <f t="shared" si="5"/>
        <v>0</v>
      </c>
      <c r="G133" s="1725">
        <f t="shared" si="19"/>
        <v>0</v>
      </c>
    </row>
    <row r="134" spans="1:7" hidden="1" x14ac:dyDescent="0.25">
      <c r="A134" s="1586"/>
      <c r="B134" s="1599"/>
      <c r="C134" s="1587"/>
      <c r="D134" s="1776"/>
      <c r="E134" s="1473">
        <f t="shared" si="18"/>
        <v>0</v>
      </c>
      <c r="F134" s="1866">
        <f t="shared" si="5"/>
        <v>0</v>
      </c>
      <c r="G134" s="1725">
        <f t="shared" si="19"/>
        <v>0</v>
      </c>
    </row>
    <row r="135" spans="1:7" hidden="1" x14ac:dyDescent="0.25">
      <c r="A135" s="1586"/>
      <c r="B135" s="1598"/>
      <c r="C135" s="1587"/>
      <c r="D135" s="1776"/>
      <c r="E135" s="1473">
        <f t="shared" si="2"/>
        <v>0</v>
      </c>
      <c r="F135" s="1866">
        <f t="shared" si="5"/>
        <v>0</v>
      </c>
      <c r="G135" s="1725">
        <f t="shared" si="1"/>
        <v>0</v>
      </c>
    </row>
    <row r="136" spans="1:7" x14ac:dyDescent="0.25">
      <c r="A136" s="1728" t="s">
        <v>156</v>
      </c>
      <c r="B136" s="1729"/>
      <c r="C136" s="1730"/>
      <c r="D136" s="1726">
        <f>SUM(D18:D135)</f>
        <v>705638558</v>
      </c>
      <c r="E136" s="1474">
        <f t="shared" ref="E136" si="20">IF(D136&lt;=25000,D136,IF(D136&gt;25000,25000,0))</f>
        <v>25000</v>
      </c>
      <c r="F136" s="1864">
        <f>SUM(F18:F135)</f>
        <v>9775000</v>
      </c>
      <c r="G136" s="1727">
        <f>SUM(G18:G135)</f>
        <v>695863558</v>
      </c>
    </row>
  </sheetData>
  <sheetProtection selectLockedCells="1"/>
  <mergeCells count="6">
    <mergeCell ref="A14:G14"/>
    <mergeCell ref="A4:G5"/>
    <mergeCell ref="A12:G12"/>
    <mergeCell ref="A8:G8"/>
    <mergeCell ref="A9:G9"/>
    <mergeCell ref="A10:G10"/>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2D050"/>
  </sheetPr>
  <dimension ref="A1:I46"/>
  <sheetViews>
    <sheetView showGridLines="0" defaultGridColor="0" colorId="8" zoomScale="110" zoomScaleNormal="110" workbookViewId="0">
      <selection activeCell="M15" sqref="M15"/>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67" t="s">
        <v>1115</v>
      </c>
      <c r="B1" s="1568"/>
      <c r="C1" s="1569"/>
    </row>
    <row r="2" spans="1:9" x14ac:dyDescent="0.2">
      <c r="A2" s="952" t="s">
        <v>1116</v>
      </c>
      <c r="B2" s="953"/>
      <c r="C2" s="953"/>
      <c r="D2" s="953"/>
      <c r="E2" s="954"/>
      <c r="F2" s="954"/>
      <c r="G2" s="955"/>
    </row>
    <row r="3" spans="1:9" ht="12" customHeight="1" x14ac:dyDescent="0.2">
      <c r="A3" s="956" t="s">
        <v>1351</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319" t="s">
        <v>1668</v>
      </c>
      <c r="B5" s="2320"/>
      <c r="C5" s="2320"/>
      <c r="D5" s="2320"/>
      <c r="E5" s="2320"/>
      <c r="F5" s="2320"/>
      <c r="G5" s="2321"/>
      <c r="H5" s="252"/>
      <c r="I5" s="609"/>
    </row>
    <row r="6" spans="1:9" s="668" customFormat="1" x14ac:dyDescent="0.2">
      <c r="A6" s="1570"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v>17995949</v>
      </c>
      <c r="F9" s="974"/>
      <c r="G9" s="975"/>
      <c r="H9" s="162"/>
      <c r="I9" s="162"/>
    </row>
    <row r="10" spans="1:9" s="668" customFormat="1" ht="12" customHeight="1" x14ac:dyDescent="0.2">
      <c r="A10" s="970" t="s">
        <v>1909</v>
      </c>
      <c r="B10" s="971"/>
      <c r="C10" s="976"/>
      <c r="D10" s="972"/>
      <c r="E10" s="973">
        <v>10213646</v>
      </c>
      <c r="F10" s="974"/>
      <c r="G10" s="975"/>
      <c r="H10" s="162"/>
      <c r="I10" s="162"/>
    </row>
    <row r="11" spans="1:9" s="668" customFormat="1" ht="22.5" customHeight="1" x14ac:dyDescent="0.2">
      <c r="A11" s="2324" t="s">
        <v>1952</v>
      </c>
      <c r="B11" s="2325"/>
      <c r="C11" s="2325"/>
      <c r="D11" s="2326"/>
      <c r="E11" s="977">
        <f>'SEFA NOTES'!C33</f>
        <v>12847939</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1371</v>
      </c>
      <c r="B16" s="983"/>
      <c r="C16" s="984"/>
      <c r="D16" s="963"/>
      <c r="E16" s="958"/>
      <c r="F16" s="958"/>
      <c r="G16" s="959"/>
      <c r="H16" s="162"/>
      <c r="I16" s="162"/>
    </row>
    <row r="17" spans="1:9" s="668" customFormat="1" ht="12" customHeight="1" x14ac:dyDescent="0.2">
      <c r="A17" s="985"/>
      <c r="B17" s="986"/>
      <c r="C17" s="329"/>
      <c r="D17" s="1571" t="s">
        <v>532</v>
      </c>
      <c r="E17" s="1572"/>
      <c r="F17" s="1571" t="s">
        <v>433</v>
      </c>
      <c r="G17" s="1573"/>
      <c r="H17" s="162"/>
      <c r="I17" s="162"/>
    </row>
    <row r="18" spans="1:9" s="259" customFormat="1" ht="11.25" x14ac:dyDescent="0.2">
      <c r="A18" s="988"/>
      <c r="C18" s="989" t="s">
        <v>434</v>
      </c>
      <c r="D18" s="1574" t="s">
        <v>435</v>
      </c>
      <c r="E18" s="1574" t="s">
        <v>53</v>
      </c>
      <c r="F18" s="1574" t="s">
        <v>435</v>
      </c>
      <c r="G18" s="1574" t="s">
        <v>53</v>
      </c>
      <c r="H18" s="178"/>
      <c r="I18" s="178"/>
    </row>
    <row r="19" spans="1:9" s="668" customFormat="1" ht="12" customHeight="1" x14ac:dyDescent="0.2">
      <c r="A19" s="990" t="s">
        <v>456</v>
      </c>
      <c r="B19" s="991"/>
      <c r="C19" s="992" t="s">
        <v>570</v>
      </c>
      <c r="D19" s="1731"/>
      <c r="E19" s="1732">
        <f>'Expenditures 15-22'!K33-SUM('Expenditures 15-22'!G33,'Expenditures 15-22'!I33)+'Expenditures 15-22'!D229</f>
        <v>3580388688</v>
      </c>
      <c r="F19" s="1731"/>
      <c r="G19" s="1733">
        <f>'Expenditures 15-22'!K33-SUM('Expenditures 15-22'!G33,'Expenditures 15-22'!I33)+'Expenditures 15-22'!D229</f>
        <v>3580388688</v>
      </c>
      <c r="H19" s="987"/>
      <c r="I19" s="162"/>
    </row>
    <row r="20" spans="1:9" s="668" customFormat="1" ht="12" customHeight="1" x14ac:dyDescent="0.2">
      <c r="A20" s="990" t="s">
        <v>54</v>
      </c>
      <c r="B20" s="991"/>
      <c r="C20" s="993"/>
      <c r="D20" s="1734"/>
      <c r="E20" s="1734"/>
      <c r="F20" s="1734"/>
      <c r="G20" s="1735"/>
      <c r="H20" s="987"/>
      <c r="I20" s="162"/>
    </row>
    <row r="21" spans="1:9" s="668" customFormat="1" ht="12" customHeight="1" x14ac:dyDescent="0.2">
      <c r="A21" s="994" t="s">
        <v>401</v>
      </c>
      <c r="B21" s="995"/>
      <c r="C21" s="993">
        <v>2100</v>
      </c>
      <c r="D21" s="1734"/>
      <c r="E21" s="1736">
        <f>'Expenditures 15-22'!K42-SUM('Expenditures 15-22'!G42,'Expenditures 15-22'!I42)+'Expenditures 15-22'!K120-SUM('Expenditures 15-22'!G120,'Expenditures 15-22'!I120)+'Expenditures 15-22'!K180-SUM('Expenditures 15-22'!G180,'Expenditures 15-22'!I180)+'Expenditures 15-22'!D238</f>
        <v>298110033</v>
      </c>
      <c r="F21" s="1734"/>
      <c r="G21" s="1737">
        <f>'Expenditures 15-22'!K42-SUM('Expenditures 15-22'!G42,'Expenditures 15-22'!I42)+'Expenditures 15-22'!K120-SUM('Expenditures 15-22'!G120,'Expenditures 15-22'!I120)+'Expenditures 15-22'!K180-SUM('Expenditures 15-22'!G180,'Expenditures 15-22'!I180)+'Expenditures 15-22'!D238</f>
        <v>298110033</v>
      </c>
      <c r="H21" s="987"/>
      <c r="I21" s="162"/>
    </row>
    <row r="22" spans="1:9" s="668" customFormat="1" ht="12" customHeight="1" x14ac:dyDescent="0.2">
      <c r="A22" s="994" t="s">
        <v>564</v>
      </c>
      <c r="B22" s="995"/>
      <c r="C22" s="993">
        <v>2200</v>
      </c>
      <c r="D22" s="1734"/>
      <c r="E22" s="1736">
        <f>'Expenditures 15-22'!K47-SUM('Expenditures 15-22'!G47,'Expenditures 15-22'!I47)+'Expenditures 15-22'!D243</f>
        <v>182550014</v>
      </c>
      <c r="F22" s="1734"/>
      <c r="G22" s="1737">
        <f>'Expenditures 15-22'!K47-SUM('Expenditures 15-22'!G47,'Expenditures 15-22'!I47)+'Expenditures 15-22'!D243</f>
        <v>182550014</v>
      </c>
      <c r="H22" s="987"/>
      <c r="I22" s="162"/>
    </row>
    <row r="23" spans="1:9" s="668" customFormat="1" ht="12" customHeight="1" x14ac:dyDescent="0.2">
      <c r="A23" s="994" t="s">
        <v>565</v>
      </c>
      <c r="B23" s="995"/>
      <c r="C23" s="993">
        <v>2300</v>
      </c>
      <c r="D23" s="1734"/>
      <c r="E23" s="1736">
        <f>'Expenditures 15-22'!K53-SUM('Expenditures 15-22'!G53,'Expenditures 15-22'!I53)+'Expenditures 15-22'!D257+'Expenditures 15-22'!K330-SUM('Expenditures 15-22'!G330,'Expenditures 15-22'!I330)</f>
        <v>144374120</v>
      </c>
      <c r="F23" s="1734"/>
      <c r="G23" s="1736">
        <f>'Expenditures 15-22'!K53-SUM('Expenditures 15-22'!G53,'Expenditures 15-22'!I53)+'Expenditures 15-22'!D257+'Expenditures 15-22'!K330-SUM('Expenditures 15-22'!G330,'Expenditures 15-22'!I330)</f>
        <v>144374120</v>
      </c>
      <c r="H23" s="987"/>
      <c r="I23" s="162"/>
    </row>
    <row r="24" spans="1:9" s="668" customFormat="1" ht="12" customHeight="1" x14ac:dyDescent="0.2">
      <c r="A24" s="994" t="s">
        <v>566</v>
      </c>
      <c r="B24" s="995"/>
      <c r="C24" s="993">
        <v>2400</v>
      </c>
      <c r="D24" s="1734"/>
      <c r="E24" s="1736">
        <f>'Expenditures 15-22'!K57-SUM('Expenditures 15-22'!G57,'Expenditures 15-22'!I57)+'Expenditures 15-22'!D261</f>
        <v>209562421</v>
      </c>
      <c r="F24" s="1734"/>
      <c r="G24" s="1737">
        <f>'Expenditures 15-22'!K57-SUM('Expenditures 15-22'!G57,'Expenditures 15-22'!I57)+'Expenditures 15-22'!D261</f>
        <v>209562421</v>
      </c>
      <c r="H24" s="987"/>
      <c r="I24" s="162"/>
    </row>
    <row r="25" spans="1:9" s="668" customFormat="1" ht="12" customHeight="1" x14ac:dyDescent="0.2">
      <c r="A25" s="990" t="s">
        <v>567</v>
      </c>
      <c r="B25" s="996"/>
      <c r="C25" s="993"/>
      <c r="D25" s="1734"/>
      <c r="E25" s="1736"/>
      <c r="F25" s="1734"/>
      <c r="G25" s="1737"/>
      <c r="H25" s="987"/>
      <c r="I25" s="162"/>
    </row>
    <row r="26" spans="1:9" s="668" customFormat="1" ht="12" customHeight="1" x14ac:dyDescent="0.2">
      <c r="A26" s="994" t="s">
        <v>515</v>
      </c>
      <c r="B26" s="997"/>
      <c r="C26" s="993">
        <v>2510</v>
      </c>
      <c r="D26" s="1736">
        <f>'Expenditures 15-22'!K59-SUM('Expenditures 15-22'!G59,'Expenditures 15-22'!I59)+'Expenditures 15-22'!D263-E7</f>
        <v>5420289</v>
      </c>
      <c r="E26" s="1736">
        <f>'Expenditures 15-22'!K122-SUM('Expenditures 15-22'!G122,'Expenditures 15-22'!I122)+E7</f>
        <v>864539</v>
      </c>
      <c r="F26" s="1736">
        <f>'Expenditures 15-22'!K59-SUM('Expenditures 15-22'!G59,'Expenditures 15-22'!I59)+'Expenditures 15-22'!D263-E7</f>
        <v>5420289</v>
      </c>
      <c r="G26" s="1737">
        <f>'Expenditures 15-22'!K122-SUM('Expenditures 15-22'!G122,'Expenditures 15-22'!I122)+E7</f>
        <v>864539</v>
      </c>
      <c r="H26" s="987"/>
      <c r="I26" s="162"/>
    </row>
    <row r="27" spans="1:9" s="668" customFormat="1" ht="12" customHeight="1" x14ac:dyDescent="0.2">
      <c r="A27" s="994" t="s">
        <v>463</v>
      </c>
      <c r="B27" s="997"/>
      <c r="C27" s="993">
        <v>2520</v>
      </c>
      <c r="D27" s="1736">
        <f>'Expenditures 15-22'!K60-SUM('Expenditures 15-22'!G60,'Expenditures 15-22'!I60)+'Expenditures 15-22'!D264-E8</f>
        <v>17207356</v>
      </c>
      <c r="E27" s="1736">
        <f>E8</f>
        <v>0</v>
      </c>
      <c r="F27" s="1736">
        <f>'Expenditures 15-22'!K60-SUM('Expenditures 15-22'!G60,'Expenditures 15-22'!I60)+'Expenditures 15-22'!D264-E8</f>
        <v>17207356</v>
      </c>
      <c r="G27" s="1737">
        <f>E8</f>
        <v>0</v>
      </c>
      <c r="H27" s="987"/>
      <c r="I27" s="162"/>
    </row>
    <row r="28" spans="1:9" s="668" customFormat="1" ht="12" customHeight="1" x14ac:dyDescent="0.2">
      <c r="A28" s="994" t="s">
        <v>516</v>
      </c>
      <c r="B28" s="997"/>
      <c r="C28" s="993">
        <v>2540</v>
      </c>
      <c r="D28" s="1738"/>
      <c r="E28" s="1736">
        <f>'Expenditures 15-22'!K61-SUM('Expenditures 15-22'!G61,'Expenditures 15-22'!I61)+'Expenditures 15-22'!K124-SUM('Expenditures 15-22'!G124,'Expenditures 15-22'!I124)+'Expenditures 15-22'!D266</f>
        <v>450595267</v>
      </c>
      <c r="F28" s="1738">
        <f>'Expenditures 15-22'!K61-SUM('Expenditures 15-22'!G61,'Expenditures 15-22'!I61)+'Expenditures 15-22'!K124-SUM('Expenditures 15-22'!G124,'Expenditures 15-22'!I124)+'Expenditures 15-22'!D266-E9</f>
        <v>432599318</v>
      </c>
      <c r="G28" s="1737">
        <f>E9</f>
        <v>17995949</v>
      </c>
      <c r="H28" s="987"/>
      <c r="I28" s="162"/>
    </row>
    <row r="29" spans="1:9" ht="12" customHeight="1" x14ac:dyDescent="0.2">
      <c r="A29" s="994" t="s">
        <v>517</v>
      </c>
      <c r="B29" s="997"/>
      <c r="C29" s="993">
        <v>2550</v>
      </c>
      <c r="D29" s="1734"/>
      <c r="E29" s="1736">
        <f>'Expenditures 15-22'!K62-SUM('Expenditures 15-22'!G62,'Expenditures 15-22'!I62)+'Expenditures 15-22'!K125-SUM('Expenditures 15-22'!G125,'Expenditures 15-22'!I125)+'Expenditures 15-22'!K182-SUM('Expenditures 15-22'!G182,'Expenditures 15-22'!I182)+'Expenditures 15-22'!D267</f>
        <v>122321648</v>
      </c>
      <c r="F29" s="1734"/>
      <c r="G29" s="1737">
        <f>'Expenditures 15-22'!K62-SUM('Expenditures 15-22'!G62,'Expenditures 15-22'!I62)+'Expenditures 15-22'!K125-SUM('Expenditures 15-22'!G125,'Expenditures 15-22'!I125)+'Expenditures 15-22'!K182-SUM('Expenditures 15-22'!G182,'Expenditures 15-22'!I182)+'Expenditures 15-22'!D267</f>
        <v>122321648</v>
      </c>
      <c r="H29" s="985"/>
    </row>
    <row r="30" spans="1:9" ht="12" customHeight="1" x14ac:dyDescent="0.2">
      <c r="A30" s="994" t="s">
        <v>100</v>
      </c>
      <c r="B30" s="997"/>
      <c r="C30" s="993">
        <v>2560</v>
      </c>
      <c r="D30" s="1734"/>
      <c r="E30" s="1736">
        <f>'Expenditures 15-22'!K63-SUM('Expenditures 15-22'!G63,'Expenditures 15-22'!I63)+'Expenditures 15-22'!D268-E10</f>
        <v>190584738</v>
      </c>
      <c r="F30" s="1734"/>
      <c r="G30" s="1736">
        <f>'Expenditures 15-22'!K63-SUM('Expenditures 15-22'!G63,'Expenditures 15-22'!I63)+'Expenditures 15-22'!D268-E10</f>
        <v>190584738</v>
      </c>
    </row>
    <row r="31" spans="1:9" ht="12" customHeight="1" x14ac:dyDescent="0.2">
      <c r="A31" s="994" t="s">
        <v>101</v>
      </c>
      <c r="B31" s="997"/>
      <c r="C31" s="993">
        <v>2570</v>
      </c>
      <c r="D31" s="1736">
        <f>'Expenditures 15-22'!K64-SUM('Expenditures 15-22'!G64,'Expenditures 15-22'!I64)+'Expenditures 15-22'!D269-E12</f>
        <v>3932609</v>
      </c>
      <c r="E31" s="1736">
        <f>E12</f>
        <v>0</v>
      </c>
      <c r="F31" s="1736">
        <f>'Expenditures 15-22'!K64-SUM('Expenditures 15-22'!G64,'Expenditures 15-22'!I64)+'Expenditures 15-22'!D269-E12</f>
        <v>3932609</v>
      </c>
      <c r="G31" s="1736">
        <f>E12</f>
        <v>0</v>
      </c>
    </row>
    <row r="32" spans="1:9" ht="12" customHeight="1" x14ac:dyDescent="0.2">
      <c r="A32" s="990" t="s">
        <v>518</v>
      </c>
      <c r="B32" s="996"/>
      <c r="C32" s="993"/>
      <c r="D32" s="1734"/>
      <c r="E32" s="1734"/>
      <c r="F32" s="1734"/>
      <c r="G32" s="1734"/>
    </row>
    <row r="33" spans="1:7" ht="12" customHeight="1" x14ac:dyDescent="0.2">
      <c r="A33" s="994" t="s">
        <v>519</v>
      </c>
      <c r="B33" s="997"/>
      <c r="C33" s="993">
        <v>2610</v>
      </c>
      <c r="D33" s="1734"/>
      <c r="E33" s="1736">
        <f>'Expenditures 15-22'!K67-SUM('Expenditures 15-22'!G67,'Expenditures 15-22'!I67)+'Expenditures 15-22'!D272</f>
        <v>7183048</v>
      </c>
      <c r="F33" s="1734"/>
      <c r="G33" s="1736">
        <f>'Expenditures 15-22'!K67-SUM('Expenditures 15-22'!G67,'Expenditures 15-22'!I67)+'Expenditures 15-22'!D272</f>
        <v>7183048</v>
      </c>
    </row>
    <row r="34" spans="1:7" ht="12" customHeight="1" x14ac:dyDescent="0.2">
      <c r="A34" s="994" t="s">
        <v>520</v>
      </c>
      <c r="B34" s="997"/>
      <c r="C34" s="993">
        <v>2620</v>
      </c>
      <c r="D34" s="1734"/>
      <c r="E34" s="1736">
        <f>'Expenditures 15-22'!K68-SUM('Expenditures 15-22'!G68,'Expenditures 15-22'!I68)+'Expenditures 15-22'!D273</f>
        <v>7857203</v>
      </c>
      <c r="F34" s="1734"/>
      <c r="G34" s="1736">
        <f>'Expenditures 15-22'!K68-SUM('Expenditures 15-22'!G68,'Expenditures 15-22'!I68)+'Expenditures 15-22'!D273</f>
        <v>7857203</v>
      </c>
    </row>
    <row r="35" spans="1:7" ht="12" customHeight="1" x14ac:dyDescent="0.2">
      <c r="A35" s="994" t="s">
        <v>1061</v>
      </c>
      <c r="B35" s="997"/>
      <c r="C35" s="993">
        <v>2630</v>
      </c>
      <c r="D35" s="1734"/>
      <c r="E35" s="1736">
        <f>'Expenditures 15-22'!K69-SUM('Expenditures 15-22'!G69,'Expenditures 15-22'!I69)+'Expenditures 15-22'!D274</f>
        <v>421469</v>
      </c>
      <c r="F35" s="1734"/>
      <c r="G35" s="1736">
        <f>'Expenditures 15-22'!K69-SUM('Expenditures 15-22'!G69,'Expenditures 15-22'!I69)+'Expenditures 15-22'!D274</f>
        <v>421469</v>
      </c>
    </row>
    <row r="36" spans="1:7" ht="12" customHeight="1" x14ac:dyDescent="0.2">
      <c r="A36" s="994" t="s">
        <v>403</v>
      </c>
      <c r="B36" s="997"/>
      <c r="C36" s="993">
        <v>2640</v>
      </c>
      <c r="D36" s="1736">
        <f>'Expenditures 15-22'!K70-SUM('Expenditures 15-22'!G70,'Expenditures 15-22'!I70)+'Expenditures 15-22'!D275-E13</f>
        <v>23009056</v>
      </c>
      <c r="E36" s="1736">
        <f>E13</f>
        <v>0</v>
      </c>
      <c r="F36" s="1736">
        <f>'Expenditures 15-22'!K70-SUM('Expenditures 15-22'!G70,'Expenditures 15-22'!I70)+'Expenditures 15-22'!D275-E13</f>
        <v>23009056</v>
      </c>
      <c r="G36" s="1736">
        <f>E13</f>
        <v>0</v>
      </c>
    </row>
    <row r="37" spans="1:7" ht="12" customHeight="1" x14ac:dyDescent="0.2">
      <c r="A37" s="994" t="s">
        <v>404</v>
      </c>
      <c r="B37" s="997"/>
      <c r="C37" s="993">
        <v>2660</v>
      </c>
      <c r="D37" s="1736">
        <f>'Expenditures 15-22'!K71-SUM('Expenditures 15-22'!G71,'Expenditures 15-22'!I71)+'Expenditures 15-22'!D276-E14</f>
        <v>38467740</v>
      </c>
      <c r="E37" s="1736">
        <f>E14</f>
        <v>0</v>
      </c>
      <c r="F37" s="1736">
        <f>'Expenditures 15-22'!K71-SUM('Expenditures 15-22'!G71,'Expenditures 15-22'!I71)+'Expenditures 15-22'!D276-E14</f>
        <v>38467740</v>
      </c>
      <c r="G37" s="1736">
        <f>E14</f>
        <v>0</v>
      </c>
    </row>
    <row r="38" spans="1:7" ht="12" customHeight="1" x14ac:dyDescent="0.2">
      <c r="A38" s="990" t="s">
        <v>521</v>
      </c>
      <c r="B38" s="991"/>
      <c r="C38" s="993">
        <v>2900</v>
      </c>
      <c r="D38" s="1734"/>
      <c r="E38" s="1736">
        <f>'Expenditures 15-22'!K73-SUM('Expenditures 15-22'!G73,'Expenditures 15-22'!I73)+'Expenditures 15-22'!K128-SUM('Expenditures 15-22'!G128,'Expenditures 15-22'!I128)+'Expenditures 15-22'!K183-SUM('Expenditures 15-22'!G183,'Expenditures 15-22'!I183)+'Expenditures 15-22'!D278</f>
        <v>11676758</v>
      </c>
      <c r="F38" s="1734"/>
      <c r="G38" s="1736">
        <f>'Expenditures 15-22'!K73-SUM('Expenditures 15-22'!G73,'Expenditures 15-22'!I73)+'Expenditures 15-22'!K128-SUM('Expenditures 15-22'!G128,'Expenditures 15-22'!I128)+'Expenditures 15-22'!K183-SUM('Expenditures 15-22'!G183,'Expenditures 15-22'!I183)+'Expenditures 15-22'!D278</f>
        <v>11676758</v>
      </c>
    </row>
    <row r="39" spans="1:7" ht="12" customHeight="1" x14ac:dyDescent="0.2">
      <c r="A39" s="990" t="s">
        <v>449</v>
      </c>
      <c r="B39" s="991"/>
      <c r="C39" s="993">
        <v>3000</v>
      </c>
      <c r="D39" s="1734"/>
      <c r="E39" s="1736">
        <f>'Expenditures 15-22'!K75-SUM('Expenditures 15-22'!G75,'Expenditures 15-22'!I75)+'Expenditures 15-22'!K130-SUM('Expenditures 15-22'!G130,'Expenditures 15-22'!I130)+'Expenditures 15-22'!K185-SUM('Expenditures 15-22'!G185,'Expenditures 15-22'!I185)+'Expenditures 15-22'!D280</f>
        <v>62885519</v>
      </c>
      <c r="F39" s="1734"/>
      <c r="G39" s="1736">
        <f>'Expenditures 15-22'!K75-SUM('Expenditures 15-22'!G75,'Expenditures 15-22'!I75)+'Expenditures 15-22'!K130-SUM('Expenditures 15-22'!G130,'Expenditures 15-22'!I130)+'Expenditures 15-22'!K185-SUM('Expenditures 15-22'!G185,'Expenditures 15-22'!I185)+'Expenditures 15-22'!D280</f>
        <v>62885519</v>
      </c>
    </row>
    <row r="40" spans="1:7" ht="12" customHeight="1" x14ac:dyDescent="0.2">
      <c r="A40" s="990" t="s">
        <v>1801</v>
      </c>
      <c r="B40" s="991"/>
      <c r="C40" s="993"/>
      <c r="D40" s="1734"/>
      <c r="E40" s="1738">
        <f>-'Contracts Paid in CY 29'!G136</f>
        <v>-695863558</v>
      </c>
      <c r="F40" s="1734"/>
      <c r="G40" s="1738">
        <f>-'Contracts Paid in CY 29'!G136</f>
        <v>-695863558</v>
      </c>
    </row>
    <row r="41" spans="1:7" ht="12" customHeight="1" x14ac:dyDescent="0.2">
      <c r="A41" s="998" t="s">
        <v>156</v>
      </c>
      <c r="B41" s="999"/>
      <c r="C41" s="1000"/>
      <c r="D41" s="1738">
        <f>SUM(D19:D39)</f>
        <v>88037050</v>
      </c>
      <c r="E41" s="1738">
        <f>SUM(E19:E40)</f>
        <v>4573511907</v>
      </c>
      <c r="F41" s="1738">
        <f>SUM(F19:F39)</f>
        <v>520636368</v>
      </c>
      <c r="G41" s="1738">
        <f>SUM(G19:G40)</f>
        <v>4140912589</v>
      </c>
    </row>
    <row r="42" spans="1:7" x14ac:dyDescent="0.2">
      <c r="A42" s="987"/>
      <c r="B42" s="162"/>
      <c r="C42" s="1001"/>
      <c r="D42" s="2322" t="s">
        <v>522</v>
      </c>
      <c r="E42" s="2323"/>
      <c r="F42" s="1002" t="s">
        <v>523</v>
      </c>
      <c r="G42" s="1003"/>
    </row>
    <row r="43" spans="1:7" ht="12" customHeight="1" x14ac:dyDescent="0.2">
      <c r="A43" s="987"/>
      <c r="B43" s="162"/>
      <c r="C43" s="1001"/>
      <c r="D43" s="1739" t="s">
        <v>473</v>
      </c>
      <c r="E43" s="1740">
        <f>D41</f>
        <v>88037050</v>
      </c>
      <c r="F43" s="1739" t="s">
        <v>473</v>
      </c>
      <c r="G43" s="1740">
        <f>F41</f>
        <v>520636368</v>
      </c>
    </row>
    <row r="44" spans="1:7" ht="12" customHeight="1" x14ac:dyDescent="0.2">
      <c r="A44" s="987"/>
      <c r="B44" s="162"/>
      <c r="C44" s="1001"/>
      <c r="D44" s="1739" t="s">
        <v>474</v>
      </c>
      <c r="E44" s="1740">
        <f>E41</f>
        <v>4573511907</v>
      </c>
      <c r="F44" s="1739" t="s">
        <v>474</v>
      </c>
      <c r="G44" s="1740">
        <f>G41</f>
        <v>4140912589</v>
      </c>
    </row>
    <row r="45" spans="1:7" ht="12" customHeight="1" x14ac:dyDescent="0.2">
      <c r="A45" s="987"/>
      <c r="B45" s="162"/>
      <c r="C45" s="162"/>
      <c r="D45" s="1741" t="s">
        <v>1006</v>
      </c>
      <c r="E45" s="1742">
        <f>(E43/E44)</f>
        <v>1.9249332195955295E-2</v>
      </c>
      <c r="F45" s="1741" t="s">
        <v>1006</v>
      </c>
      <c r="G45" s="1742">
        <f>(G43/G44)</f>
        <v>0.12572986191088131</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2D050"/>
  </sheetPr>
  <dimension ref="A1:L97"/>
  <sheetViews>
    <sheetView showGridLines="0" zoomScale="110" zoomScaleNormal="110" workbookViewId="0">
      <pane ySplit="4" topLeftCell="A5" activePane="bottomLeft" state="frozen"/>
      <selection activeCell="A47" sqref="A47"/>
      <selection pane="bottomLeft" activeCell="I17" sqref="I17"/>
    </sheetView>
  </sheetViews>
  <sheetFormatPr defaultColWidth="9.140625" defaultRowHeight="12.75" x14ac:dyDescent="0.2"/>
  <cols>
    <col min="1" max="1" width="54.5703125" style="1808" customWidth="1"/>
    <col min="2" max="2" width="4.140625" style="1808" customWidth="1"/>
    <col min="3" max="4" width="9.85546875" style="1779" customWidth="1"/>
    <col min="5" max="5" width="12.5703125" style="1809" customWidth="1"/>
    <col min="6" max="6" width="67.5703125" style="1779" customWidth="1"/>
    <col min="7" max="7" width="9.140625" style="1779" customWidth="1"/>
    <col min="8" max="8" width="5.5703125" style="1810" bestFit="1" customWidth="1"/>
    <col min="9" max="10" width="2" style="1810" bestFit="1" customWidth="1"/>
    <col min="11" max="11" width="9" style="1810" customWidth="1"/>
    <col min="12" max="16384" width="9.140625" style="1779"/>
  </cols>
  <sheetData>
    <row r="1" spans="1:10" x14ac:dyDescent="0.2">
      <c r="A1" s="2330" t="s">
        <v>1374</v>
      </c>
      <c r="B1" s="2330"/>
      <c r="C1" s="2330"/>
      <c r="D1" s="2330"/>
      <c r="E1" s="2330"/>
      <c r="F1" s="2330"/>
    </row>
    <row r="2" spans="1:10" x14ac:dyDescent="0.2">
      <c r="A2" s="1819" t="s">
        <v>1888</v>
      </c>
      <c r="B2" s="1780"/>
      <c r="C2" s="1819"/>
      <c r="D2" s="1780"/>
      <c r="E2" s="1780"/>
      <c r="F2" s="1781"/>
    </row>
    <row r="3" spans="1:10" x14ac:dyDescent="0.2">
      <c r="A3" s="1819" t="s">
        <v>1953</v>
      </c>
      <c r="B3" s="1780"/>
      <c r="C3" s="1819"/>
      <c r="D3" s="1780"/>
      <c r="E3" s="1780"/>
      <c r="F3" s="1781"/>
    </row>
    <row r="4" spans="1:10" ht="3.75" customHeight="1" x14ac:dyDescent="0.2">
      <c r="A4" s="1780"/>
      <c r="B4" s="1780"/>
      <c r="C4" s="1780"/>
      <c r="D4" s="1780"/>
      <c r="E4" s="1780"/>
      <c r="F4" s="1781"/>
    </row>
    <row r="5" spans="1:10" ht="15" x14ac:dyDescent="0.25">
      <c r="A5" s="2331" t="s">
        <v>1541</v>
      </c>
      <c r="B5" s="2332"/>
      <c r="C5" s="2333"/>
      <c r="D5" s="2333"/>
      <c r="E5" s="2333"/>
      <c r="F5" s="2333"/>
    </row>
    <row r="6" spans="1:10" ht="12" customHeight="1" x14ac:dyDescent="0.25">
      <c r="A6" s="1782"/>
      <c r="B6" s="1783"/>
      <c r="C6" s="2334" t="str">
        <f>COVER!A17</f>
        <v>City of Chicago SD 299</v>
      </c>
      <c r="D6" s="2334"/>
      <c r="E6" s="2334"/>
      <c r="F6" s="1784"/>
    </row>
    <row r="7" spans="1:10" ht="11.25" customHeight="1" thickBot="1" x14ac:dyDescent="0.3">
      <c r="A7" s="1782"/>
      <c r="B7" s="1783"/>
      <c r="C7" s="2335">
        <f>COVER!A13</f>
        <v>15016299025</v>
      </c>
      <c r="D7" s="2335"/>
      <c r="E7" s="2335"/>
      <c r="F7" s="1784"/>
    </row>
    <row r="8" spans="1:10" ht="25.5" customHeight="1" thickBot="1" x14ac:dyDescent="0.25">
      <c r="A8" s="1825" t="s">
        <v>1884</v>
      </c>
      <c r="B8" s="1785" t="s">
        <v>2042</v>
      </c>
      <c r="C8" s="1821" t="s">
        <v>1670</v>
      </c>
      <c r="D8" s="1820" t="s">
        <v>1671</v>
      </c>
      <c r="E8" s="1822" t="s">
        <v>1375</v>
      </c>
      <c r="F8" s="1820" t="s">
        <v>1672</v>
      </c>
      <c r="H8" s="1786" t="b">
        <v>0</v>
      </c>
    </row>
    <row r="9" spans="1:10" ht="15.75" customHeight="1" x14ac:dyDescent="0.2">
      <c r="A9" s="1787" t="s">
        <v>1537</v>
      </c>
      <c r="B9" s="1788"/>
      <c r="C9" s="1789"/>
      <c r="D9" s="1789"/>
      <c r="E9" s="1790"/>
      <c r="F9" s="1791"/>
    </row>
    <row r="10" spans="1:10" ht="27.75" customHeight="1" x14ac:dyDescent="0.2">
      <c r="A10" s="1792" t="s">
        <v>1669</v>
      </c>
      <c r="B10" s="1793"/>
      <c r="C10" s="1794"/>
      <c r="D10" s="1794"/>
      <c r="E10" s="1823" t="s">
        <v>1376</v>
      </c>
      <c r="F10" s="1824" t="s">
        <v>1377</v>
      </c>
    </row>
    <row r="11" spans="1:10" ht="12" customHeight="1" x14ac:dyDescent="0.2">
      <c r="A11" s="1795" t="s">
        <v>1378</v>
      </c>
      <c r="B11" s="1796"/>
      <c r="C11" s="1797"/>
      <c r="D11" s="1797"/>
      <c r="E11" s="1798"/>
      <c r="F11" s="1799"/>
      <c r="H11" s="1810">
        <f>IF(C11="X",5,0)</f>
        <v>0</v>
      </c>
      <c r="I11" s="1810">
        <f>IF(D11="X",5,0)</f>
        <v>0</v>
      </c>
      <c r="J11" s="1810">
        <f>IF(E11="X",5,0)</f>
        <v>0</v>
      </c>
    </row>
    <row r="12" spans="1:10" ht="12" customHeight="1" x14ac:dyDescent="0.2">
      <c r="A12" s="1795" t="s">
        <v>1379</v>
      </c>
      <c r="B12" s="1796"/>
      <c r="C12" s="1797"/>
      <c r="D12" s="1797"/>
      <c r="E12" s="1800"/>
      <c r="F12" s="1799"/>
      <c r="H12" s="1810">
        <f t="shared" ref="H12:H33" si="0">IF(C12="X",5,0)</f>
        <v>0</v>
      </c>
      <c r="I12" s="1810">
        <f t="shared" ref="I12:I33" si="1">IF(D12="X",5,0)</f>
        <v>0</v>
      </c>
      <c r="J12" s="1810">
        <f t="shared" ref="J12:J33" si="2">IF(E12="X",5,0)</f>
        <v>0</v>
      </c>
    </row>
    <row r="13" spans="1:10" ht="12" customHeight="1" x14ac:dyDescent="0.2">
      <c r="A13" s="1795" t="s">
        <v>1380</v>
      </c>
      <c r="B13" s="1796"/>
      <c r="C13" s="1797"/>
      <c r="D13" s="1797"/>
      <c r="E13" s="1800"/>
      <c r="F13" s="1799"/>
      <c r="H13" s="1810">
        <f t="shared" si="0"/>
        <v>0</v>
      </c>
      <c r="I13" s="1810">
        <f t="shared" si="1"/>
        <v>0</v>
      </c>
      <c r="J13" s="1810">
        <f t="shared" si="2"/>
        <v>0</v>
      </c>
    </row>
    <row r="14" spans="1:10" ht="12" customHeight="1" x14ac:dyDescent="0.2">
      <c r="A14" s="1795" t="s">
        <v>1381</v>
      </c>
      <c r="B14" s="1796"/>
      <c r="C14" s="1797"/>
      <c r="D14" s="1797"/>
      <c r="E14" s="1800"/>
      <c r="F14" s="1799"/>
      <c r="H14" s="1810">
        <f t="shared" si="0"/>
        <v>0</v>
      </c>
      <c r="I14" s="1810">
        <f t="shared" si="1"/>
        <v>0</v>
      </c>
      <c r="J14" s="1810">
        <f t="shared" si="2"/>
        <v>0</v>
      </c>
    </row>
    <row r="15" spans="1:10" ht="12" customHeight="1" x14ac:dyDescent="0.2">
      <c r="A15" s="1795" t="s">
        <v>1382</v>
      </c>
      <c r="B15" s="1796"/>
      <c r="C15" s="1797"/>
      <c r="D15" s="1797"/>
      <c r="E15" s="1800"/>
      <c r="F15" s="1799"/>
      <c r="H15" s="1810">
        <f t="shared" si="0"/>
        <v>0</v>
      </c>
      <c r="I15" s="1810">
        <f t="shared" si="1"/>
        <v>0</v>
      </c>
      <c r="J15" s="1810">
        <f t="shared" si="2"/>
        <v>0</v>
      </c>
    </row>
    <row r="16" spans="1:10" ht="12" customHeight="1" x14ac:dyDescent="0.2">
      <c r="A16" s="1795" t="s">
        <v>1383</v>
      </c>
      <c r="B16" s="1796"/>
      <c r="C16" s="1797"/>
      <c r="D16" s="1797"/>
      <c r="E16" s="1800"/>
      <c r="F16" s="1799"/>
      <c r="H16" s="1810">
        <f t="shared" si="0"/>
        <v>0</v>
      </c>
      <c r="I16" s="1810">
        <f t="shared" si="1"/>
        <v>0</v>
      </c>
      <c r="J16" s="1810">
        <f t="shared" si="2"/>
        <v>0</v>
      </c>
    </row>
    <row r="17" spans="1:12" ht="12" customHeight="1" x14ac:dyDescent="0.2">
      <c r="A17" s="1795" t="s">
        <v>1384</v>
      </c>
      <c r="B17" s="1796"/>
      <c r="C17" s="1797"/>
      <c r="D17" s="1797"/>
      <c r="E17" s="1800"/>
      <c r="F17" s="1799"/>
      <c r="H17" s="1810">
        <f t="shared" si="0"/>
        <v>0</v>
      </c>
      <c r="I17" s="1810">
        <f t="shared" si="1"/>
        <v>0</v>
      </c>
      <c r="J17" s="1810">
        <f t="shared" si="2"/>
        <v>0</v>
      </c>
    </row>
    <row r="18" spans="1:12" ht="12" customHeight="1" x14ac:dyDescent="0.2">
      <c r="A18" s="1795" t="s">
        <v>1385</v>
      </c>
      <c r="B18" s="1796"/>
      <c r="C18" s="1797"/>
      <c r="D18" s="1797"/>
      <c r="E18" s="1800"/>
      <c r="F18" s="1799"/>
      <c r="H18" s="1810">
        <f t="shared" si="0"/>
        <v>0</v>
      </c>
      <c r="I18" s="1810">
        <f t="shared" si="1"/>
        <v>0</v>
      </c>
      <c r="J18" s="1810">
        <f t="shared" si="2"/>
        <v>0</v>
      </c>
    </row>
    <row r="19" spans="1:12" ht="12" customHeight="1" x14ac:dyDescent="0.2">
      <c r="A19" s="1795" t="s">
        <v>1522</v>
      </c>
      <c r="B19" s="1796"/>
      <c r="C19" s="1797"/>
      <c r="D19" s="1797"/>
      <c r="E19" s="1800"/>
      <c r="F19" s="1799"/>
      <c r="H19" s="1810">
        <f t="shared" si="0"/>
        <v>0</v>
      </c>
      <c r="I19" s="1810">
        <f t="shared" si="1"/>
        <v>0</v>
      </c>
      <c r="J19" s="1810">
        <f t="shared" si="2"/>
        <v>0</v>
      </c>
    </row>
    <row r="20" spans="1:12" ht="12" customHeight="1" x14ac:dyDescent="0.2">
      <c r="A20" s="1795" t="s">
        <v>1523</v>
      </c>
      <c r="B20" s="1796"/>
      <c r="C20" s="1797"/>
      <c r="D20" s="1797"/>
      <c r="E20" s="1800"/>
      <c r="F20" s="1799"/>
      <c r="H20" s="1810">
        <f t="shared" si="0"/>
        <v>0</v>
      </c>
      <c r="I20" s="1810">
        <f t="shared" si="1"/>
        <v>0</v>
      </c>
      <c r="J20" s="1810">
        <f t="shared" si="2"/>
        <v>0</v>
      </c>
    </row>
    <row r="21" spans="1:12" ht="12" customHeight="1" x14ac:dyDescent="0.2">
      <c r="A21" s="1795" t="s">
        <v>1524</v>
      </c>
      <c r="B21" s="1796"/>
      <c r="C21" s="1797"/>
      <c r="D21" s="1797"/>
      <c r="E21" s="1800"/>
      <c r="F21" s="1799"/>
      <c r="H21" s="1810">
        <f t="shared" si="0"/>
        <v>0</v>
      </c>
      <c r="I21" s="1810">
        <f t="shared" si="1"/>
        <v>0</v>
      </c>
      <c r="J21" s="1810">
        <f t="shared" si="2"/>
        <v>0</v>
      </c>
    </row>
    <row r="22" spans="1:12" ht="12" customHeight="1" x14ac:dyDescent="0.2">
      <c r="A22" s="1795" t="s">
        <v>1525</v>
      </c>
      <c r="B22" s="1796"/>
      <c r="C22" s="1797"/>
      <c r="D22" s="1797"/>
      <c r="E22" s="1800"/>
      <c r="F22" s="1799"/>
      <c r="H22" s="1810">
        <f t="shared" si="0"/>
        <v>0</v>
      </c>
      <c r="I22" s="1810">
        <f t="shared" si="1"/>
        <v>0</v>
      </c>
      <c r="J22" s="1810">
        <f t="shared" si="2"/>
        <v>0</v>
      </c>
    </row>
    <row r="23" spans="1:12" ht="12" customHeight="1" x14ac:dyDescent="0.2">
      <c r="A23" s="1795" t="s">
        <v>1526</v>
      </c>
      <c r="B23" s="1796"/>
      <c r="C23" s="1797"/>
      <c r="D23" s="1797"/>
      <c r="E23" s="1800"/>
      <c r="F23" s="1799"/>
      <c r="H23" s="1810">
        <f t="shared" si="0"/>
        <v>0</v>
      </c>
      <c r="I23" s="1810">
        <f t="shared" si="1"/>
        <v>0</v>
      </c>
      <c r="J23" s="1810">
        <f t="shared" si="2"/>
        <v>0</v>
      </c>
    </row>
    <row r="24" spans="1:12" ht="12" customHeight="1" x14ac:dyDescent="0.2">
      <c r="A24" s="1795" t="s">
        <v>1527</v>
      </c>
      <c r="B24" s="1796"/>
      <c r="C24" s="1797"/>
      <c r="D24" s="1797"/>
      <c r="E24" s="1800"/>
      <c r="F24" s="1799"/>
      <c r="H24" s="1810">
        <f t="shared" si="0"/>
        <v>0</v>
      </c>
      <c r="I24" s="1810">
        <f t="shared" si="1"/>
        <v>0</v>
      </c>
      <c r="J24" s="1810">
        <f t="shared" si="2"/>
        <v>0</v>
      </c>
    </row>
    <row r="25" spans="1:12" ht="12" customHeight="1" x14ac:dyDescent="0.2">
      <c r="A25" s="1795" t="s">
        <v>1528</v>
      </c>
      <c r="B25" s="1796"/>
      <c r="C25" s="1797"/>
      <c r="D25" s="1797"/>
      <c r="E25" s="1800"/>
      <c r="F25" s="1799"/>
      <c r="H25" s="1810">
        <f t="shared" si="0"/>
        <v>0</v>
      </c>
      <c r="I25" s="1810">
        <f t="shared" si="1"/>
        <v>0</v>
      </c>
      <c r="J25" s="1810">
        <f t="shared" si="2"/>
        <v>0</v>
      </c>
    </row>
    <row r="26" spans="1:12" ht="12" customHeight="1" x14ac:dyDescent="0.2">
      <c r="A26" s="1795" t="s">
        <v>1529</v>
      </c>
      <c r="B26" s="1796"/>
      <c r="C26" s="1797"/>
      <c r="D26" s="1797"/>
      <c r="E26" s="1800"/>
      <c r="F26" s="1799"/>
      <c r="H26" s="1810">
        <f t="shared" si="0"/>
        <v>0</v>
      </c>
      <c r="I26" s="1810">
        <f t="shared" si="1"/>
        <v>0</v>
      </c>
      <c r="J26" s="1810">
        <f t="shared" si="2"/>
        <v>0</v>
      </c>
    </row>
    <row r="27" spans="1:12" ht="18.75" x14ac:dyDescent="0.2">
      <c r="A27" s="1795" t="s">
        <v>1530</v>
      </c>
      <c r="B27" s="1796"/>
      <c r="C27" s="1797"/>
      <c r="D27" s="1797"/>
      <c r="E27" s="1800"/>
      <c r="F27" s="1799"/>
      <c r="H27" s="1810">
        <f t="shared" si="0"/>
        <v>0</v>
      </c>
      <c r="I27" s="1810">
        <f t="shared" si="1"/>
        <v>0</v>
      </c>
      <c r="J27" s="1810">
        <f t="shared" si="2"/>
        <v>0</v>
      </c>
    </row>
    <row r="28" spans="1:12" ht="12" customHeight="1" x14ac:dyDescent="0.2">
      <c r="A28" s="1795" t="s">
        <v>1531</v>
      </c>
      <c r="B28" s="1796"/>
      <c r="C28" s="1797"/>
      <c r="D28" s="1797"/>
      <c r="E28" s="1800"/>
      <c r="F28" s="1799"/>
      <c r="H28" s="1810">
        <f t="shared" si="0"/>
        <v>0</v>
      </c>
      <c r="I28" s="1810">
        <f t="shared" si="1"/>
        <v>0</v>
      </c>
      <c r="J28" s="1810">
        <f t="shared" si="2"/>
        <v>0</v>
      </c>
    </row>
    <row r="29" spans="1:12" ht="12" customHeight="1" x14ac:dyDescent="0.2">
      <c r="A29" s="1795" t="s">
        <v>1532</v>
      </c>
      <c r="B29" s="1796"/>
      <c r="C29" s="1797"/>
      <c r="D29" s="1797"/>
      <c r="E29" s="1800"/>
      <c r="F29" s="1799"/>
      <c r="H29" s="1810">
        <f t="shared" si="0"/>
        <v>0</v>
      </c>
      <c r="I29" s="1810">
        <f t="shared" si="1"/>
        <v>0</v>
      </c>
      <c r="J29" s="1810">
        <f t="shared" si="2"/>
        <v>0</v>
      </c>
    </row>
    <row r="30" spans="1:12" ht="12" customHeight="1" x14ac:dyDescent="0.2">
      <c r="A30" s="1795" t="s">
        <v>1533</v>
      </c>
      <c r="B30" s="1796"/>
      <c r="C30" s="1797"/>
      <c r="D30" s="1797"/>
      <c r="E30" s="1800"/>
      <c r="F30" s="1799"/>
      <c r="H30" s="1810">
        <f t="shared" si="0"/>
        <v>0</v>
      </c>
      <c r="I30" s="1810">
        <f t="shared" si="1"/>
        <v>0</v>
      </c>
      <c r="J30" s="1810">
        <f t="shared" si="2"/>
        <v>0</v>
      </c>
    </row>
    <row r="31" spans="1:12" ht="12" customHeight="1" x14ac:dyDescent="0.2">
      <c r="A31" s="1795" t="s">
        <v>1534</v>
      </c>
      <c r="B31" s="1796"/>
      <c r="C31" s="1797"/>
      <c r="D31" s="1797"/>
      <c r="E31" s="1800"/>
      <c r="F31" s="1799"/>
      <c r="H31" s="1810">
        <f t="shared" si="0"/>
        <v>0</v>
      </c>
      <c r="I31" s="1810">
        <f t="shared" si="1"/>
        <v>0</v>
      </c>
      <c r="J31" s="1810">
        <f t="shared" si="2"/>
        <v>0</v>
      </c>
      <c r="L31" s="1801"/>
    </row>
    <row r="32" spans="1:12" ht="12" customHeight="1" x14ac:dyDescent="0.2">
      <c r="A32" s="1795" t="s">
        <v>1535</v>
      </c>
      <c r="B32" s="1796"/>
      <c r="C32" s="1797"/>
      <c r="D32" s="1797"/>
      <c r="E32" s="1800"/>
      <c r="F32" s="1799"/>
      <c r="H32" s="1810">
        <f t="shared" si="0"/>
        <v>0</v>
      </c>
      <c r="I32" s="1810">
        <f t="shared" si="1"/>
        <v>0</v>
      </c>
      <c r="J32" s="1810">
        <f t="shared" si="2"/>
        <v>0</v>
      </c>
    </row>
    <row r="33" spans="1:11" ht="12" customHeight="1" x14ac:dyDescent="0.2">
      <c r="A33" s="1795" t="s">
        <v>1536</v>
      </c>
      <c r="B33" s="1796"/>
      <c r="C33" s="1797"/>
      <c r="D33" s="1797"/>
      <c r="E33" s="1800"/>
      <c r="F33" s="1799"/>
      <c r="H33" s="1810">
        <f t="shared" si="0"/>
        <v>0</v>
      </c>
      <c r="I33" s="1810">
        <f t="shared" si="1"/>
        <v>0</v>
      </c>
      <c r="J33" s="1810">
        <f t="shared" si="2"/>
        <v>0</v>
      </c>
    </row>
    <row r="34" spans="1:11" ht="12" customHeight="1" x14ac:dyDescent="0.25">
      <c r="A34" s="1802"/>
      <c r="B34" s="1802"/>
      <c r="C34" s="1802"/>
      <c r="D34" s="1802"/>
      <c r="E34" s="1802"/>
      <c r="F34" s="1802"/>
      <c r="H34" s="1810">
        <f>SUM(H11:H32)</f>
        <v>0</v>
      </c>
      <c r="I34" s="1810">
        <f>SUM(I11:I32)</f>
        <v>0</v>
      </c>
      <c r="J34" s="1810">
        <f>SUM(J11:J32)</f>
        <v>0</v>
      </c>
      <c r="K34" s="1810">
        <f>SUM(H34:J34)</f>
        <v>0</v>
      </c>
    </row>
    <row r="35" spans="1:11" ht="12" customHeight="1" x14ac:dyDescent="0.2">
      <c r="A35" s="1803" t="s">
        <v>1387</v>
      </c>
      <c r="B35" s="1804"/>
      <c r="C35" s="2336"/>
      <c r="D35" s="2336"/>
      <c r="E35" s="2336"/>
      <c r="F35" s="2337"/>
    </row>
    <row r="36" spans="1:11" ht="12" customHeight="1" x14ac:dyDescent="0.2">
      <c r="A36" s="2327"/>
      <c r="B36" s="2328"/>
      <c r="C36" s="2328"/>
      <c r="D36" s="2328"/>
      <c r="E36" s="2328"/>
      <c r="F36" s="2329"/>
    </row>
    <row r="37" spans="1:11" ht="12" customHeight="1" x14ac:dyDescent="0.2">
      <c r="A37" s="2327"/>
      <c r="B37" s="2328"/>
      <c r="C37" s="2328"/>
      <c r="D37" s="2328"/>
      <c r="E37" s="2328"/>
      <c r="F37" s="2329"/>
    </row>
    <row r="38" spans="1:11" ht="12" customHeight="1" x14ac:dyDescent="0.2">
      <c r="A38" s="2341"/>
      <c r="B38" s="2342"/>
      <c r="C38" s="2342"/>
      <c r="D38" s="2342"/>
      <c r="E38" s="2342"/>
      <c r="F38" s="2343"/>
    </row>
    <row r="39" spans="1:11" ht="4.5" hidden="1" customHeight="1" x14ac:dyDescent="0.2">
      <c r="A39" s="1805"/>
      <c r="B39" s="1805"/>
      <c r="C39" s="1805"/>
      <c r="D39" s="1805"/>
      <c r="E39" s="1805"/>
      <c r="F39" s="1805"/>
    </row>
    <row r="40" spans="1:11" s="1802" customFormat="1" ht="12" customHeight="1" x14ac:dyDescent="0.25">
      <c r="A40" s="1806" t="s">
        <v>1386</v>
      </c>
      <c r="B40" s="1807"/>
      <c r="C40" s="2344"/>
      <c r="D40" s="2344"/>
      <c r="E40" s="2344"/>
      <c r="F40" s="2345"/>
      <c r="H40" s="1811"/>
      <c r="I40" s="1811"/>
      <c r="J40" s="1811"/>
      <c r="K40" s="1811"/>
    </row>
    <row r="41" spans="1:11" s="1802" customFormat="1" ht="12" customHeight="1" x14ac:dyDescent="0.25">
      <c r="A41" s="2346"/>
      <c r="B41" s="2347"/>
      <c r="C41" s="2347"/>
      <c r="D41" s="2347"/>
      <c r="E41" s="2347"/>
      <c r="F41" s="2348"/>
      <c r="H41" s="1811"/>
      <c r="I41" s="1811"/>
      <c r="J41" s="1811"/>
      <c r="K41" s="1811"/>
    </row>
    <row r="42" spans="1:11" s="1802" customFormat="1" ht="12" customHeight="1" x14ac:dyDescent="0.25">
      <c r="A42" s="2346"/>
      <c r="B42" s="2347"/>
      <c r="C42" s="2347"/>
      <c r="D42" s="2347"/>
      <c r="E42" s="2347"/>
      <c r="F42" s="2348"/>
      <c r="H42" s="1811"/>
      <c r="I42" s="1811"/>
      <c r="J42" s="1811"/>
      <c r="K42" s="1811"/>
    </row>
    <row r="43" spans="1:11" s="1802" customFormat="1" ht="15" x14ac:dyDescent="0.25">
      <c r="A43" s="2338"/>
      <c r="B43" s="2339"/>
      <c r="C43" s="2339"/>
      <c r="D43" s="2339"/>
      <c r="E43" s="2339"/>
      <c r="F43" s="2340"/>
      <c r="H43" s="1811"/>
      <c r="I43" s="1811"/>
      <c r="J43" s="1811"/>
      <c r="K43" s="1811"/>
    </row>
    <row r="44" spans="1:11" s="1802" customFormat="1" ht="12" hidden="1" customHeight="1" x14ac:dyDescent="0.25">
      <c r="A44" s="2338"/>
      <c r="B44" s="2339"/>
      <c r="C44" s="2339"/>
      <c r="D44" s="2339"/>
      <c r="E44" s="2339"/>
      <c r="F44" s="2340"/>
      <c r="H44" s="1811"/>
      <c r="I44" s="1811"/>
      <c r="J44" s="1811"/>
      <c r="K44" s="1811"/>
    </row>
    <row r="45" spans="1:11" s="1802" customFormat="1" ht="12" customHeight="1" x14ac:dyDescent="0.25">
      <c r="H45" s="1811"/>
      <c r="I45" s="1811"/>
      <c r="J45" s="1811"/>
      <c r="K45" s="1811"/>
    </row>
    <row r="46" spans="1:11" s="1802" customFormat="1" ht="9.75" customHeight="1" x14ac:dyDescent="0.25">
      <c r="H46" s="1811"/>
      <c r="I46" s="1811"/>
      <c r="J46" s="1811"/>
      <c r="K46" s="1811"/>
    </row>
    <row r="47" spans="1:11" s="1802" customFormat="1" ht="13.5" customHeight="1" x14ac:dyDescent="0.25">
      <c r="H47" s="1811"/>
      <c r="I47" s="1811"/>
      <c r="J47" s="1811"/>
      <c r="K47" s="1811"/>
    </row>
    <row r="48" spans="1:11" s="1802" customFormat="1" ht="15" x14ac:dyDescent="0.25">
      <c r="H48" s="1811"/>
      <c r="I48" s="1811"/>
      <c r="J48" s="1811"/>
      <c r="K48" s="1811"/>
    </row>
    <row r="49" spans="1:11" s="1802" customFormat="1" ht="15" hidden="1" x14ac:dyDescent="0.25">
      <c r="A49" s="1802" t="b">
        <v>0</v>
      </c>
      <c r="H49" s="1811"/>
      <c r="I49" s="1811"/>
      <c r="J49" s="1811"/>
      <c r="K49" s="1811"/>
    </row>
    <row r="50" spans="1:11" s="1802" customFormat="1" ht="15" x14ac:dyDescent="0.25">
      <c r="H50" s="1811"/>
      <c r="I50" s="1811"/>
      <c r="J50" s="1811"/>
      <c r="K50" s="1811"/>
    </row>
    <row r="51" spans="1:11" s="1802" customFormat="1" ht="15" x14ac:dyDescent="0.25">
      <c r="H51" s="1811"/>
      <c r="I51" s="1811"/>
      <c r="J51" s="1811"/>
      <c r="K51" s="1811"/>
    </row>
    <row r="52" spans="1:11" s="1802" customFormat="1" ht="15" x14ac:dyDescent="0.25">
      <c r="H52" s="1811"/>
      <c r="I52" s="1811"/>
      <c r="J52" s="1811"/>
      <c r="K52" s="1811"/>
    </row>
    <row r="53" spans="1:11" s="1802" customFormat="1" ht="15" x14ac:dyDescent="0.25">
      <c r="H53" s="1811"/>
      <c r="I53" s="1811"/>
      <c r="J53" s="1811"/>
      <c r="K53" s="1811"/>
    </row>
    <row r="54" spans="1:11" s="1802" customFormat="1" ht="15" x14ac:dyDescent="0.25">
      <c r="H54" s="1811"/>
      <c r="I54" s="1811"/>
      <c r="J54" s="1811"/>
      <c r="K54" s="1811"/>
    </row>
    <row r="55" spans="1:11" s="1802" customFormat="1" ht="15" x14ac:dyDescent="0.25">
      <c r="H55" s="1811"/>
      <c r="I55" s="1811"/>
      <c r="J55" s="1811"/>
      <c r="K55" s="1811"/>
    </row>
    <row r="56" spans="1:11" s="1802" customFormat="1" ht="15" x14ac:dyDescent="0.25">
      <c r="H56" s="1811"/>
      <c r="I56" s="1811"/>
      <c r="J56" s="1811"/>
      <c r="K56" s="1811"/>
    </row>
    <row r="57" spans="1:11" s="1802" customFormat="1" ht="15" x14ac:dyDescent="0.25">
      <c r="H57" s="1811"/>
      <c r="I57" s="1811"/>
      <c r="J57" s="1811"/>
      <c r="K57" s="1811"/>
    </row>
    <row r="58" spans="1:11" s="1802" customFormat="1" ht="15" x14ac:dyDescent="0.25">
      <c r="H58" s="1811"/>
      <c r="I58" s="1811"/>
      <c r="J58" s="1811"/>
      <c r="K58" s="1811"/>
    </row>
    <row r="59" spans="1:11" s="1802" customFormat="1" ht="15" x14ac:dyDescent="0.25">
      <c r="H59" s="1811"/>
      <c r="I59" s="1811"/>
      <c r="J59" s="1811"/>
      <c r="K59" s="1811"/>
    </row>
    <row r="60" spans="1:11" s="1802" customFormat="1" ht="15" x14ac:dyDescent="0.25">
      <c r="H60" s="1811"/>
      <c r="I60" s="1811"/>
      <c r="J60" s="1811"/>
      <c r="K60" s="1811"/>
    </row>
    <row r="61" spans="1:11" s="1802" customFormat="1" ht="15" x14ac:dyDescent="0.25">
      <c r="H61" s="1811"/>
      <c r="I61" s="1811"/>
      <c r="J61" s="1811"/>
      <c r="K61" s="1811"/>
    </row>
    <row r="62" spans="1:11" s="1802" customFormat="1" ht="15" x14ac:dyDescent="0.25">
      <c r="H62" s="1811"/>
      <c r="I62" s="1811"/>
      <c r="J62" s="1811"/>
      <c r="K62" s="1811"/>
    </row>
    <row r="63" spans="1:11" s="1802" customFormat="1" ht="15" x14ac:dyDescent="0.25">
      <c r="H63" s="1811"/>
      <c r="I63" s="1811"/>
      <c r="J63" s="1811"/>
      <c r="K63" s="1811"/>
    </row>
    <row r="64" spans="1:11" s="1802" customFormat="1" ht="15" x14ac:dyDescent="0.25">
      <c r="H64" s="1811"/>
      <c r="I64" s="1811"/>
      <c r="J64" s="1811"/>
      <c r="K64" s="1811"/>
    </row>
    <row r="65" spans="8:11" s="1802" customFormat="1" ht="15" x14ac:dyDescent="0.25">
      <c r="H65" s="1811"/>
      <c r="I65" s="1811"/>
      <c r="J65" s="1811"/>
      <c r="K65" s="1811"/>
    </row>
    <row r="66" spans="8:11" s="1802" customFormat="1" ht="15" x14ac:dyDescent="0.25">
      <c r="H66" s="1811"/>
      <c r="I66" s="1811"/>
      <c r="J66" s="1811"/>
      <c r="K66" s="1811"/>
    </row>
    <row r="67" spans="8:11" s="1802" customFormat="1" ht="15" x14ac:dyDescent="0.25">
      <c r="H67" s="1811"/>
      <c r="I67" s="1811"/>
      <c r="J67" s="1811"/>
      <c r="K67" s="1811"/>
    </row>
    <row r="68" spans="8:11" s="1802" customFormat="1" ht="15" x14ac:dyDescent="0.25">
      <c r="H68" s="1811"/>
      <c r="I68" s="1811"/>
      <c r="J68" s="1811"/>
      <c r="K68" s="1811"/>
    </row>
    <row r="69" spans="8:11" s="1802" customFormat="1" ht="15" x14ac:dyDescent="0.25">
      <c r="H69" s="1811"/>
      <c r="I69" s="1811"/>
      <c r="J69" s="1811"/>
      <c r="K69" s="1811"/>
    </row>
    <row r="70" spans="8:11" s="1802" customFormat="1" ht="15" x14ac:dyDescent="0.25">
      <c r="H70" s="1811"/>
      <c r="I70" s="1811"/>
      <c r="J70" s="1811"/>
      <c r="K70" s="1811"/>
    </row>
    <row r="71" spans="8:11" s="1802" customFormat="1" ht="15" x14ac:dyDescent="0.25">
      <c r="H71" s="1811"/>
      <c r="I71" s="1811"/>
      <c r="J71" s="1811"/>
      <c r="K71" s="1811"/>
    </row>
    <row r="72" spans="8:11" s="1802" customFormat="1" ht="15" x14ac:dyDescent="0.25">
      <c r="H72" s="1811"/>
      <c r="I72" s="1811"/>
      <c r="J72" s="1811"/>
      <c r="K72" s="1811"/>
    </row>
    <row r="73" spans="8:11" s="1802" customFormat="1" ht="15" x14ac:dyDescent="0.25">
      <c r="H73" s="1811"/>
      <c r="I73" s="1811"/>
      <c r="J73" s="1811"/>
      <c r="K73" s="1811"/>
    </row>
    <row r="74" spans="8:11" s="1802" customFormat="1" ht="15" x14ac:dyDescent="0.25">
      <c r="H74" s="1811"/>
      <c r="I74" s="1811"/>
      <c r="J74" s="1811"/>
      <c r="K74" s="1811"/>
    </row>
    <row r="75" spans="8:11" s="1802" customFormat="1" ht="15" x14ac:dyDescent="0.25">
      <c r="H75" s="1811"/>
      <c r="I75" s="1811"/>
      <c r="J75" s="1811"/>
      <c r="K75" s="1811"/>
    </row>
    <row r="76" spans="8:11" s="1802" customFormat="1" ht="15" x14ac:dyDescent="0.25">
      <c r="H76" s="1811"/>
      <c r="I76" s="1811"/>
      <c r="J76" s="1811"/>
      <c r="K76" s="1811"/>
    </row>
    <row r="77" spans="8:11" s="1802" customFormat="1" ht="15" x14ac:dyDescent="0.25">
      <c r="H77" s="1811"/>
      <c r="I77" s="1811"/>
      <c r="J77" s="1811"/>
      <c r="K77" s="1811"/>
    </row>
    <row r="78" spans="8:11" s="1802" customFormat="1" ht="15" x14ac:dyDescent="0.25">
      <c r="H78" s="1811"/>
      <c r="I78" s="1811"/>
      <c r="J78" s="1811"/>
      <c r="K78" s="1811"/>
    </row>
    <row r="79" spans="8:11" s="1802" customFormat="1" ht="15" x14ac:dyDescent="0.25">
      <c r="H79" s="1811"/>
      <c r="I79" s="1811"/>
      <c r="J79" s="1811"/>
      <c r="K79" s="1811"/>
    </row>
    <row r="80" spans="8:11" s="1802" customFormat="1" ht="15" x14ac:dyDescent="0.25">
      <c r="H80" s="1811"/>
      <c r="I80" s="1811"/>
      <c r="J80" s="1811"/>
      <c r="K80" s="1811"/>
    </row>
    <row r="81" spans="8:11" s="1802" customFormat="1" ht="15" x14ac:dyDescent="0.25">
      <c r="H81" s="1811"/>
      <c r="I81" s="1811"/>
      <c r="J81" s="1811"/>
      <c r="K81" s="1811"/>
    </row>
    <row r="82" spans="8:11" s="1802" customFormat="1" ht="15" x14ac:dyDescent="0.25">
      <c r="H82" s="1811"/>
      <c r="I82" s="1811"/>
      <c r="J82" s="1811"/>
      <c r="K82" s="1811"/>
    </row>
    <row r="83" spans="8:11" s="1802" customFormat="1" ht="15" x14ac:dyDescent="0.25">
      <c r="H83" s="1811"/>
      <c r="I83" s="1811"/>
      <c r="J83" s="1811"/>
      <c r="K83" s="1811"/>
    </row>
    <row r="84" spans="8:11" s="1802" customFormat="1" ht="15" x14ac:dyDescent="0.25">
      <c r="H84" s="1811"/>
      <c r="I84" s="1811"/>
      <c r="J84" s="1811"/>
      <c r="K84" s="1811"/>
    </row>
    <row r="85" spans="8:11" s="1802" customFormat="1" ht="15" x14ac:dyDescent="0.25">
      <c r="H85" s="1811"/>
      <c r="I85" s="1811"/>
      <c r="J85" s="1811"/>
      <c r="K85" s="1811"/>
    </row>
    <row r="86" spans="8:11" s="1802" customFormat="1" ht="15" x14ac:dyDescent="0.25">
      <c r="H86" s="1811"/>
      <c r="I86" s="1811"/>
      <c r="J86" s="1811"/>
      <c r="K86" s="1811"/>
    </row>
    <row r="87" spans="8:11" s="1802" customFormat="1" ht="15" x14ac:dyDescent="0.25">
      <c r="H87" s="1811"/>
      <c r="I87" s="1811"/>
      <c r="J87" s="1811"/>
      <c r="K87" s="1811"/>
    </row>
    <row r="88" spans="8:11" s="1802" customFormat="1" ht="15" x14ac:dyDescent="0.25">
      <c r="H88" s="1811"/>
      <c r="I88" s="1811"/>
      <c r="J88" s="1811"/>
      <c r="K88" s="1811"/>
    </row>
    <row r="89" spans="8:11" s="1802" customFormat="1" ht="15" x14ac:dyDescent="0.25">
      <c r="H89" s="1811"/>
      <c r="I89" s="1811"/>
      <c r="J89" s="1811"/>
      <c r="K89" s="1811"/>
    </row>
    <row r="90" spans="8:11" s="1802" customFormat="1" ht="15" x14ac:dyDescent="0.25">
      <c r="H90" s="1811"/>
      <c r="I90" s="1811"/>
      <c r="J90" s="1811"/>
      <c r="K90" s="1811"/>
    </row>
    <row r="91" spans="8:11" s="1802" customFormat="1" ht="15" x14ac:dyDescent="0.25">
      <c r="H91" s="1811"/>
      <c r="I91" s="1811"/>
      <c r="J91" s="1811"/>
      <c r="K91" s="1811"/>
    </row>
    <row r="92" spans="8:11" s="1802" customFormat="1" ht="15" x14ac:dyDescent="0.25">
      <c r="H92" s="1811"/>
      <c r="I92" s="1811"/>
      <c r="J92" s="1811"/>
      <c r="K92" s="1811"/>
    </row>
    <row r="93" spans="8:11" s="1802" customFormat="1" ht="15" x14ac:dyDescent="0.25">
      <c r="H93" s="1811"/>
      <c r="I93" s="1811"/>
      <c r="J93" s="1811"/>
      <c r="K93" s="1811"/>
    </row>
    <row r="94" spans="8:11" s="1802" customFormat="1" ht="15" x14ac:dyDescent="0.25">
      <c r="H94" s="1811"/>
      <c r="I94" s="1811"/>
      <c r="J94" s="1811"/>
      <c r="K94" s="1811"/>
    </row>
    <row r="95" spans="8:11" s="1802" customFormat="1" ht="15" x14ac:dyDescent="0.25">
      <c r="H95" s="1811"/>
      <c r="I95" s="1811"/>
      <c r="J95" s="1811"/>
      <c r="K95" s="1811"/>
    </row>
    <row r="96" spans="8:11" s="1802" customFormat="1" ht="15" x14ac:dyDescent="0.25">
      <c r="H96" s="1811"/>
      <c r="I96" s="1811"/>
      <c r="J96" s="1811"/>
      <c r="K96" s="1811"/>
    </row>
    <row r="97" spans="8:11" s="1802" customFormat="1" ht="15" x14ac:dyDescent="0.25">
      <c r="H97" s="1811"/>
      <c r="I97" s="1811"/>
      <c r="J97" s="1811"/>
      <c r="K97" s="1811"/>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92D050"/>
  </sheetPr>
  <dimension ref="A1:Q40"/>
  <sheetViews>
    <sheetView showGridLines="0" defaultGridColor="0" colorId="8" zoomScale="110" zoomScaleNormal="110" workbookViewId="0">
      <selection activeCell="P36" sqref="P36"/>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26" t="s">
        <v>672</v>
      </c>
      <c r="B6" s="1575"/>
      <c r="C6" s="1575"/>
      <c r="D6" s="1575"/>
      <c r="E6" s="1576"/>
      <c r="F6" s="1015"/>
      <c r="G6" s="1009"/>
      <c r="H6" s="1016" t="s">
        <v>1028</v>
      </c>
      <c r="I6" s="2354" t="str">
        <f>COVER!A17</f>
        <v>City of Chicago SD 299</v>
      </c>
      <c r="J6" s="2355"/>
      <c r="Q6" s="1597"/>
    </row>
    <row r="7" spans="1:17" x14ac:dyDescent="0.2">
      <c r="A7" s="2356" t="s">
        <v>869</v>
      </c>
      <c r="B7" s="2357"/>
      <c r="C7" s="2357"/>
      <c r="D7" s="2357"/>
      <c r="E7" s="2358"/>
      <c r="F7" s="1017"/>
      <c r="G7" s="1009"/>
      <c r="H7" s="1016" t="s">
        <v>372</v>
      </c>
      <c r="I7" s="2359">
        <f>COVER!A13</f>
        <v>15016299025</v>
      </c>
      <c r="J7" s="2359"/>
    </row>
    <row r="8" spans="1:17" ht="8.25" customHeight="1" x14ac:dyDescent="0.2">
      <c r="A8" s="1577"/>
      <c r="B8" s="1578"/>
      <c r="C8" s="1578"/>
      <c r="D8" s="1578"/>
      <c r="E8" s="1579"/>
      <c r="F8" s="1018"/>
      <c r="G8" s="1019"/>
      <c r="H8" s="1019"/>
      <c r="I8" s="1019"/>
      <c r="J8" s="1019"/>
    </row>
    <row r="9" spans="1:17" ht="13.5" customHeight="1" x14ac:dyDescent="0.2">
      <c r="A9" s="1020"/>
      <c r="B9" s="1021"/>
      <c r="C9" s="1021"/>
      <c r="D9" s="1022"/>
      <c r="E9" s="1827" t="s">
        <v>1954</v>
      </c>
      <c r="F9" s="1023"/>
      <c r="G9" s="1023"/>
      <c r="H9" s="1828" t="s">
        <v>1955</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60" t="s">
        <v>481</v>
      </c>
      <c r="B11" s="2361"/>
      <c r="C11" s="2362"/>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743">
        <f>'Expenditures 15-22'!K50</f>
        <v>3870724</v>
      </c>
      <c r="F12" s="1039"/>
      <c r="G12" s="1743">
        <f t="shared" ref="G12:G18" si="0">SUM(E12:F12)</f>
        <v>3870724</v>
      </c>
      <c r="H12" s="1040">
        <v>3256555</v>
      </c>
      <c r="I12" s="1039"/>
      <c r="J12" s="1743">
        <f t="shared" ref="J12:J18" si="1">SUM(H12:I12)</f>
        <v>3256555</v>
      </c>
    </row>
    <row r="13" spans="1:17" ht="15" customHeight="1" x14ac:dyDescent="0.2">
      <c r="A13" s="1035">
        <v>2</v>
      </c>
      <c r="B13" s="1036" t="s">
        <v>42</v>
      </c>
      <c r="C13" s="1037"/>
      <c r="D13" s="1038">
        <v>2330</v>
      </c>
      <c r="E13" s="1743">
        <f>'Expenditures 15-22'!K51</f>
        <v>11081928</v>
      </c>
      <c r="F13" s="1039"/>
      <c r="G13" s="1743">
        <f t="shared" si="0"/>
        <v>11081928</v>
      </c>
      <c r="H13" s="1040">
        <v>12786605</v>
      </c>
      <c r="I13" s="1039"/>
      <c r="J13" s="1743">
        <f t="shared" si="1"/>
        <v>12786605</v>
      </c>
    </row>
    <row r="14" spans="1:17" ht="15" customHeight="1" x14ac:dyDescent="0.2">
      <c r="A14" s="1035">
        <v>3</v>
      </c>
      <c r="B14" s="1036" t="s">
        <v>43</v>
      </c>
      <c r="C14" s="1037"/>
      <c r="D14" s="1041">
        <v>2490</v>
      </c>
      <c r="E14" s="1743">
        <f>'Expenditures 15-22'!K56</f>
        <v>727070</v>
      </c>
      <c r="F14" s="1039"/>
      <c r="G14" s="1743">
        <f t="shared" si="0"/>
        <v>727070</v>
      </c>
      <c r="H14" s="1040">
        <v>0</v>
      </c>
      <c r="I14" s="1039"/>
      <c r="J14" s="1743">
        <f t="shared" si="1"/>
        <v>0</v>
      </c>
    </row>
    <row r="15" spans="1:17" ht="15" customHeight="1" x14ac:dyDescent="0.2">
      <c r="A15" s="1035">
        <v>4</v>
      </c>
      <c r="B15" s="1036" t="s">
        <v>1068</v>
      </c>
      <c r="C15" s="1037"/>
      <c r="D15" s="1038">
        <v>2510</v>
      </c>
      <c r="E15" s="1743">
        <f>'Expenditures 15-22'!K59</f>
        <v>5426884</v>
      </c>
      <c r="F15" s="1743">
        <f>'Expenditures 15-22'!K122</f>
        <v>864539</v>
      </c>
      <c r="G15" s="1743">
        <f t="shared" si="0"/>
        <v>6291423</v>
      </c>
      <c r="H15" s="1040">
        <v>6726489</v>
      </c>
      <c r="I15" s="1040">
        <v>2215777</v>
      </c>
      <c r="J15" s="1743">
        <f t="shared" si="1"/>
        <v>8942266</v>
      </c>
    </row>
    <row r="16" spans="1:17" ht="15" customHeight="1" x14ac:dyDescent="0.2">
      <c r="A16" s="1035">
        <v>5</v>
      </c>
      <c r="B16" s="1036" t="s">
        <v>101</v>
      </c>
      <c r="C16" s="1037"/>
      <c r="D16" s="1038">
        <v>2570</v>
      </c>
      <c r="E16" s="1743">
        <f>'Expenditures 15-22'!K64</f>
        <v>3932609</v>
      </c>
      <c r="F16" s="1039"/>
      <c r="G16" s="1743">
        <f t="shared" si="0"/>
        <v>3932609</v>
      </c>
      <c r="H16" s="1040">
        <v>2514513</v>
      </c>
      <c r="I16" s="1039"/>
      <c r="J16" s="1743">
        <f t="shared" si="1"/>
        <v>2514513</v>
      </c>
    </row>
    <row r="17" spans="1:10" ht="15" customHeight="1" x14ac:dyDescent="0.2">
      <c r="A17" s="1035">
        <v>6</v>
      </c>
      <c r="B17" s="1036" t="s">
        <v>1060</v>
      </c>
      <c r="C17" s="1037"/>
      <c r="D17" s="1038">
        <v>2610</v>
      </c>
      <c r="E17" s="1743">
        <f>'Expenditures 15-22'!K67</f>
        <v>7234038</v>
      </c>
      <c r="F17" s="1039"/>
      <c r="G17" s="1743">
        <f t="shared" si="0"/>
        <v>7234038</v>
      </c>
      <c r="H17" s="1040">
        <v>9407216</v>
      </c>
      <c r="I17" s="1039"/>
      <c r="J17" s="1743">
        <f t="shared" si="1"/>
        <v>9407216</v>
      </c>
    </row>
    <row r="18" spans="1:10" ht="22.5" customHeight="1" x14ac:dyDescent="0.2">
      <c r="A18" s="1042">
        <v>7</v>
      </c>
      <c r="B18" s="2363" t="s">
        <v>7</v>
      </c>
      <c r="C18" s="2364"/>
      <c r="D18" s="2365"/>
      <c r="E18" s="1043"/>
      <c r="F18" s="1043"/>
      <c r="G18" s="1744">
        <f t="shared" si="0"/>
        <v>0</v>
      </c>
      <c r="H18" s="1040"/>
      <c r="I18" s="1040"/>
      <c r="J18" s="1743">
        <f t="shared" si="1"/>
        <v>0</v>
      </c>
    </row>
    <row r="19" spans="1:10" ht="12.75" customHeight="1" thickBot="1" x14ac:dyDescent="0.25">
      <c r="A19" s="1035">
        <v>8</v>
      </c>
      <c r="B19" s="1044" t="s">
        <v>1161</v>
      </c>
      <c r="D19" s="1045"/>
      <c r="E19" s="1745">
        <f t="shared" ref="E19:J19" si="2">SUM(E12:E17)-E18</f>
        <v>32273253</v>
      </c>
      <c r="F19" s="1745">
        <f t="shared" si="2"/>
        <v>864539</v>
      </c>
      <c r="G19" s="1745">
        <f t="shared" si="2"/>
        <v>33137792</v>
      </c>
      <c r="H19" s="1745">
        <f t="shared" si="2"/>
        <v>34691378</v>
      </c>
      <c r="I19" s="1745">
        <f t="shared" si="2"/>
        <v>2215777</v>
      </c>
      <c r="J19" s="1745">
        <f t="shared" si="2"/>
        <v>36907155</v>
      </c>
    </row>
    <row r="20" spans="1:10" ht="13.5" thickTop="1" x14ac:dyDescent="0.2">
      <c r="A20" s="1035">
        <v>9</v>
      </c>
      <c r="B20" s="2366" t="s">
        <v>1956</v>
      </c>
      <c r="C20" s="2366"/>
      <c r="D20" s="2367"/>
      <c r="E20" s="1046"/>
      <c r="F20" s="1046"/>
      <c r="G20" s="1046"/>
      <c r="H20" s="1046"/>
      <c r="I20" s="1046"/>
      <c r="J20" s="1746">
        <f>IF(AND(G19&gt;0,J19&gt;0),(((J19-G19)/G19)),"Enter Budget Data")</f>
        <v>0.11374816402975793</v>
      </c>
    </row>
    <row r="21" spans="1:10" ht="9" customHeight="1" x14ac:dyDescent="0.2">
      <c r="B21" s="1047"/>
    </row>
    <row r="22" spans="1:10" x14ac:dyDescent="0.2">
      <c r="A22" s="1048" t="s">
        <v>133</v>
      </c>
      <c r="B22" s="1047"/>
    </row>
    <row r="23" spans="1:10" x14ac:dyDescent="0.2">
      <c r="A23" s="1011" t="s">
        <v>1957</v>
      </c>
      <c r="B23" s="1047"/>
    </row>
    <row r="24" spans="1:10" x14ac:dyDescent="0.2">
      <c r="A24" s="1011" t="s">
        <v>1970</v>
      </c>
      <c r="B24" s="1047"/>
    </row>
    <row r="25" spans="1:10" x14ac:dyDescent="0.2">
      <c r="A25" s="1049"/>
      <c r="B25" s="1047"/>
    </row>
    <row r="26" spans="1:10" ht="20.100000000000001" customHeight="1" x14ac:dyDescent="0.2">
      <c r="B26" s="1047"/>
      <c r="C26" s="2372"/>
      <c r="D26" s="2372"/>
      <c r="E26" s="1050"/>
      <c r="F26" s="2371"/>
      <c r="G26" s="2371"/>
    </row>
    <row r="27" spans="1:10" x14ac:dyDescent="0.2">
      <c r="B27" s="1047"/>
      <c r="C27" s="1051" t="s">
        <v>1033</v>
      </c>
      <c r="D27" s="1052"/>
      <c r="E27" s="1053"/>
      <c r="F27" s="2368" t="s">
        <v>1504</v>
      </c>
      <c r="G27" s="2368"/>
    </row>
    <row r="28" spans="1:10" ht="28.5" customHeight="1" x14ac:dyDescent="0.2">
      <c r="B28" s="1047"/>
      <c r="C28" s="2370"/>
      <c r="D28" s="2370"/>
      <c r="E28" s="1054"/>
      <c r="F28" s="2370"/>
      <c r="G28" s="2370"/>
    </row>
    <row r="29" spans="1:10" x14ac:dyDescent="0.2">
      <c r="B29" s="1047"/>
      <c r="C29" s="1055" t="s">
        <v>1556</v>
      </c>
      <c r="E29" s="1056"/>
      <c r="F29" s="2369" t="s">
        <v>1505</v>
      </c>
      <c r="G29" s="2369"/>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51" t="s">
        <v>132</v>
      </c>
      <c r="D33" s="2352"/>
      <c r="E33" s="2352"/>
      <c r="F33" s="2352"/>
      <c r="G33" s="2352"/>
      <c r="H33" s="2352"/>
      <c r="I33" s="2352"/>
    </row>
    <row r="34" spans="1:10" ht="10.35" customHeight="1" x14ac:dyDescent="0.2">
      <c r="C34" s="2352"/>
      <c r="D34" s="2352"/>
      <c r="E34" s="2352"/>
      <c r="F34" s="2352"/>
      <c r="G34" s="2352"/>
      <c r="H34" s="2352"/>
      <c r="I34" s="2352"/>
    </row>
    <row r="35" spans="1:10" ht="7.5" customHeight="1" x14ac:dyDescent="0.2">
      <c r="C35" s="1062"/>
    </row>
    <row r="36" spans="1:10" ht="13.5" customHeight="1" x14ac:dyDescent="0.2">
      <c r="B36" s="1061"/>
      <c r="C36" s="2353" t="s">
        <v>1958</v>
      </c>
      <c r="D36" s="2352"/>
      <c r="E36" s="2352"/>
      <c r="F36" s="2352"/>
      <c r="G36" s="2352"/>
      <c r="H36" s="2352"/>
      <c r="I36" s="2352"/>
      <c r="J36" s="1063"/>
    </row>
    <row r="37" spans="1:10" ht="22.5" customHeight="1" x14ac:dyDescent="0.2">
      <c r="C37" s="2352"/>
      <c r="D37" s="2352"/>
      <c r="E37" s="2352"/>
      <c r="F37" s="2352"/>
      <c r="G37" s="2352"/>
      <c r="H37" s="2352"/>
      <c r="I37" s="2352"/>
      <c r="J37" s="1063"/>
    </row>
    <row r="38" spans="1:10" ht="7.5" customHeight="1" x14ac:dyDescent="0.2">
      <c r="C38" s="1062"/>
      <c r="D38" s="1064"/>
      <c r="E38" s="1065"/>
      <c r="F38" s="1066"/>
      <c r="G38" s="1065"/>
    </row>
    <row r="39" spans="1:10" ht="13.5" customHeight="1" x14ac:dyDescent="0.2">
      <c r="B39" s="1061"/>
      <c r="C39" s="2349" t="s">
        <v>882</v>
      </c>
      <c r="D39" s="2350"/>
      <c r="E39" s="2350"/>
      <c r="F39" s="2350"/>
      <c r="G39" s="2350"/>
      <c r="H39" s="2350"/>
      <c r="I39" s="2350"/>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2D050"/>
  </sheetPr>
  <dimension ref="A2:B65"/>
  <sheetViews>
    <sheetView showGridLines="0" zoomScale="110" zoomScaleNormal="110" workbookViewId="0">
      <selection activeCell="B36" sqref="B36"/>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2060</v>
      </c>
    </row>
    <row r="6" spans="1:2" x14ac:dyDescent="0.2">
      <c r="A6" s="1068">
        <v>2</v>
      </c>
    </row>
    <row r="7" spans="1:2" x14ac:dyDescent="0.2">
      <c r="A7" s="1068">
        <v>3</v>
      </c>
    </row>
    <row r="8" spans="1:2" x14ac:dyDescent="0.2">
      <c r="A8" s="1068">
        <v>4</v>
      </c>
    </row>
    <row r="9" spans="1:2" x14ac:dyDescent="0.2">
      <c r="A9" s="1069"/>
    </row>
    <row r="10" spans="1:2" x14ac:dyDescent="0.2">
      <c r="A10" s="1069"/>
    </row>
    <row r="11" spans="1:2" x14ac:dyDescent="0.2">
      <c r="A11" s="1069"/>
    </row>
    <row r="12" spans="1:2" x14ac:dyDescent="0.2">
      <c r="A12" s="1069"/>
    </row>
    <row r="13" spans="1:2" x14ac:dyDescent="0.2">
      <c r="A13" s="1069"/>
    </row>
    <row r="14" spans="1:2" x14ac:dyDescent="0.2">
      <c r="A14" s="1069"/>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City of Chicago SD 299</v>
      </c>
    </row>
    <row r="65" spans="2:2" x14ac:dyDescent="0.2">
      <c r="B65" s="1070">
        <f>COVER!A13</f>
        <v>15016299025</v>
      </c>
    </row>
  </sheetData>
  <phoneticPr fontId="16"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92D050"/>
  </sheetPr>
  <dimension ref="A1:D19"/>
  <sheetViews>
    <sheetView showGridLines="0" defaultGridColor="0" colorId="8" zoomScale="110" zoomScaleNormal="110" workbookViewId="0">
      <selection activeCell="F31" sqref="F31"/>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1409</v>
      </c>
      <c r="D6" s="24"/>
    </row>
    <row r="7" spans="1:4" ht="13.5" customHeight="1" x14ac:dyDescent="0.2">
      <c r="A7" s="23"/>
      <c r="B7" s="25"/>
      <c r="C7" s="65" t="s">
        <v>1410</v>
      </c>
      <c r="D7" s="24"/>
    </row>
    <row r="8" spans="1:4" ht="13.5" customHeight="1" x14ac:dyDescent="0.2">
      <c r="A8" s="23"/>
      <c r="B8" s="146" t="s">
        <v>943</v>
      </c>
      <c r="C8" s="65" t="s">
        <v>1395</v>
      </c>
      <c r="D8" s="24"/>
    </row>
    <row r="9" spans="1:4" ht="13.5" customHeight="1" x14ac:dyDescent="0.2">
      <c r="A9" s="14"/>
      <c r="B9" s="144" t="s">
        <v>944</v>
      </c>
      <c r="C9" s="142" t="s">
        <v>1314</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1394</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1320</v>
      </c>
      <c r="C15" s="142" t="s">
        <v>1321</v>
      </c>
    </row>
    <row r="16" spans="1:4" ht="12.75" customHeight="1" x14ac:dyDescent="0.2">
      <c r="C16" s="142" t="s">
        <v>1322</v>
      </c>
    </row>
    <row r="17" spans="3:3" ht="12.75" customHeight="1" x14ac:dyDescent="0.2">
      <c r="C17" s="66" t="s">
        <v>1323</v>
      </c>
    </row>
    <row r="19" spans="3:3" x14ac:dyDescent="0.2">
      <c r="C19" s="7"/>
    </row>
  </sheetData>
  <sheetProtection password="F60E" sheet="1" objects="1" scenarios="1"/>
  <phoneticPr fontId="16"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92D050"/>
  </sheetPr>
  <dimension ref="A11:F18"/>
  <sheetViews>
    <sheetView showGridLines="0" zoomScale="110" zoomScaleNormal="110" workbookViewId="0">
      <selection activeCell="D8" sqref="D8"/>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1488</v>
      </c>
    </row>
    <row r="15" spans="1:6" x14ac:dyDescent="0.2">
      <c r="A15" s="389" t="s">
        <v>857</v>
      </c>
    </row>
    <row r="16" spans="1:6" s="1071" customFormat="1" ht="45" customHeight="1" x14ac:dyDescent="0.2">
      <c r="A16" s="1073"/>
      <c r="B16" s="1073" t="s">
        <v>1673</v>
      </c>
    </row>
    <row r="17" spans="1:2" ht="6" customHeight="1" x14ac:dyDescent="0.2"/>
    <row r="18" spans="1:2" ht="24.75" customHeight="1" x14ac:dyDescent="0.2">
      <c r="A18" s="2373" t="s">
        <v>1674</v>
      </c>
      <c r="B18" s="2373"/>
    </row>
  </sheetData>
  <sheetProtection selectLockedCells="1"/>
  <mergeCells count="1">
    <mergeCell ref="A18:B18"/>
  </mergeCells>
  <phoneticPr fontId="16"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1000125</xdr:colOff>
                <xdr:row>1</xdr:row>
                <xdr:rowOff>19050</xdr:rowOff>
              </from>
              <to>
                <xdr:col>1</xdr:col>
                <xdr:colOff>1905000</xdr:colOff>
                <xdr:row>5</xdr:row>
                <xdr:rowOff>57150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2038350</xdr:colOff>
                <xdr:row>1</xdr:row>
                <xdr:rowOff>19050</xdr:rowOff>
              </from>
              <to>
                <xdr:col>1</xdr:col>
                <xdr:colOff>2943225</xdr:colOff>
                <xdr:row>5</xdr:row>
                <xdr:rowOff>57150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Packager Shell Object" dvAspect="DVASPECT_ICON" shapeId="35844" r:id="rId10">
          <objectPr defaultSize="0" autoPict="0" r:id="rId11">
            <anchor moveWithCells="1">
              <from>
                <xdr:col>1</xdr:col>
                <xdr:colOff>3086100</xdr:colOff>
                <xdr:row>1</xdr:row>
                <xdr:rowOff>161925</xdr:rowOff>
              </from>
              <to>
                <xdr:col>1</xdr:col>
                <xdr:colOff>3924300</xdr:colOff>
                <xdr:row>5</xdr:row>
                <xdr:rowOff>19050</xdr:rowOff>
              </to>
            </anchor>
          </objectPr>
        </oleObject>
      </mc:Choice>
      <mc:Fallback>
        <oleObject progId="Packager Shell Object" dvAspect="DVASPECT_ICON" shapeId="35844" r:id="rId10"/>
      </mc:Fallback>
    </mc:AlternateContent>
    <mc:AlternateContent xmlns:mc="http://schemas.openxmlformats.org/markup-compatibility/2006">
      <mc:Choice Requires="x14">
        <oleObject progId="Acrobat Document" dvAspect="DVASPECT_ICON" shapeId="35845" r:id="rId12">
          <objectPr defaultSize="0" r:id="rId13">
            <anchor moveWithCells="1">
              <from>
                <xdr:col>1</xdr:col>
                <xdr:colOff>2038350</xdr:colOff>
                <xdr:row>6</xdr:row>
                <xdr:rowOff>19050</xdr:rowOff>
              </from>
              <to>
                <xdr:col>1</xdr:col>
                <xdr:colOff>2943225</xdr:colOff>
                <xdr:row>10</xdr:row>
                <xdr:rowOff>66675</xdr:rowOff>
              </to>
            </anchor>
          </objectPr>
        </oleObject>
      </mc:Choice>
      <mc:Fallback>
        <oleObject progId="Acrobat Document" dvAspect="DVASPECT_ICON" shapeId="35845" r:id="rId12"/>
      </mc:Fallback>
    </mc:AlternateContent>
    <mc:AlternateContent xmlns:mc="http://schemas.openxmlformats.org/markup-compatibility/2006">
      <mc:Choice Requires="x14">
        <oleObject progId="Acrobat Document" dvAspect="DVASPECT_ICON" shapeId="35846" r:id="rId14">
          <objectPr defaultSize="0" r:id="rId15">
            <anchor moveWithCells="1">
              <from>
                <xdr:col>0</xdr:col>
                <xdr:colOff>114300</xdr:colOff>
                <xdr:row>6</xdr:row>
                <xdr:rowOff>19050</xdr:rowOff>
              </from>
              <to>
                <xdr:col>1</xdr:col>
                <xdr:colOff>904875</xdr:colOff>
                <xdr:row>10</xdr:row>
                <xdr:rowOff>57150</xdr:rowOff>
              </to>
            </anchor>
          </objectPr>
        </oleObject>
      </mc:Choice>
      <mc:Fallback>
        <oleObject progId="Acrobat Document" dvAspect="DVASPECT_ICON" shapeId="35846" r:id="rId14"/>
      </mc:Fallback>
    </mc:AlternateContent>
    <mc:AlternateContent xmlns:mc="http://schemas.openxmlformats.org/markup-compatibility/2006">
      <mc:Choice Requires="x14">
        <oleObject progId="Acrobat Document" dvAspect="DVASPECT_ICON" shapeId="35847" r:id="rId16">
          <objectPr defaultSize="0" r:id="rId17">
            <anchor moveWithCells="1">
              <from>
                <xdr:col>1</xdr:col>
                <xdr:colOff>1000125</xdr:colOff>
                <xdr:row>6</xdr:row>
                <xdr:rowOff>19050</xdr:rowOff>
              </from>
              <to>
                <xdr:col>1</xdr:col>
                <xdr:colOff>1905000</xdr:colOff>
                <xdr:row>10</xdr:row>
                <xdr:rowOff>57150</xdr:rowOff>
              </to>
            </anchor>
          </objectPr>
        </oleObject>
      </mc:Choice>
      <mc:Fallback>
        <oleObject progId="Acrobat Document" dvAspect="DVASPECT_ICON" shapeId="35847" r:id="rId16"/>
      </mc:Fallback>
    </mc:AlternateContent>
    <mc:AlternateContent xmlns:mc="http://schemas.openxmlformats.org/markup-compatibility/2006">
      <mc:Choice Requires="x14">
        <oleObject progId="Worksheet" dvAspect="DVASPECT_ICON" shapeId="35848" r:id="rId18">
          <objectPr defaultSize="0" r:id="rId19">
            <anchor moveWithCells="1">
              <from>
                <xdr:col>1</xdr:col>
                <xdr:colOff>3086100</xdr:colOff>
                <xdr:row>6</xdr:row>
                <xdr:rowOff>28575</xdr:rowOff>
              </from>
              <to>
                <xdr:col>2</xdr:col>
                <xdr:colOff>9525</xdr:colOff>
                <xdr:row>10</xdr:row>
                <xdr:rowOff>66675</xdr:rowOff>
              </to>
            </anchor>
          </objectPr>
        </oleObject>
      </mc:Choice>
      <mc:Fallback>
        <oleObject progId="Worksheet" dvAspect="DVASPECT_ICON" shapeId="35848" r:id="rId18"/>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92D050"/>
    <pageSetUpPr fitToPage="1"/>
  </sheetPr>
  <dimension ref="A1:H48"/>
  <sheetViews>
    <sheetView showGridLines="0" showZeros="0" zoomScale="110" zoomScaleNormal="110" workbookViewId="0">
      <selection activeCell="H25" sqref="H25"/>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74" t="s">
        <v>1679</v>
      </c>
      <c r="B1" s="2375"/>
      <c r="C1" s="2375"/>
      <c r="D1" s="2375"/>
      <c r="E1" s="2375"/>
      <c r="F1" s="2376"/>
    </row>
    <row r="2" spans="1:8" ht="45" customHeight="1" x14ac:dyDescent="0.2">
      <c r="A2" s="2384" t="s">
        <v>1962</v>
      </c>
      <c r="B2" s="2385"/>
      <c r="C2" s="2385"/>
      <c r="D2" s="2385"/>
      <c r="E2" s="2385"/>
      <c r="F2" s="2386"/>
      <c r="G2" s="1074"/>
      <c r="H2" s="1074"/>
    </row>
    <row r="3" spans="1:8" ht="57" customHeight="1" x14ac:dyDescent="0.2">
      <c r="A3" s="2387" t="s">
        <v>1675</v>
      </c>
      <c r="B3" s="2388"/>
      <c r="C3" s="2388"/>
      <c r="D3" s="2388"/>
      <c r="E3" s="2388"/>
      <c r="F3" s="2389"/>
      <c r="G3" s="1074"/>
      <c r="H3" s="1074"/>
    </row>
    <row r="4" spans="1:8" ht="14.25" customHeight="1" x14ac:dyDescent="0.2">
      <c r="A4" s="2393" t="s">
        <v>1963</v>
      </c>
      <c r="B4" s="2394"/>
      <c r="C4" s="2394"/>
      <c r="D4" s="2394"/>
      <c r="E4" s="2394"/>
      <c r="F4" s="2395"/>
      <c r="G4" s="1074"/>
      <c r="H4" s="1074"/>
    </row>
    <row r="5" spans="1:8" ht="14.25" customHeight="1" x14ac:dyDescent="0.2">
      <c r="A5" s="2396" t="s">
        <v>1959</v>
      </c>
      <c r="B5" s="2397"/>
      <c r="C5" s="2397"/>
      <c r="D5" s="2397"/>
      <c r="E5" s="2397"/>
      <c r="F5" s="2398"/>
      <c r="G5" s="1074"/>
      <c r="H5" s="1074"/>
    </row>
    <row r="6" spans="1:8" s="1075" customFormat="1" ht="41.25" customHeight="1" x14ac:dyDescent="0.2">
      <c r="A6" s="2390" t="s">
        <v>1680</v>
      </c>
      <c r="B6" s="2391"/>
      <c r="C6" s="2391"/>
      <c r="D6" s="2391"/>
      <c r="E6" s="2391"/>
      <c r="F6" s="2392"/>
    </row>
    <row r="7" spans="1:8" ht="42" customHeight="1" x14ac:dyDescent="0.2">
      <c r="A7" s="1076" t="s">
        <v>481</v>
      </c>
      <c r="B7" s="1077" t="s">
        <v>1491</v>
      </c>
      <c r="C7" s="1077" t="s">
        <v>1492</v>
      </c>
      <c r="D7" s="1077" t="s">
        <v>1490</v>
      </c>
      <c r="E7" s="1077" t="s">
        <v>1493</v>
      </c>
      <c r="F7" s="1077" t="s">
        <v>1362</v>
      </c>
    </row>
    <row r="8" spans="1:8" s="1079" customFormat="1" ht="14.25" customHeight="1" x14ac:dyDescent="0.2">
      <c r="A8" s="1078" t="s">
        <v>1363</v>
      </c>
      <c r="B8" s="1747">
        <f>'Acct Summary 7-8'!C8</f>
        <v>5191612989</v>
      </c>
      <c r="C8" s="1747">
        <f>'Acct Summary 7-8'!D8</f>
        <v>379924577</v>
      </c>
      <c r="D8" s="1747">
        <f>'Acct Summary 7-8'!F8</f>
        <v>0</v>
      </c>
      <c r="E8" s="1747">
        <f>'Acct Summary 7-8'!I8</f>
        <v>0</v>
      </c>
      <c r="F8" s="1747">
        <f>SUM(B8:E8)</f>
        <v>5571537566</v>
      </c>
    </row>
    <row r="9" spans="1:8" s="1079" customFormat="1" ht="14.25" customHeight="1" thickBot="1" x14ac:dyDescent="0.25">
      <c r="A9" s="1078" t="s">
        <v>1364</v>
      </c>
      <c r="B9" s="1748">
        <f>'Acct Summary 7-8'!C17</f>
        <v>5042273828</v>
      </c>
      <c r="C9" s="1748">
        <f>'Acct Summary 7-8'!D17</f>
        <v>379924577</v>
      </c>
      <c r="D9" s="1748">
        <f>'Acct Summary 7-8'!F17</f>
        <v>0</v>
      </c>
      <c r="E9" s="1747"/>
      <c r="F9" s="1747">
        <f>SUM(B9:E9)</f>
        <v>5422198405</v>
      </c>
    </row>
    <row r="10" spans="1:8" s="1079" customFormat="1" ht="14.25" thickTop="1" thickBot="1" x14ac:dyDescent="0.25">
      <c r="A10" s="1080" t="s">
        <v>1365</v>
      </c>
      <c r="B10" s="1749">
        <f>(B8-B9)</f>
        <v>149339161</v>
      </c>
      <c r="C10" s="1749">
        <f>(C8-C9)</f>
        <v>0</v>
      </c>
      <c r="D10" s="1749">
        <f>(D8-D9)</f>
        <v>0</v>
      </c>
      <c r="E10" s="1748">
        <f>(E8-E9)</f>
        <v>0</v>
      </c>
      <c r="F10" s="1750">
        <f>SUM(F8-F9)</f>
        <v>149339161</v>
      </c>
    </row>
    <row r="11" spans="1:8" s="1079" customFormat="1" ht="14.25" thickTop="1" thickBot="1" x14ac:dyDescent="0.25">
      <c r="A11" s="1081" t="s">
        <v>1960</v>
      </c>
      <c r="B11" s="1751">
        <f>'Acct Summary 7-8'!C81</f>
        <v>491443342</v>
      </c>
      <c r="C11" s="1751">
        <f>'Acct Summary 7-8'!D81</f>
        <v>0</v>
      </c>
      <c r="D11" s="1751">
        <f>'Acct Summary 7-8'!F81</f>
        <v>0</v>
      </c>
      <c r="E11" s="1751">
        <f>'Acct Summary 7-8'!I81</f>
        <v>0</v>
      </c>
      <c r="F11" s="1752">
        <f>SUM(B11:E11)</f>
        <v>491443342</v>
      </c>
    </row>
    <row r="12" spans="1:8" ht="16.5" customHeight="1" thickTop="1" x14ac:dyDescent="0.2">
      <c r="A12" s="1082"/>
      <c r="B12" s="1083"/>
      <c r="C12" s="2378" t="str">
        <f>IF(AND(F10&lt;0,F11&gt;=0,ABS(F10*3)&gt;ABS(F11)),A16,IF(AND(F10&lt;0,F11&gt;0,ABS(F10*3)&lt;=ABS(F11)),A17,IF(AND(F10&lt;0,F11&lt;0),A16,IF(F11=0,A19,A18))))</f>
        <v>Balanced - no deficit reduction plan is required.</v>
      </c>
      <c r="D12" s="2379"/>
      <c r="E12" s="2379"/>
      <c r="F12" s="2380"/>
    </row>
    <row r="13" spans="1:8" ht="19.5" customHeight="1" x14ac:dyDescent="0.2">
      <c r="A13" s="1084"/>
      <c r="B13" s="1085"/>
      <c r="C13" s="2378"/>
      <c r="D13" s="2379"/>
      <c r="E13" s="2379"/>
      <c r="F13" s="2380"/>
      <c r="H13" s="1074"/>
    </row>
    <row r="14" spans="1:8" ht="19.5" customHeight="1" x14ac:dyDescent="0.2">
      <c r="A14" s="1084"/>
      <c r="B14" s="1085"/>
      <c r="C14" s="2378"/>
      <c r="D14" s="2379"/>
      <c r="E14" s="2379"/>
      <c r="F14" s="2380"/>
      <c r="H14" s="1074"/>
    </row>
    <row r="15" spans="1:8" ht="17.25" customHeight="1" x14ac:dyDescent="0.2">
      <c r="A15" s="1084"/>
      <c r="B15" s="1085"/>
      <c r="C15" s="2381"/>
      <c r="D15" s="2382"/>
      <c r="E15" s="2382"/>
      <c r="F15" s="2383"/>
      <c r="H15" s="1074"/>
    </row>
    <row r="16" spans="1:8" s="310" customFormat="1" ht="51.75" hidden="1" customHeight="1" x14ac:dyDescent="0.2">
      <c r="A16" s="2377" t="s">
        <v>1676</v>
      </c>
      <c r="B16" s="2377"/>
      <c r="C16" s="2377"/>
      <c r="D16" s="2377"/>
      <c r="E16" s="2377"/>
      <c r="F16" s="310" t="s">
        <v>1366</v>
      </c>
    </row>
    <row r="17" spans="1:6" hidden="1" x14ac:dyDescent="0.2">
      <c r="A17" s="316" t="s">
        <v>1677</v>
      </c>
      <c r="F17" s="1086" t="s">
        <v>1367</v>
      </c>
    </row>
    <row r="18" spans="1:6" hidden="1" x14ac:dyDescent="0.2">
      <c r="A18" s="316" t="s">
        <v>1678</v>
      </c>
      <c r="F18" s="316" t="s">
        <v>1405</v>
      </c>
    </row>
    <row r="19" spans="1:6" hidden="1" x14ac:dyDescent="0.2">
      <c r="A19" s="316" t="s">
        <v>1404</v>
      </c>
      <c r="F19" s="316" t="s">
        <v>1369</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68" colorId="8" zoomScale="110" zoomScaleNormal="110" workbookViewId="0">
      <selection activeCell="D66" sqref="D66"/>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29"/>
      <c r="B2" s="1830"/>
      <c r="C2" s="1831"/>
      <c r="D2" s="1832"/>
    </row>
    <row r="3" spans="1:4" ht="36" customHeight="1" x14ac:dyDescent="0.2">
      <c r="A3" s="2399" t="s">
        <v>665</v>
      </c>
      <c r="B3" s="2400"/>
      <c r="C3" s="2400"/>
      <c r="D3" s="2401"/>
    </row>
    <row r="4" spans="1:4" x14ac:dyDescent="0.2">
      <c r="A4" s="1152" t="s">
        <v>1681</v>
      </c>
      <c r="B4" s="1153"/>
      <c r="C4" s="1154"/>
      <c r="D4" s="1155"/>
    </row>
    <row r="5" spans="1:4" ht="21" customHeight="1" x14ac:dyDescent="0.2">
      <c r="A5" s="1148"/>
      <c r="B5" s="1149">
        <v>1</v>
      </c>
      <c r="C5" s="1150" t="s">
        <v>1813</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410" t="s">
        <v>1499</v>
      </c>
      <c r="D7" s="2411"/>
    </row>
    <row r="8" spans="1:4" s="668" customFormat="1" ht="12.75" x14ac:dyDescent="0.2">
      <c r="A8" s="1138"/>
      <c r="B8" s="1093"/>
      <c r="C8" s="1096" t="s">
        <v>1498</v>
      </c>
      <c r="D8" s="1097"/>
    </row>
    <row r="9" spans="1:4" s="668" customFormat="1" ht="14.25" customHeight="1" x14ac:dyDescent="0.2">
      <c r="A9" s="1138"/>
      <c r="B9" s="1093">
        <f>B7+1</f>
        <v>4</v>
      </c>
      <c r="C9" s="1094" t="s">
        <v>1889</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1500</v>
      </c>
      <c r="D14" s="1137"/>
    </row>
    <row r="15" spans="1:4" s="668" customFormat="1" ht="21.75" customHeight="1" x14ac:dyDescent="0.2">
      <c r="A15" s="2402" t="s">
        <v>1008</v>
      </c>
      <c r="B15" s="2403"/>
      <c r="C15" s="2403"/>
      <c r="D15" s="2404"/>
    </row>
    <row r="16" spans="1:4" s="668" customFormat="1" ht="24" customHeight="1" x14ac:dyDescent="0.2">
      <c r="A16" s="2405" t="s">
        <v>663</v>
      </c>
      <c r="B16" s="2406"/>
      <c r="C16" s="2406"/>
      <c r="D16" s="2407"/>
    </row>
    <row r="17" spans="1:10" s="668" customFormat="1" ht="12.75" customHeight="1" x14ac:dyDescent="0.2">
      <c r="A17" s="1156" t="s">
        <v>1682</v>
      </c>
      <c r="B17" s="1157"/>
      <c r="C17" s="1158"/>
      <c r="D17" s="1159"/>
    </row>
    <row r="18" spans="1:10" s="668" customFormat="1" ht="12.75" customHeight="1" x14ac:dyDescent="0.2">
      <c r="A18" s="1160" t="s">
        <v>1683</v>
      </c>
      <c r="B18" s="1161"/>
      <c r="C18" s="1162"/>
      <c r="D18" s="1163"/>
    </row>
    <row r="19" spans="1:10" ht="6.75" customHeight="1" thickBot="1" x14ac:dyDescent="0.25">
      <c r="A19" s="1164"/>
      <c r="B19" s="1165"/>
      <c r="C19" s="1166"/>
      <c r="D19" s="1167"/>
    </row>
    <row r="20" spans="1:10" s="1171" customFormat="1" ht="12.75" thickTop="1" x14ac:dyDescent="0.2">
      <c r="A20" s="1168"/>
      <c r="B20" s="1169" t="s">
        <v>1684</v>
      </c>
      <c r="C20" s="1170"/>
      <c r="D20" s="1173" t="s">
        <v>710</v>
      </c>
    </row>
    <row r="21" spans="1:10" x14ac:dyDescent="0.2">
      <c r="A21" s="1098"/>
      <c r="B21" s="1099">
        <v>1</v>
      </c>
      <c r="C21" s="2414" t="s">
        <v>314</v>
      </c>
      <c r="D21" s="2415"/>
    </row>
    <row r="22" spans="1:10" ht="12.75" x14ac:dyDescent="0.2">
      <c r="A22" s="1139"/>
      <c r="B22" s="1140">
        <v>2</v>
      </c>
      <c r="C22" s="2412" t="s">
        <v>1519</v>
      </c>
      <c r="D22" s="2413"/>
    </row>
    <row r="23" spans="1:10" ht="12.2" customHeight="1" x14ac:dyDescent="0.2">
      <c r="A23" s="1139"/>
      <c r="B23" s="1140"/>
      <c r="C23" s="1141" t="s">
        <v>954</v>
      </c>
      <c r="D23" s="1142" t="str">
        <f>IF(COVER!O11="X","CASH",IF(COVER!O12="X","ACCRUAL ","PLEASE CHECK AN ACCOUNTING BASIS."))</f>
        <v xml:space="preserve">ACCRUAL </v>
      </c>
    </row>
    <row r="24" spans="1:10" ht="12.2" customHeight="1" x14ac:dyDescent="0.2">
      <c r="A24" s="1139"/>
      <c r="B24" s="1140"/>
      <c r="C24" s="1141" t="s">
        <v>1327</v>
      </c>
      <c r="D24" s="1142" t="str">
        <f>IF(COVER!O11="X","OK",IF(AND('Aud Quest 2'!J90=0,'Aud Quest 2'!I77&lt;DATE(2017,12,31)),"ENTER ACCOUNTING INFO",IF(AND('Aud Quest 2'!J90&gt;0,'Aud Quest 2'!I77&lt;DATE(2017,12,31)),"OK")))</f>
        <v>OK</v>
      </c>
    </row>
    <row r="25" spans="1:10" x14ac:dyDescent="0.2">
      <c r="A25" s="1100"/>
      <c r="B25" s="1101"/>
      <c r="C25" s="1102" t="s">
        <v>1521</v>
      </c>
      <c r="D25" s="1103" t="str">
        <f>IF(AND(COVER!J29="X",COVER!J30="X",COVER!L30&lt;&gt;"X"),"OK",IF(AND(COVER!J29="X",COVER!J30&lt;&gt;"X",COVER!L30="X"),"OK",IF(AND(COVER!L29="X",COVER!J30&lt;&gt;"X"),"OK","PLEASE CHECK YES or NO.")))</f>
        <v>OK</v>
      </c>
    </row>
    <row r="26" spans="1:10" x14ac:dyDescent="0.2">
      <c r="A26" s="1100"/>
      <c r="B26" s="1143"/>
      <c r="C26" s="1104" t="s">
        <v>1520</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str">
        <f>IF('Aud Quest 2'!B53="X",IF('Aud Quest 2'!F53&gt;"00/00/00 ","Enter Effective Date","ok"))</f>
        <v>ok</v>
      </c>
    </row>
    <row r="29" spans="1:10" x14ac:dyDescent="0.2">
      <c r="A29" s="1100"/>
      <c r="B29" s="1143"/>
      <c r="C29" s="1104" t="s">
        <v>1368</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416" t="s">
        <v>536</v>
      </c>
      <c r="D43" s="2417"/>
    </row>
    <row r="44" spans="1:12" x14ac:dyDescent="0.2">
      <c r="A44" s="1119"/>
      <c r="B44" s="1121"/>
      <c r="C44" s="1122" t="s">
        <v>1330</v>
      </c>
      <c r="D44" s="1123" t="str">
        <f>IF(SUM('Assets-Liab 5-6'!C13)&lt;&gt;SUM('Assets-Liab 5-6'!C41),"ERROR!","OK")</f>
        <v>OK</v>
      </c>
    </row>
    <row r="45" spans="1:12" x14ac:dyDescent="0.2">
      <c r="A45" s="1119"/>
      <c r="B45" s="1121"/>
      <c r="C45" s="1122" t="s">
        <v>1331</v>
      </c>
      <c r="D45" s="1123" t="str">
        <f>IF(SUM('Assets-Liab 5-6'!D13)&lt;&gt;SUM('Assets-Liab 5-6'!D41),"ERROR!","OK")</f>
        <v>OK</v>
      </c>
    </row>
    <row r="46" spans="1:12" x14ac:dyDescent="0.2">
      <c r="A46" s="1119"/>
      <c r="B46" s="1121"/>
      <c r="C46" s="1122" t="s">
        <v>1332</v>
      </c>
      <c r="D46" s="1123" t="str">
        <f>IF(SUM('Assets-Liab 5-6'!E13)&lt;&gt;SUM('Assets-Liab 5-6'!E41),"ERROR!","OK")</f>
        <v>OK</v>
      </c>
    </row>
    <row r="47" spans="1:12" x14ac:dyDescent="0.2">
      <c r="A47" s="1119"/>
      <c r="B47" s="1121"/>
      <c r="C47" s="1122" t="s">
        <v>1333</v>
      </c>
      <c r="D47" s="1123" t="str">
        <f>IF(SUM('Assets-Liab 5-6'!F13)&lt;&gt;SUM('Assets-Liab 5-6'!F41),"ERROR!","OK")</f>
        <v>OK</v>
      </c>
    </row>
    <row r="48" spans="1:12" x14ac:dyDescent="0.2">
      <c r="A48" s="1119"/>
      <c r="B48" s="1121"/>
      <c r="C48" s="1122" t="s">
        <v>1334</v>
      </c>
      <c r="D48" s="1123" t="str">
        <f>IF(SUM('Assets-Liab 5-6'!G13)&lt;&gt;SUM('Assets-Liab 5-6'!G41),"ERROR!","OK")</f>
        <v>OK</v>
      </c>
    </row>
    <row r="49" spans="1:4" x14ac:dyDescent="0.2">
      <c r="A49" s="1119"/>
      <c r="B49" s="1121"/>
      <c r="C49" s="1122" t="s">
        <v>1335</v>
      </c>
      <c r="D49" s="1123" t="str">
        <f>IF(SUM('Assets-Liab 5-6'!H13)&lt;&gt;SUM('Assets-Liab 5-6'!H41),"ERROR!","OK")</f>
        <v>OK</v>
      </c>
    </row>
    <row r="50" spans="1:4" x14ac:dyDescent="0.2">
      <c r="A50" s="1119"/>
      <c r="B50" s="1121"/>
      <c r="C50" s="1122" t="s">
        <v>1336</v>
      </c>
      <c r="D50" s="1123" t="str">
        <f>IF(SUM('Assets-Liab 5-6'!I13)&lt;&gt;SUM('Assets-Liab 5-6'!I41),"ERROR!","OK")</f>
        <v>OK</v>
      </c>
    </row>
    <row r="51" spans="1:4" x14ac:dyDescent="0.2">
      <c r="A51" s="1119"/>
      <c r="B51" s="1121"/>
      <c r="C51" s="1122" t="s">
        <v>1337</v>
      </c>
      <c r="D51" s="1123" t="str">
        <f>IF(SUM('Assets-Liab 5-6'!J13)&lt;&gt;SUM('Assets-Liab 5-6'!J41),"ERROR!","OK")</f>
        <v>OK</v>
      </c>
    </row>
    <row r="52" spans="1:4" x14ac:dyDescent="0.2">
      <c r="A52" s="1119"/>
      <c r="B52" s="1121"/>
      <c r="C52" s="1122" t="s">
        <v>1338</v>
      </c>
      <c r="D52" s="1123" t="str">
        <f>IF(SUM('Assets-Liab 5-6'!K13)&lt;&gt;SUM('Assets-Liab 5-6'!K41),"ERROR!","OK")</f>
        <v>OK</v>
      </c>
    </row>
    <row r="53" spans="1:4" x14ac:dyDescent="0.2">
      <c r="A53" s="1119"/>
      <c r="B53" s="1121"/>
      <c r="C53" s="1122" t="s">
        <v>1339</v>
      </c>
      <c r="D53" s="1123" t="str">
        <f>IF(SUM('Assets-Liab 5-6'!L13)&lt;&gt;('Assets-Liab 5-6'!L41),"ERROR!","OK")</f>
        <v>OK</v>
      </c>
    </row>
    <row r="54" spans="1:4" x14ac:dyDescent="0.2">
      <c r="A54" s="1119"/>
      <c r="B54" s="1121"/>
      <c r="C54" s="1122" t="s">
        <v>1340</v>
      </c>
      <c r="D54" s="1123" t="str">
        <f>IF(SUM('Assets-Liab 5-6'!M23)&lt;&gt;('Assets-Liab 5-6'!M41),"ERROR!","OK")</f>
        <v>OK</v>
      </c>
    </row>
    <row r="55" spans="1:4" x14ac:dyDescent="0.2">
      <c r="A55" s="1119"/>
      <c r="B55" s="1121"/>
      <c r="C55" s="1122" t="s">
        <v>1341</v>
      </c>
      <c r="D55" s="1123" t="str">
        <f>IF(SUM('Assets-Liab 5-6'!N23)&lt;&gt;('Assets-Liab 5-6'!N41),"ERROR!","OK")</f>
        <v>OK</v>
      </c>
    </row>
    <row r="56" spans="1:4" x14ac:dyDescent="0.2">
      <c r="A56" s="1100"/>
      <c r="B56" s="1120">
        <f>B43+1</f>
        <v>6</v>
      </c>
      <c r="C56" s="2408" t="s">
        <v>784</v>
      </c>
      <c r="D56" s="2409"/>
    </row>
    <row r="57" spans="1:4" s="1116" customFormat="1" x14ac:dyDescent="0.2">
      <c r="A57" s="1100"/>
      <c r="B57" s="1110"/>
      <c r="C57" s="1118" t="s">
        <v>1342</v>
      </c>
      <c r="D57" s="1124" t="str">
        <f>IF('Assets-Liab 5-6'!C38+'Assets-Liab 5-6'!C39='Acct Summary 7-8'!C81,"OK","ERROR!")</f>
        <v>OK</v>
      </c>
    </row>
    <row r="58" spans="1:4" x14ac:dyDescent="0.2">
      <c r="A58" s="1100"/>
      <c r="B58" s="1110"/>
      <c r="C58" s="1118" t="s">
        <v>1343</v>
      </c>
      <c r="D58" s="1124" t="str">
        <f>IF((('Assets-Liab 5-6'!D38+'Assets-Liab 5-6'!D39) ='Acct Summary 7-8'!D81), "OK", "ERROR!" )</f>
        <v>OK</v>
      </c>
    </row>
    <row r="59" spans="1:4" s="1116" customFormat="1" x14ac:dyDescent="0.2">
      <c r="A59" s="1100"/>
      <c r="B59" s="1110"/>
      <c r="C59" s="1118" t="s">
        <v>1344</v>
      </c>
      <c r="D59" s="1124" t="str">
        <f>IF((('Assets-Liab 5-6'!E38 + 'Assets-Liab 5-6'!E39) ='Acct Summary 7-8'!E81), "OK", "ERROR!" )</f>
        <v>OK</v>
      </c>
    </row>
    <row r="60" spans="1:4" x14ac:dyDescent="0.2">
      <c r="A60" s="1100"/>
      <c r="B60" s="1110"/>
      <c r="C60" s="1118" t="s">
        <v>1345</v>
      </c>
      <c r="D60" s="1124" t="str">
        <f>IF((('Assets-Liab 5-6'!F38 + 'Assets-Liab 5-6'!F39) ='Acct Summary 7-8'!F81), "OK", "ERROR!" )</f>
        <v>OK</v>
      </c>
    </row>
    <row r="61" spans="1:4" ht="12.75" customHeight="1" x14ac:dyDescent="0.2">
      <c r="A61" s="1100"/>
      <c r="B61" s="1110"/>
      <c r="C61" s="1118" t="s">
        <v>1358</v>
      </c>
      <c r="D61" s="1124" t="str">
        <f>IF((('Assets-Liab 5-6'!G38 + 'Assets-Liab 5-6'!G39) ='Acct Summary 7-8'!G81), "OK", "ERROR!" )</f>
        <v>OK</v>
      </c>
    </row>
    <row r="62" spans="1:4" x14ac:dyDescent="0.2">
      <c r="A62" s="1100"/>
      <c r="B62" s="1110"/>
      <c r="C62" s="1118" t="s">
        <v>1346</v>
      </c>
      <c r="D62" s="1124" t="str">
        <f>IF((('Assets-Liab 5-6'!H38 + 'Assets-Liab 5-6'!H39) ='Acct Summary 7-8'!H81), "OK", "ERROR!" )</f>
        <v>OK</v>
      </c>
    </row>
    <row r="63" spans="1:4" ht="12.75" customHeight="1" x14ac:dyDescent="0.2">
      <c r="A63" s="1100"/>
      <c r="B63" s="1110"/>
      <c r="C63" s="1118" t="s">
        <v>1347</v>
      </c>
      <c r="D63" s="1124" t="str">
        <f>IF((('Assets-Liab 5-6'!I38 + 'Assets-Liab 5-6'!I39) ='Acct Summary 7-8'!I81), "OK", "ERROR!" )</f>
        <v>OK</v>
      </c>
    </row>
    <row r="64" spans="1:4" x14ac:dyDescent="0.2">
      <c r="A64" s="1100"/>
      <c r="B64" s="1110"/>
      <c r="C64" s="1118" t="s">
        <v>1348</v>
      </c>
      <c r="D64" s="1124" t="str">
        <f>IF((('Assets-Liab 5-6'!J38 + 'Assets-Liab 5-6'!J39) ='Acct Summary 7-8'!J81), "OK", "ERROR!" )</f>
        <v>OK</v>
      </c>
    </row>
    <row r="65" spans="1:4" x14ac:dyDescent="0.2">
      <c r="A65" s="1117"/>
      <c r="B65" s="1110"/>
      <c r="C65" s="1118" t="s">
        <v>1359</v>
      </c>
      <c r="D65" s="1124" t="str">
        <f>IF((('Assets-Liab 5-6'!K38 + 'Assets-Liab 5-6'!K39) ='Acct Summary 7-8'!K81), "OK", "ERROR!" )</f>
        <v>OK</v>
      </c>
    </row>
    <row r="66" spans="1:4" x14ac:dyDescent="0.2">
      <c r="A66" s="1098"/>
      <c r="B66" s="1140">
        <f>B56+1+1</f>
        <v>8</v>
      </c>
      <c r="C66" s="1146" t="s">
        <v>1890</v>
      </c>
      <c r="D66" s="1125"/>
    </row>
    <row r="67" spans="1:4" x14ac:dyDescent="0.2">
      <c r="A67" s="1119"/>
      <c r="B67" s="1140"/>
      <c r="C67" s="1147" t="s">
        <v>1021</v>
      </c>
      <c r="D67" s="1125"/>
    </row>
    <row r="68" spans="1:4" x14ac:dyDescent="0.2">
      <c r="A68" s="1100"/>
      <c r="B68" s="1110"/>
      <c r="C68" s="1102" t="s">
        <v>1891</v>
      </c>
      <c r="D68" s="1124" t="str">
        <f>IF('Short-Term Long-Term Debt 24'!F49=SUM(,'Acct Summary 7-8'!C33:K33),"OK","ERROR!")</f>
        <v>OK</v>
      </c>
    </row>
    <row r="69" spans="1:4" x14ac:dyDescent="0.2">
      <c r="A69" s="1100"/>
      <c r="B69" s="1110"/>
      <c r="C69" s="1102" t="s">
        <v>1892</v>
      </c>
      <c r="D69" s="1124" t="str">
        <f>IF('Expenditures 15-22'!H170&lt;&gt;'Short-Term Long-Term Debt 24'!H49,"ERROR!","OK")</f>
        <v>ERROR!</v>
      </c>
    </row>
    <row r="70" spans="1:4" x14ac:dyDescent="0.2">
      <c r="A70" s="1098"/>
      <c r="B70" s="1120">
        <f>B66+1</f>
        <v>9</v>
      </c>
      <c r="C70" s="2408" t="s">
        <v>1685</v>
      </c>
      <c r="D70" s="2409"/>
    </row>
    <row r="71" spans="1:4" x14ac:dyDescent="0.2">
      <c r="A71" s="1098"/>
      <c r="B71" s="1120"/>
      <c r="C71" s="1102" t="s">
        <v>1349</v>
      </c>
      <c r="D71" s="1126" t="str">
        <f>IF(SUM('Acct Summary 7-8'!C27:K27) =SUM( 'Acct Summary 7-8'!C49:K49),"OK", "ERROR")</f>
        <v>OK</v>
      </c>
    </row>
    <row r="72" spans="1:4" x14ac:dyDescent="0.2">
      <c r="A72" s="1100"/>
      <c r="B72" s="1110"/>
      <c r="C72" s="1118" t="s">
        <v>1350</v>
      </c>
      <c r="D72" s="1124" t="str">
        <f>IF(SUM('Acct Summary 7-8'!C28:K28)=SUM('Acct Summary 7-8'!C50:K50),"OK","ERROR!")</f>
        <v>OK</v>
      </c>
    </row>
    <row r="73" spans="1:4" ht="24" x14ac:dyDescent="0.2">
      <c r="A73" s="1127"/>
      <c r="B73" s="1110"/>
      <c r="C73" s="1118" t="s">
        <v>1686</v>
      </c>
      <c r="D73" s="1126" t="str">
        <f>IF(SUM('Acct Summary 7-8'!C42:K42)&gt;=SUM( 'Acct Summary 7-8'!C74:K74),"OK", "ERROR")</f>
        <v>OK</v>
      </c>
    </row>
    <row r="74" spans="1:4" x14ac:dyDescent="0.2">
      <c r="A74" s="1098"/>
      <c r="B74" s="1120">
        <f>B70+1</f>
        <v>10</v>
      </c>
      <c r="C74" s="1114" t="s">
        <v>1893</v>
      </c>
      <c r="D74" s="1128"/>
    </row>
    <row r="75" spans="1:4" x14ac:dyDescent="0.2">
      <c r="A75" s="1100"/>
      <c r="B75" s="1110"/>
      <c r="C75" s="1118" t="s">
        <v>1372</v>
      </c>
      <c r="D75" s="1124" t="str">
        <f>IF(SUM('Assets-Liab 5-6'!C38:H38)&gt;=SUM('Rest Tax Levies-Tort Im 25'!G25:K25),"OK","ERROR")</f>
        <v>OK</v>
      </c>
    </row>
    <row r="76" spans="1:4" x14ac:dyDescent="0.2">
      <c r="A76" s="1100"/>
      <c r="B76" s="1110"/>
      <c r="C76" s="1118" t="s">
        <v>1413</v>
      </c>
      <c r="D76" s="1124" t="str">
        <f>IF(SUM('Assets-Liab 5-6'!C39:K39)&gt;0,"OK","ENTRY IS REQUIRED!")</f>
        <v>OK</v>
      </c>
    </row>
    <row r="77" spans="1:4" x14ac:dyDescent="0.2">
      <c r="A77" s="1100"/>
      <c r="B77" s="1129">
        <f>B74+1</f>
        <v>11</v>
      </c>
      <c r="C77" s="1174" t="s">
        <v>1373</v>
      </c>
      <c r="D77" s="1124"/>
    </row>
    <row r="78" spans="1:4" x14ac:dyDescent="0.2">
      <c r="A78" s="1100"/>
      <c r="B78" s="1110"/>
      <c r="C78" s="1118" t="s">
        <v>1894</v>
      </c>
      <c r="D78" s="1124" t="str">
        <f>IF(ISNUMBER('Acct Summary 7-8'!C9),"OK","ENTRY IS REQUIRED!")</f>
        <v>OK</v>
      </c>
    </row>
    <row r="79" spans="1:4" x14ac:dyDescent="0.2">
      <c r="A79" s="1119"/>
      <c r="B79" s="1120">
        <f>B74+1+1</f>
        <v>12</v>
      </c>
      <c r="C79" s="1130" t="s">
        <v>1879</v>
      </c>
      <c r="D79" s="1131" t="str">
        <f>IF(OR(COVER!$B$6="X",'PCTC-OEPP 27-28'!F78&gt;0),"OK","PLEASE ENTER 9 MO ADA.")</f>
        <v>OK</v>
      </c>
    </row>
    <row r="80" spans="1:4" x14ac:dyDescent="0.2">
      <c r="A80" s="1098"/>
      <c r="B80" s="1120">
        <v>13</v>
      </c>
      <c r="C80" s="1130" t="s">
        <v>1895</v>
      </c>
      <c r="D80" s="1131" t="str">
        <f>IF('Contracts Paid in CY 29'!D136&gt;0,"OK","PLEASE ENTER CONTRACTS PAID IN CURRENT YEAR.")</f>
        <v>OK</v>
      </c>
    </row>
    <row r="81" spans="1:4" x14ac:dyDescent="0.2">
      <c r="A81" s="1098"/>
      <c r="B81" s="1120">
        <v>14</v>
      </c>
      <c r="C81" s="1130" t="s">
        <v>1419</v>
      </c>
      <c r="D81" s="1123" t="str">
        <f>IF('Shared Outsourced Services 31'!B8="X","OK",IF('Shared Outsourced Services 31'!K34&gt;0,"OK","ENTRY REQUIRED!"))</f>
        <v>OK</v>
      </c>
    </row>
    <row r="82" spans="1:4" x14ac:dyDescent="0.2">
      <c r="A82" s="1119"/>
      <c r="B82" s="1120">
        <v>15</v>
      </c>
      <c r="C82" s="1130" t="s">
        <v>1418</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15016299025</v>
      </c>
    </row>
    <row r="3" spans="1:2" x14ac:dyDescent="0.2">
      <c r="A3" t="s">
        <v>956</v>
      </c>
      <c r="B3" s="138" t="str">
        <f>COVER!A15</f>
        <v>COOK</v>
      </c>
    </row>
    <row r="4" spans="1:2" x14ac:dyDescent="0.2">
      <c r="A4" t="s">
        <v>1007</v>
      </c>
      <c r="B4" s="138" t="str">
        <f>COVER!A17</f>
        <v>City of Chicago SD 299</v>
      </c>
    </row>
    <row r="5" spans="1:2" x14ac:dyDescent="0.2">
      <c r="A5" t="s">
        <v>704</v>
      </c>
      <c r="B5" s="138" t="str">
        <f>COVER!A38</f>
        <v>Lenny Moore, Controller</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 xml:space="preserve">ACCRUAL </v>
      </c>
    </row>
    <row r="10" spans="1:2" x14ac:dyDescent="0.2">
      <c r="A10" t="s">
        <v>976</v>
      </c>
      <c r="B10" s="138" t="str">
        <f>COVER!B5</f>
        <v>X</v>
      </c>
    </row>
    <row r="11" spans="1:2" x14ac:dyDescent="0.2">
      <c r="A11" t="s">
        <v>977</v>
      </c>
      <c r="B11" s="138">
        <f>COVER!B6</f>
        <v>0</v>
      </c>
    </row>
    <row r="12" spans="1:2" x14ac:dyDescent="0.2">
      <c r="A12" s="1" t="s">
        <v>1538</v>
      </c>
      <c r="B12" s="138" t="str">
        <f>IF(COVER!J29="x","Yes",IF(COVER!L29="X","No",0))</f>
        <v>Yes</v>
      </c>
    </row>
    <row r="13" spans="1:2" x14ac:dyDescent="0.2">
      <c r="A13" s="1" t="s">
        <v>1539</v>
      </c>
      <c r="B13" s="138" t="str">
        <f>IF(COVER!J30="x","Yes",IF(COVER!L30="x","No",0))</f>
        <v>Yes</v>
      </c>
    </row>
    <row r="14" spans="1:2" x14ac:dyDescent="0.2">
      <c r="A14" t="s">
        <v>476</v>
      </c>
      <c r="B14" s="138" t="str">
        <f>IF(COVER!J31="x","Yes",IF(COVER!L31="x","No",0))</f>
        <v>Yes</v>
      </c>
    </row>
    <row r="15" spans="1:2" x14ac:dyDescent="0.2">
      <c r="A15" t="s">
        <v>577</v>
      </c>
      <c r="B15" s="138" t="str">
        <f>COVER!T23</f>
        <v>066-004260</v>
      </c>
    </row>
    <row r="16" spans="1:2" x14ac:dyDescent="0.2">
      <c r="A16" t="s">
        <v>422</v>
      </c>
      <c r="B16" s="138" t="str">
        <f>COVER!T13</f>
        <v>BAKER TILLY VIRCHOW KRAUSE, LLP</v>
      </c>
    </row>
    <row r="17" spans="1:2" x14ac:dyDescent="0.2">
      <c r="A17" t="s">
        <v>884</v>
      </c>
      <c r="B17" s="138" t="str">
        <f>COVER!T15</f>
        <v>JASON COYLE</v>
      </c>
    </row>
    <row r="18" spans="1:2" x14ac:dyDescent="0.2">
      <c r="A18" t="s">
        <v>1150</v>
      </c>
      <c r="B18" s="138" t="str">
        <f>COVER!T17</f>
        <v>205 NORTH MICHIGAN AVENUE</v>
      </c>
    </row>
    <row r="19" spans="1:2" x14ac:dyDescent="0.2">
      <c r="A19" t="s">
        <v>886</v>
      </c>
      <c r="B19" s="138" t="str">
        <f>COVER!T25</f>
        <v>JASON.COYLE@BAKERTILLY.COM</v>
      </c>
    </row>
    <row r="20" spans="1:2" x14ac:dyDescent="0.2">
      <c r="A20" t="s">
        <v>887</v>
      </c>
      <c r="B20" s="138" t="str">
        <f>COVER!T19</f>
        <v>CHICAGO</v>
      </c>
    </row>
    <row r="21" spans="1:2" x14ac:dyDescent="0.2">
      <c r="A21" t="s">
        <v>479</v>
      </c>
      <c r="B21" s="138" t="str">
        <f>COVER!X19</f>
        <v>IL</v>
      </c>
    </row>
    <row r="22" spans="1:2" x14ac:dyDescent="0.2">
      <c r="A22" t="s">
        <v>888</v>
      </c>
      <c r="B22" s="138">
        <f>COVER!Z19</f>
        <v>60601</v>
      </c>
    </row>
    <row r="23" spans="1:2" x14ac:dyDescent="0.2">
      <c r="A23" t="s">
        <v>1152</v>
      </c>
      <c r="B23" s="138" t="str">
        <f>COVER!T21</f>
        <v>630.645.6205</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Yes</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1476</v>
      </c>
      <c r="B49" s="138" t="str">
        <f>IF('Aud Quest 2'!B53="x","Yes",IF('Aud Quest 2'!B53&lt;&gt;"x","0"))</f>
        <v>Yes</v>
      </c>
    </row>
    <row r="50" spans="1:4" x14ac:dyDescent="0.2">
      <c r="A50" s="1" t="s">
        <v>1475</v>
      </c>
      <c r="B50" s="150">
        <f>'Aud Quest 2'!H53</f>
        <v>34335</v>
      </c>
    </row>
    <row r="51" spans="1:4" x14ac:dyDescent="0.2">
      <c r="A51" s="1" t="s">
        <v>1477</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1311660639</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12333980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2020329407</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32139567</v>
      </c>
      <c r="D86" s="2" t="str">
        <f t="shared" si="0"/>
        <v>Error?</v>
      </c>
    </row>
    <row r="87" spans="1:4" x14ac:dyDescent="0.2">
      <c r="A87" s="10">
        <v>26</v>
      </c>
      <c r="D87" s="2" t="str">
        <f t="shared" si="0"/>
        <v>OK</v>
      </c>
    </row>
    <row r="88" spans="1:4" x14ac:dyDescent="0.2">
      <c r="A88" s="5">
        <v>27</v>
      </c>
      <c r="B88" s="138">
        <f>'Assets-Liab 5-6'!C32</f>
        <v>650253595</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1528886065</v>
      </c>
      <c r="C91" s="2" t="s">
        <v>573</v>
      </c>
      <c r="D91" s="2" t="str">
        <f t="shared" si="0"/>
        <v>Error?</v>
      </c>
    </row>
    <row r="92" spans="1:4" x14ac:dyDescent="0.2">
      <c r="A92" s="5">
        <v>31</v>
      </c>
      <c r="B92" s="138">
        <f>'Assets-Liab 5-6'!C39</f>
        <v>365974733</v>
      </c>
      <c r="D92" s="2" t="str">
        <f t="shared" si="0"/>
        <v>Error?</v>
      </c>
    </row>
    <row r="93" spans="1:4" x14ac:dyDescent="0.2">
      <c r="A93" s="5">
        <v>32</v>
      </c>
      <c r="B93" s="138">
        <f>'Assets-Liab 5-6'!C41</f>
        <v>2020329407</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0</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0</v>
      </c>
      <c r="D123" s="2" t="str">
        <f t="shared" si="0"/>
        <v>Error?</v>
      </c>
    </row>
    <row r="124" spans="1:4" x14ac:dyDescent="0.2">
      <c r="A124" s="5">
        <v>63</v>
      </c>
      <c r="B124" s="138">
        <f>'Assets-Liab 5-6'!D41</f>
        <v>0</v>
      </c>
      <c r="C124" s="2" t="s">
        <v>573</v>
      </c>
      <c r="D124" s="2" t="str">
        <f t="shared" si="0"/>
        <v>Error?</v>
      </c>
    </row>
    <row r="125" spans="1:4" x14ac:dyDescent="0.2">
      <c r="A125" s="10">
        <v>64</v>
      </c>
      <c r="D125" s="2" t="str">
        <f t="shared" si="0"/>
        <v>OK</v>
      </c>
    </row>
    <row r="126" spans="1:4" x14ac:dyDescent="0.2">
      <c r="A126" s="5">
        <v>65</v>
      </c>
      <c r="B126" s="138">
        <f>'Assets-Liab 5-6'!E6</f>
        <v>33349836</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778930751</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3630962</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4888904</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778930751</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0</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0</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0</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0</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824786578</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108039997</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824786578</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335249916</v>
      </c>
      <c r="D273" s="2" t="str">
        <f t="shared" si="3"/>
        <v>Error?</v>
      </c>
    </row>
    <row r="274" spans="1:4" x14ac:dyDescent="0.2">
      <c r="A274" s="5">
        <v>213</v>
      </c>
      <c r="B274" s="138">
        <f>'Assets-Liab 5-6'!M17</f>
        <v>5130605597</v>
      </c>
      <c r="D274" s="2" t="str">
        <f t="shared" si="3"/>
        <v>Error?</v>
      </c>
    </row>
    <row r="275" spans="1:4" x14ac:dyDescent="0.2">
      <c r="A275" s="5">
        <v>214</v>
      </c>
      <c r="B275" s="138">
        <f>'Assets-Liab 5-6'!M18</f>
        <v>61469853</v>
      </c>
      <c r="D275" s="2" t="str">
        <f t="shared" si="3"/>
        <v>Error?</v>
      </c>
    </row>
    <row r="276" spans="1:4" x14ac:dyDescent="0.2">
      <c r="A276" s="5">
        <v>215</v>
      </c>
      <c r="B276" s="138">
        <f>'Assets-Liab 5-6'!M19</f>
        <v>2455489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6178679173</v>
      </c>
      <c r="C279" s="2" t="s">
        <v>573</v>
      </c>
      <c r="D279" s="2" t="str">
        <f t="shared" si="3"/>
        <v>Error?</v>
      </c>
    </row>
    <row r="280" spans="1:4" x14ac:dyDescent="0.2">
      <c r="A280" s="5">
        <v>219</v>
      </c>
      <c r="B280" s="138">
        <f>'Assets-Liab 5-6'!M40</f>
        <v>6178679173</v>
      </c>
      <c r="D280" s="2" t="str">
        <f t="shared" si="3"/>
        <v>Error?</v>
      </c>
    </row>
    <row r="281" spans="1:4" x14ac:dyDescent="0.2">
      <c r="A281" s="5">
        <v>220</v>
      </c>
      <c r="B281" s="138">
        <f>'Assets-Liab 5-6'!M41</f>
        <v>6178679173</v>
      </c>
      <c r="C281" s="2" t="s">
        <v>573</v>
      </c>
      <c r="D281" s="2" t="str">
        <f t="shared" si="3"/>
        <v>Error?</v>
      </c>
    </row>
    <row r="282" spans="1:4" x14ac:dyDescent="0.2">
      <c r="A282" s="5">
        <v>221</v>
      </c>
      <c r="B282" s="138">
        <f>'Assets-Liab 5-6'!N21</f>
        <v>716746581</v>
      </c>
      <c r="D282" s="2" t="str">
        <f t="shared" si="3"/>
        <v>Error?</v>
      </c>
    </row>
    <row r="283" spans="1:4" x14ac:dyDescent="0.2">
      <c r="A283" s="5">
        <v>222</v>
      </c>
      <c r="B283" s="138">
        <f>'Assets-Liab 5-6'!N22</f>
        <v>7667175397</v>
      </c>
      <c r="D283" s="2" t="str">
        <f t="shared" si="3"/>
        <v>Error?</v>
      </c>
    </row>
    <row r="284" spans="1:4" x14ac:dyDescent="0.2">
      <c r="A284" s="5">
        <v>223</v>
      </c>
      <c r="B284" s="138">
        <f>'Assets-Liab 5-6'!N23</f>
        <v>8383921978</v>
      </c>
      <c r="C284" s="2" t="s">
        <v>573</v>
      </c>
      <c r="D284" s="2" t="str">
        <f t="shared" si="3"/>
        <v>Error?</v>
      </c>
    </row>
    <row r="285" spans="1:4" x14ac:dyDescent="0.2">
      <c r="A285" s="5">
        <v>224</v>
      </c>
      <c r="B285" s="138">
        <f>'Assets-Liab 5-6'!N36</f>
        <v>8383921978</v>
      </c>
      <c r="D285" s="2" t="str">
        <f t="shared" si="3"/>
        <v>Error?</v>
      </c>
    </row>
    <row r="286" spans="1:4" x14ac:dyDescent="0.2">
      <c r="A286" s="10">
        <v>225</v>
      </c>
      <c r="D286" s="2" t="str">
        <f t="shared" si="3"/>
        <v>OK</v>
      </c>
    </row>
    <row r="287" spans="1:4" x14ac:dyDescent="0.2">
      <c r="A287" s="5">
        <v>226</v>
      </c>
      <c r="B287" s="138">
        <f>'Assets-Liab 5-6'!N37</f>
        <v>8383921978</v>
      </c>
      <c r="C287" s="2" t="s">
        <v>573</v>
      </c>
      <c r="D287" s="2" t="str">
        <f t="shared" si="3"/>
        <v>Error?</v>
      </c>
    </row>
    <row r="288" spans="1:4" x14ac:dyDescent="0.2">
      <c r="A288" s="5">
        <v>227</v>
      </c>
      <c r="B288" s="138">
        <f>'Assets-Liab 5-6'!N41</f>
        <v>8383921978</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32500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28895967</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361575714</v>
      </c>
      <c r="D618" s="2" t="str">
        <f t="shared" si="8"/>
        <v>Error?</v>
      </c>
    </row>
    <row r="619" spans="1:4" x14ac:dyDescent="0.2">
      <c r="A619" s="5">
        <v>558</v>
      </c>
      <c r="B619" s="138">
        <f>'Acct Summary 7-8'!H34</f>
        <v>4470450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1145637203</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45565836</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2892660</v>
      </c>
      <c r="D716" s="2" t="str">
        <f t="shared" si="10"/>
        <v>Error?</v>
      </c>
    </row>
    <row r="717" spans="1:4" x14ac:dyDescent="0.2">
      <c r="A717" s="5">
        <v>656</v>
      </c>
      <c r="B717" s="138">
        <f>'Expenditures 15-22'!C13</f>
        <v>12053279</v>
      </c>
      <c r="D717" s="2" t="str">
        <f t="shared" si="10"/>
        <v>Error?</v>
      </c>
    </row>
    <row r="718" spans="1:4" x14ac:dyDescent="0.2">
      <c r="A718" s="5">
        <v>657</v>
      </c>
      <c r="B718" s="138">
        <f>'Expenditures 15-22'!C14</f>
        <v>13221310</v>
      </c>
      <c r="D718" s="2" t="str">
        <f t="shared" si="10"/>
        <v>Error?</v>
      </c>
    </row>
    <row r="719" spans="1:4" x14ac:dyDescent="0.2">
      <c r="A719" s="5">
        <v>658</v>
      </c>
      <c r="B719" s="138">
        <f>'Expenditures 15-22'!C15</f>
        <v>11973111</v>
      </c>
      <c r="D719" s="2" t="str">
        <f t="shared" si="10"/>
        <v>Error?</v>
      </c>
    </row>
    <row r="720" spans="1:4" x14ac:dyDescent="0.2">
      <c r="A720" s="5">
        <v>659</v>
      </c>
      <c r="B720" s="138">
        <f>'Expenditures 15-22'!C33</f>
        <v>1762678618</v>
      </c>
      <c r="C720" s="2" t="s">
        <v>573</v>
      </c>
      <c r="D720" s="2" t="str">
        <f t="shared" si="10"/>
        <v>Error?</v>
      </c>
    </row>
    <row r="721" spans="1:4" x14ac:dyDescent="0.2">
      <c r="A721" s="5">
        <v>660</v>
      </c>
      <c r="B721" s="138">
        <f>'Expenditures 15-22'!C36</f>
        <v>41445364</v>
      </c>
      <c r="D721" s="2" t="str">
        <f t="shared" si="10"/>
        <v>Error?</v>
      </c>
    </row>
    <row r="722" spans="1:4" x14ac:dyDescent="0.2">
      <c r="A722" s="5">
        <v>661</v>
      </c>
      <c r="B722" s="138">
        <f>'Expenditures 15-22'!C37</f>
        <v>86064729</v>
      </c>
      <c r="D722" s="2" t="str">
        <f t="shared" si="10"/>
        <v>Error?</v>
      </c>
    </row>
    <row r="723" spans="1:4" x14ac:dyDescent="0.2">
      <c r="A723" s="5">
        <v>662</v>
      </c>
      <c r="B723" s="138">
        <f>'Expenditures 15-22'!C38</f>
        <v>18749294</v>
      </c>
      <c r="D723" s="2" t="str">
        <f t="shared" si="10"/>
        <v>Error?</v>
      </c>
    </row>
    <row r="724" spans="1:4" x14ac:dyDescent="0.2">
      <c r="A724" s="5">
        <v>663</v>
      </c>
      <c r="B724" s="138">
        <f>'Expenditures 15-22'!C39</f>
        <v>19869046</v>
      </c>
      <c r="D724" s="2" t="str">
        <f t="shared" si="10"/>
        <v>Error?</v>
      </c>
    </row>
    <row r="725" spans="1:4" x14ac:dyDescent="0.2">
      <c r="A725" s="5">
        <v>664</v>
      </c>
      <c r="B725" s="138">
        <f>'Expenditures 15-22'!C40</f>
        <v>26738393</v>
      </c>
      <c r="D725" s="2" t="str">
        <f t="shared" si="10"/>
        <v>Error?</v>
      </c>
    </row>
    <row r="726" spans="1:4" x14ac:dyDescent="0.2">
      <c r="A726" s="5">
        <v>665</v>
      </c>
      <c r="B726" s="138">
        <f>'Expenditures 15-22'!C41</f>
        <v>18987408</v>
      </c>
      <c r="D726" s="2" t="str">
        <f t="shared" si="10"/>
        <v>Error?</v>
      </c>
    </row>
    <row r="727" spans="1:4" x14ac:dyDescent="0.2">
      <c r="A727" s="5">
        <v>666</v>
      </c>
      <c r="B727" s="138">
        <f>'Expenditures 15-22'!C42</f>
        <v>211854234</v>
      </c>
      <c r="C727" s="2" t="s">
        <v>573</v>
      </c>
      <c r="D727" s="2" t="str">
        <f t="shared" si="10"/>
        <v>Error?</v>
      </c>
    </row>
    <row r="728" spans="1:4" x14ac:dyDescent="0.2">
      <c r="A728" s="5">
        <v>667</v>
      </c>
      <c r="B728" s="138">
        <f>'Expenditures 15-22'!C44</f>
        <v>73588556</v>
      </c>
      <c r="D728" s="2" t="str">
        <f t="shared" si="10"/>
        <v>Error?</v>
      </c>
    </row>
    <row r="729" spans="1:4" x14ac:dyDescent="0.2">
      <c r="A729" s="5">
        <v>668</v>
      </c>
      <c r="B729" s="138">
        <f>'Expenditures 15-22'!C45</f>
        <v>19373589</v>
      </c>
      <c r="D729" s="2" t="str">
        <f t="shared" si="10"/>
        <v>Error?</v>
      </c>
    </row>
    <row r="730" spans="1:4" x14ac:dyDescent="0.2">
      <c r="A730" s="5">
        <v>669</v>
      </c>
      <c r="B730" s="138">
        <f>'Expenditures 15-22'!C46</f>
        <v>4945384</v>
      </c>
      <c r="D730" s="2" t="str">
        <f t="shared" si="10"/>
        <v>Error?</v>
      </c>
    </row>
    <row r="731" spans="1:4" x14ac:dyDescent="0.2">
      <c r="A731" s="5">
        <v>670</v>
      </c>
      <c r="B731" s="138">
        <f>'Expenditures 15-22'!C47</f>
        <v>97907529</v>
      </c>
      <c r="C731" s="2" t="s">
        <v>573</v>
      </c>
      <c r="D731" s="2" t="str">
        <f t="shared" si="10"/>
        <v>Error?</v>
      </c>
    </row>
    <row r="732" spans="1:4" x14ac:dyDescent="0.2">
      <c r="A732" s="5">
        <v>671</v>
      </c>
      <c r="B732" s="138">
        <f>'Expenditures 15-22'!C49</f>
        <v>18709150</v>
      </c>
      <c r="D732" s="2" t="str">
        <f t="shared" si="10"/>
        <v>Error?</v>
      </c>
    </row>
    <row r="733" spans="1:4" x14ac:dyDescent="0.2">
      <c r="A733" s="5">
        <v>672</v>
      </c>
      <c r="B733" s="138">
        <f>'Expenditures 15-22'!C50</f>
        <v>2923048</v>
      </c>
      <c r="D733" s="2" t="str">
        <f t="shared" si="10"/>
        <v>Error?</v>
      </c>
    </row>
    <row r="734" spans="1:4" x14ac:dyDescent="0.2">
      <c r="A734" s="5">
        <v>673</v>
      </c>
      <c r="B734" s="138">
        <f>'Expenditures 15-22'!C53</f>
        <v>29596908</v>
      </c>
      <c r="C734" s="2" t="s">
        <v>573</v>
      </c>
      <c r="D734" s="2" t="str">
        <f t="shared" si="10"/>
        <v>Error?</v>
      </c>
    </row>
    <row r="735" spans="1:4" x14ac:dyDescent="0.2">
      <c r="A735" s="5">
        <v>674</v>
      </c>
      <c r="B735" s="138">
        <f>'Expenditures 15-22'!C55</f>
        <v>159499437</v>
      </c>
      <c r="D735" s="2" t="str">
        <f t="shared" si="10"/>
        <v>Error?</v>
      </c>
    </row>
    <row r="736" spans="1:4" x14ac:dyDescent="0.2">
      <c r="A736" s="5">
        <v>675</v>
      </c>
      <c r="B736" s="138">
        <f>'Expenditures 15-22'!C56</f>
        <v>553660</v>
      </c>
      <c r="D736" s="2" t="str">
        <f t="shared" si="10"/>
        <v>Error?</v>
      </c>
    </row>
    <row r="737" spans="1:4" x14ac:dyDescent="0.2">
      <c r="A737" s="5">
        <v>676</v>
      </c>
      <c r="B737" s="138">
        <f>'Expenditures 15-22'!C57</f>
        <v>160053097</v>
      </c>
      <c r="C737" s="2" t="s">
        <v>573</v>
      </c>
      <c r="D737" s="2" t="str">
        <f t="shared" si="10"/>
        <v>Error?</v>
      </c>
    </row>
    <row r="738" spans="1:4" x14ac:dyDescent="0.2">
      <c r="A738" s="5">
        <v>677</v>
      </c>
      <c r="B738" s="138">
        <f>'Expenditures 15-22'!C59</f>
        <v>4097915</v>
      </c>
      <c r="D738" s="2" t="str">
        <f t="shared" si="10"/>
        <v>Error?</v>
      </c>
    </row>
    <row r="739" spans="1:4" x14ac:dyDescent="0.2">
      <c r="A739" s="5">
        <v>678</v>
      </c>
      <c r="B739" s="138">
        <f>'Expenditures 15-22'!C60</f>
        <v>10066663</v>
      </c>
      <c r="D739" s="2" t="str">
        <f t="shared" si="10"/>
        <v>Error?</v>
      </c>
    </row>
    <row r="740" spans="1:4" x14ac:dyDescent="0.2">
      <c r="A740" s="5">
        <v>679</v>
      </c>
      <c r="B740" s="138">
        <f>'Expenditures 15-22'!C61</f>
        <v>18215057</v>
      </c>
      <c r="D740" s="2" t="str">
        <f t="shared" si="10"/>
        <v>Error?</v>
      </c>
    </row>
    <row r="741" spans="1:4" x14ac:dyDescent="0.2">
      <c r="A741" s="5">
        <v>680</v>
      </c>
      <c r="B741" s="138">
        <f>'Expenditures 15-22'!C62</f>
        <v>17562570</v>
      </c>
      <c r="D741" s="2" t="str">
        <f t="shared" si="10"/>
        <v>Error?</v>
      </c>
    </row>
    <row r="742" spans="1:4" x14ac:dyDescent="0.2">
      <c r="A742" s="5">
        <v>681</v>
      </c>
      <c r="B742" s="138">
        <f>'Expenditures 15-22'!C63</f>
        <v>69321548</v>
      </c>
      <c r="D742" s="2" t="str">
        <f t="shared" si="10"/>
        <v>Error?</v>
      </c>
    </row>
    <row r="743" spans="1:4" x14ac:dyDescent="0.2">
      <c r="A743" s="5">
        <v>682</v>
      </c>
      <c r="B743" s="138">
        <f>'Expenditures 15-22'!C64</f>
        <v>2987447</v>
      </c>
      <c r="D743" s="2" t="str">
        <f t="shared" si="10"/>
        <v>Error?</v>
      </c>
    </row>
    <row r="744" spans="1:4" x14ac:dyDescent="0.2">
      <c r="A744" s="10">
        <v>683</v>
      </c>
      <c r="D744" s="2" t="str">
        <f t="shared" si="10"/>
        <v>OK</v>
      </c>
    </row>
    <row r="745" spans="1:4" x14ac:dyDescent="0.2">
      <c r="A745" s="5">
        <v>684</v>
      </c>
      <c r="B745" s="138">
        <f>'Expenditures 15-22'!C65</f>
        <v>122251200</v>
      </c>
      <c r="C745" s="2" t="s">
        <v>573</v>
      </c>
      <c r="D745" s="2" t="str">
        <f t="shared" si="10"/>
        <v>Error?</v>
      </c>
    </row>
    <row r="746" spans="1:4" x14ac:dyDescent="0.2">
      <c r="A746" s="5">
        <v>685</v>
      </c>
      <c r="B746" s="138">
        <f>'Expenditures 15-22'!C67</f>
        <v>5387634</v>
      </c>
      <c r="D746" s="2" t="str">
        <f t="shared" si="10"/>
        <v>Error?</v>
      </c>
    </row>
    <row r="747" spans="1:4" x14ac:dyDescent="0.2">
      <c r="A747" s="5">
        <v>686</v>
      </c>
      <c r="B747" s="138">
        <f>'Expenditures 15-22'!C68</f>
        <v>4843182</v>
      </c>
      <c r="D747" s="2" t="str">
        <f t="shared" si="10"/>
        <v>Error?</v>
      </c>
    </row>
    <row r="748" spans="1:4" x14ac:dyDescent="0.2">
      <c r="A748" s="5">
        <v>687</v>
      </c>
      <c r="B748" s="138">
        <f>'Expenditures 15-22'!C69</f>
        <v>157005</v>
      </c>
      <c r="D748" s="2" t="str">
        <f t="shared" si="10"/>
        <v>Error?</v>
      </c>
    </row>
    <row r="749" spans="1:4" x14ac:dyDescent="0.2">
      <c r="A749" s="5">
        <v>688</v>
      </c>
      <c r="B749" s="138">
        <f>'Expenditures 15-22'!C70</f>
        <v>14743657</v>
      </c>
      <c r="D749" s="2" t="str">
        <f t="shared" si="10"/>
        <v>Error?</v>
      </c>
    </row>
    <row r="750" spans="1:4" x14ac:dyDescent="0.2">
      <c r="A750" s="10">
        <v>689</v>
      </c>
      <c r="D750" s="2" t="str">
        <f t="shared" si="10"/>
        <v>OK</v>
      </c>
    </row>
    <row r="751" spans="1:4" x14ac:dyDescent="0.2">
      <c r="A751" s="5">
        <v>690</v>
      </c>
      <c r="B751" s="138">
        <f>'Expenditures 15-22'!C71</f>
        <v>8821079</v>
      </c>
      <c r="D751" s="2" t="str">
        <f t="shared" si="10"/>
        <v>Error?</v>
      </c>
    </row>
    <row r="752" spans="1:4" x14ac:dyDescent="0.2">
      <c r="A752" s="10">
        <v>691</v>
      </c>
      <c r="D752" s="2" t="str">
        <f t="shared" si="10"/>
        <v>OK</v>
      </c>
    </row>
    <row r="753" spans="1:4" x14ac:dyDescent="0.2">
      <c r="A753" s="5">
        <v>692</v>
      </c>
      <c r="B753" s="138">
        <f>'Expenditures 15-22'!C72</f>
        <v>33952557</v>
      </c>
      <c r="C753" s="2" t="s">
        <v>573</v>
      </c>
      <c r="D753" s="2" t="str">
        <f t="shared" si="10"/>
        <v>Error?</v>
      </c>
    </row>
    <row r="754" spans="1:4" x14ac:dyDescent="0.2">
      <c r="A754" s="5">
        <v>693</v>
      </c>
      <c r="B754" s="138">
        <f>'Expenditures 15-22'!C73</f>
        <v>4271522</v>
      </c>
      <c r="D754" s="2" t="str">
        <f t="shared" si="10"/>
        <v>Error?</v>
      </c>
    </row>
    <row r="755" spans="1:4" x14ac:dyDescent="0.2">
      <c r="A755" s="5">
        <v>694</v>
      </c>
      <c r="B755" s="138">
        <f>'Expenditures 15-22'!C74</f>
        <v>659887047</v>
      </c>
      <c r="C755" s="2" t="s">
        <v>573</v>
      </c>
      <c r="D755" s="2" t="str">
        <f t="shared" si="10"/>
        <v>Error?</v>
      </c>
    </row>
    <row r="756" spans="1:4" x14ac:dyDescent="0.2">
      <c r="A756" s="5">
        <v>695</v>
      </c>
      <c r="B756" s="138">
        <f>'Expenditures 15-22'!C75</f>
        <v>20444627</v>
      </c>
      <c r="D756" s="2" t="str">
        <f t="shared" si="10"/>
        <v>Error?</v>
      </c>
    </row>
    <row r="757" spans="1:4" x14ac:dyDescent="0.2">
      <c r="A757" s="5">
        <v>696</v>
      </c>
      <c r="B757" s="138">
        <f>'Expenditures 15-22'!C114</f>
        <v>2443010292</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723176283</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12567323</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60513</v>
      </c>
      <c r="D774" s="2" t="str">
        <f t="shared" si="11"/>
        <v>Error?</v>
      </c>
    </row>
    <row r="775" spans="1:4" x14ac:dyDescent="0.2">
      <c r="A775" s="5">
        <v>714</v>
      </c>
      <c r="B775" s="138">
        <f>'Expenditures 15-22'!D13</f>
        <v>3199569</v>
      </c>
      <c r="D775" s="2" t="str">
        <f t="shared" si="11"/>
        <v>Error?</v>
      </c>
    </row>
    <row r="776" spans="1:4" x14ac:dyDescent="0.2">
      <c r="A776" s="5">
        <v>715</v>
      </c>
      <c r="B776" s="138">
        <f>'Expenditures 15-22'!D14</f>
        <v>532887</v>
      </c>
      <c r="D776" s="2" t="str">
        <f t="shared" si="11"/>
        <v>Error?</v>
      </c>
    </row>
    <row r="777" spans="1:4" x14ac:dyDescent="0.2">
      <c r="A777" s="5">
        <v>716</v>
      </c>
      <c r="B777" s="138">
        <f>'Expenditures 15-22'!D15</f>
        <v>262496</v>
      </c>
      <c r="D777" s="2" t="str">
        <f t="shared" si="11"/>
        <v>Error?</v>
      </c>
    </row>
    <row r="778" spans="1:4" x14ac:dyDescent="0.2">
      <c r="A778" s="5">
        <v>717</v>
      </c>
      <c r="B778" s="138">
        <f>'Expenditures 15-22'!D33</f>
        <v>900075854</v>
      </c>
      <c r="C778" s="2" t="s">
        <v>573</v>
      </c>
      <c r="D778" s="2" t="str">
        <f t="shared" si="11"/>
        <v>Error?</v>
      </c>
    </row>
    <row r="779" spans="1:4" x14ac:dyDescent="0.2">
      <c r="A779" s="5">
        <v>718</v>
      </c>
      <c r="B779" s="138">
        <f>'Expenditures 15-22'!D36</f>
        <v>10321929</v>
      </c>
      <c r="D779" s="2" t="str">
        <f t="shared" si="11"/>
        <v>Error?</v>
      </c>
    </row>
    <row r="780" spans="1:4" x14ac:dyDescent="0.2">
      <c r="A780" s="5">
        <v>719</v>
      </c>
      <c r="B780" s="138">
        <f>'Expenditures 15-22'!D37</f>
        <v>22382643</v>
      </c>
      <c r="D780" s="2" t="str">
        <f t="shared" si="11"/>
        <v>Error?</v>
      </c>
    </row>
    <row r="781" spans="1:4" x14ac:dyDescent="0.2">
      <c r="A781" s="5">
        <v>720</v>
      </c>
      <c r="B781" s="138">
        <f>'Expenditures 15-22'!D38</f>
        <v>4702542</v>
      </c>
      <c r="D781" s="2" t="str">
        <f t="shared" si="11"/>
        <v>Error?</v>
      </c>
    </row>
    <row r="782" spans="1:4" x14ac:dyDescent="0.2">
      <c r="A782" s="5">
        <v>721</v>
      </c>
      <c r="B782" s="138">
        <f>'Expenditures 15-22'!D39</f>
        <v>5089242</v>
      </c>
      <c r="D782" s="2" t="str">
        <f t="shared" si="11"/>
        <v>Error?</v>
      </c>
    </row>
    <row r="783" spans="1:4" x14ac:dyDescent="0.2">
      <c r="A783" s="5">
        <v>722</v>
      </c>
      <c r="B783" s="138">
        <f>'Expenditures 15-22'!D40</f>
        <v>6821089</v>
      </c>
      <c r="D783" s="2" t="str">
        <f t="shared" si="11"/>
        <v>Error?</v>
      </c>
    </row>
    <row r="784" spans="1:4" x14ac:dyDescent="0.2">
      <c r="A784" s="5">
        <v>723</v>
      </c>
      <c r="B784" s="138">
        <f>'Expenditures 15-22'!D41</f>
        <v>3535809</v>
      </c>
      <c r="D784" s="2" t="str">
        <f t="shared" si="11"/>
        <v>Error?</v>
      </c>
    </row>
    <row r="785" spans="1:4" x14ac:dyDescent="0.2">
      <c r="A785" s="5">
        <v>724</v>
      </c>
      <c r="B785" s="138">
        <f>'Expenditures 15-22'!D42</f>
        <v>52853254</v>
      </c>
      <c r="C785" s="2" t="s">
        <v>573</v>
      </c>
      <c r="D785" s="2" t="str">
        <f t="shared" si="11"/>
        <v>Error?</v>
      </c>
    </row>
    <row r="786" spans="1:4" x14ac:dyDescent="0.2">
      <c r="A786" s="5">
        <v>725</v>
      </c>
      <c r="B786" s="138">
        <f>'Expenditures 15-22'!D44</f>
        <v>14940260</v>
      </c>
      <c r="D786" s="2" t="str">
        <f t="shared" si="11"/>
        <v>Error?</v>
      </c>
    </row>
    <row r="787" spans="1:4" x14ac:dyDescent="0.2">
      <c r="A787" s="5">
        <v>726</v>
      </c>
      <c r="B787" s="138">
        <f>'Expenditures 15-22'!D45</f>
        <v>5060837</v>
      </c>
      <c r="D787" s="2" t="str">
        <f t="shared" si="11"/>
        <v>Error?</v>
      </c>
    </row>
    <row r="788" spans="1:4" x14ac:dyDescent="0.2">
      <c r="A788" s="5">
        <v>727</v>
      </c>
      <c r="B788" s="138">
        <f>'Expenditures 15-22'!D46</f>
        <v>242308</v>
      </c>
      <c r="D788" s="2" t="str">
        <f t="shared" si="11"/>
        <v>Error?</v>
      </c>
    </row>
    <row r="789" spans="1:4" x14ac:dyDescent="0.2">
      <c r="A789" s="5">
        <v>728</v>
      </c>
      <c r="B789" s="138">
        <f>'Expenditures 15-22'!D47</f>
        <v>20243405</v>
      </c>
      <c r="C789" s="2" t="s">
        <v>573</v>
      </c>
      <c r="D789" s="2" t="str">
        <f t="shared" si="11"/>
        <v>Error?</v>
      </c>
    </row>
    <row r="790" spans="1:4" x14ac:dyDescent="0.2">
      <c r="A790" s="5">
        <v>729</v>
      </c>
      <c r="B790" s="138">
        <f>'Expenditures 15-22'!D49</f>
        <v>2988042</v>
      </c>
      <c r="D790" s="2" t="str">
        <f t="shared" si="11"/>
        <v>Error?</v>
      </c>
    </row>
    <row r="791" spans="1:4" x14ac:dyDescent="0.2">
      <c r="A791" s="5">
        <v>730</v>
      </c>
      <c r="B791" s="138">
        <f>'Expenditures 15-22'!D50</f>
        <v>414154</v>
      </c>
      <c r="D791" s="2" t="str">
        <f t="shared" si="11"/>
        <v>Error?</v>
      </c>
    </row>
    <row r="792" spans="1:4" x14ac:dyDescent="0.2">
      <c r="A792" s="5">
        <v>731</v>
      </c>
      <c r="B792" s="138">
        <f>'Expenditures 15-22'!D53</f>
        <v>4809271</v>
      </c>
      <c r="C792" s="2" t="s">
        <v>573</v>
      </c>
      <c r="D792" s="2" t="str">
        <f t="shared" si="11"/>
        <v>Error?</v>
      </c>
    </row>
    <row r="793" spans="1:4" x14ac:dyDescent="0.2">
      <c r="A793" s="5">
        <v>732</v>
      </c>
      <c r="B793" s="138">
        <f>'Expenditures 15-22'!D55</f>
        <v>38087828</v>
      </c>
      <c r="D793" s="2" t="str">
        <f t="shared" si="11"/>
        <v>Error?</v>
      </c>
    </row>
    <row r="794" spans="1:4" x14ac:dyDescent="0.2">
      <c r="A794" s="5">
        <v>733</v>
      </c>
      <c r="B794" s="138">
        <f>'Expenditures 15-22'!D56</f>
        <v>85614</v>
      </c>
      <c r="D794" s="2" t="str">
        <f t="shared" si="11"/>
        <v>Error?</v>
      </c>
    </row>
    <row r="795" spans="1:4" x14ac:dyDescent="0.2">
      <c r="A795" s="5">
        <v>734</v>
      </c>
      <c r="B795" s="138">
        <f>'Expenditures 15-22'!D57</f>
        <v>38173442</v>
      </c>
      <c r="C795" s="2" t="s">
        <v>573</v>
      </c>
      <c r="D795" s="2" t="str">
        <f t="shared" si="11"/>
        <v>Error?</v>
      </c>
    </row>
    <row r="796" spans="1:4" x14ac:dyDescent="0.2">
      <c r="A796" s="5">
        <v>735</v>
      </c>
      <c r="B796" s="138">
        <f>'Expenditures 15-22'!D59</f>
        <v>783263</v>
      </c>
      <c r="D796" s="2" t="str">
        <f t="shared" si="11"/>
        <v>Error?</v>
      </c>
    </row>
    <row r="797" spans="1:4" x14ac:dyDescent="0.2">
      <c r="A797" s="5">
        <v>736</v>
      </c>
      <c r="B797" s="138">
        <f>'Expenditures 15-22'!D60</f>
        <v>1631700</v>
      </c>
      <c r="D797" s="2" t="str">
        <f t="shared" si="11"/>
        <v>Error?</v>
      </c>
    </row>
    <row r="798" spans="1:4" x14ac:dyDescent="0.2">
      <c r="A798" s="5">
        <v>737</v>
      </c>
      <c r="B798" s="138">
        <f>'Expenditures 15-22'!D61</f>
        <v>4695294</v>
      </c>
      <c r="D798" s="2" t="str">
        <f t="shared" si="11"/>
        <v>Error?</v>
      </c>
    </row>
    <row r="799" spans="1:4" x14ac:dyDescent="0.2">
      <c r="A799" s="5">
        <v>738</v>
      </c>
      <c r="B799" s="138">
        <f>'Expenditures 15-22'!D62</f>
        <v>6145531</v>
      </c>
      <c r="D799" s="2" t="str">
        <f t="shared" si="11"/>
        <v>Error?</v>
      </c>
    </row>
    <row r="800" spans="1:4" x14ac:dyDescent="0.2">
      <c r="A800" s="5">
        <v>739</v>
      </c>
      <c r="B800" s="138">
        <f>'Expenditures 15-22'!D63</f>
        <v>26089872</v>
      </c>
      <c r="D800" s="2" t="str">
        <f t="shared" si="11"/>
        <v>Error?</v>
      </c>
    </row>
    <row r="801" spans="1:4" x14ac:dyDescent="0.2">
      <c r="A801" s="5">
        <v>740</v>
      </c>
      <c r="B801" s="138">
        <f>'Expenditures 15-22'!D64</f>
        <v>549719</v>
      </c>
      <c r="D801" s="2" t="str">
        <f t="shared" si="11"/>
        <v>Error?</v>
      </c>
    </row>
    <row r="802" spans="1:4" x14ac:dyDescent="0.2">
      <c r="A802" s="10">
        <v>741</v>
      </c>
      <c r="D802" s="2" t="str">
        <f t="shared" si="11"/>
        <v>OK</v>
      </c>
    </row>
    <row r="803" spans="1:4" x14ac:dyDescent="0.2">
      <c r="A803" s="5">
        <v>742</v>
      </c>
      <c r="B803" s="138">
        <f>'Expenditures 15-22'!D65</f>
        <v>39895379</v>
      </c>
      <c r="C803" s="2" t="s">
        <v>573</v>
      </c>
      <c r="D803" s="2" t="str">
        <f t="shared" si="11"/>
        <v>Error?</v>
      </c>
    </row>
    <row r="804" spans="1:4" x14ac:dyDescent="0.2">
      <c r="A804" s="5">
        <v>743</v>
      </c>
      <c r="B804" s="138">
        <f>'Expenditures 15-22'!D67</f>
        <v>1232001</v>
      </c>
      <c r="D804" s="2" t="str">
        <f t="shared" si="11"/>
        <v>Error?</v>
      </c>
    </row>
    <row r="805" spans="1:4" x14ac:dyDescent="0.2">
      <c r="A805" s="5">
        <v>744</v>
      </c>
      <c r="B805" s="138">
        <f>'Expenditures 15-22'!D68</f>
        <v>872780</v>
      </c>
      <c r="D805" s="2" t="str">
        <f t="shared" si="11"/>
        <v>Error?</v>
      </c>
    </row>
    <row r="806" spans="1:4" x14ac:dyDescent="0.2">
      <c r="A806" s="5">
        <v>745</v>
      </c>
      <c r="B806" s="138">
        <f>'Expenditures 15-22'!D69</f>
        <v>9057</v>
      </c>
      <c r="D806" s="2" t="str">
        <f t="shared" si="11"/>
        <v>Error?</v>
      </c>
    </row>
    <row r="807" spans="1:4" x14ac:dyDescent="0.2">
      <c r="A807" s="5">
        <v>746</v>
      </c>
      <c r="B807" s="138">
        <f>'Expenditures 15-22'!D70</f>
        <v>5477653</v>
      </c>
      <c r="D807" s="2" t="str">
        <f t="shared" si="11"/>
        <v>Error?</v>
      </c>
    </row>
    <row r="808" spans="1:4" x14ac:dyDescent="0.2">
      <c r="A808" s="10">
        <v>747</v>
      </c>
      <c r="D808" s="2" t="str">
        <f t="shared" si="11"/>
        <v>OK</v>
      </c>
    </row>
    <row r="809" spans="1:4" x14ac:dyDescent="0.2">
      <c r="A809" s="5">
        <v>748</v>
      </c>
      <c r="B809" s="138">
        <f>'Expenditures 15-22'!D71</f>
        <v>1144098</v>
      </c>
      <c r="D809" s="2" t="str">
        <f t="shared" si="11"/>
        <v>Error?</v>
      </c>
    </row>
    <row r="810" spans="1:4" x14ac:dyDescent="0.2">
      <c r="A810" s="10">
        <v>749</v>
      </c>
      <c r="D810" s="2" t="str">
        <f t="shared" si="11"/>
        <v>OK</v>
      </c>
    </row>
    <row r="811" spans="1:4" x14ac:dyDescent="0.2">
      <c r="A811" s="5">
        <v>750</v>
      </c>
      <c r="B811" s="138">
        <f>'Expenditures 15-22'!D72</f>
        <v>8735589</v>
      </c>
      <c r="C811" s="2" t="s">
        <v>573</v>
      </c>
      <c r="D811" s="2" t="str">
        <f t="shared" si="11"/>
        <v>Error?</v>
      </c>
    </row>
    <row r="812" spans="1:4" x14ac:dyDescent="0.2">
      <c r="A812" s="5">
        <v>751</v>
      </c>
      <c r="B812" s="138">
        <f>'Expenditures 15-22'!D73</f>
        <v>715570</v>
      </c>
      <c r="D812" s="2" t="str">
        <f t="shared" si="11"/>
        <v>Error?</v>
      </c>
    </row>
    <row r="813" spans="1:4" x14ac:dyDescent="0.2">
      <c r="A813" s="5">
        <v>752</v>
      </c>
      <c r="B813" s="138">
        <f>'Expenditures 15-22'!D74</f>
        <v>165425910</v>
      </c>
      <c r="C813" s="2" t="s">
        <v>573</v>
      </c>
      <c r="D813" s="2" t="str">
        <f t="shared" si="11"/>
        <v>Error?</v>
      </c>
    </row>
    <row r="814" spans="1:4" x14ac:dyDescent="0.2">
      <c r="A814" s="5">
        <v>753</v>
      </c>
      <c r="B814" s="138">
        <f>'Expenditures 15-22'!D75</f>
        <v>2850054</v>
      </c>
      <c r="D814" s="2" t="str">
        <f t="shared" si="11"/>
        <v>Error?</v>
      </c>
    </row>
    <row r="815" spans="1:4" x14ac:dyDescent="0.2">
      <c r="A815" s="5">
        <v>754</v>
      </c>
      <c r="B815" s="138">
        <f>'Expenditures 15-22'!D114</f>
        <v>1068351818</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32726918</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106645</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377234</v>
      </c>
      <c r="D832" s="2" t="str">
        <f t="shared" si="12"/>
        <v>Error?</v>
      </c>
    </row>
    <row r="833" spans="1:4" x14ac:dyDescent="0.2">
      <c r="A833" s="5">
        <v>772</v>
      </c>
      <c r="B833" s="138">
        <f>'Expenditures 15-22'!E13</f>
        <v>1985227</v>
      </c>
      <c r="D833" s="2" t="str">
        <f t="shared" si="12"/>
        <v>Error?</v>
      </c>
    </row>
    <row r="834" spans="1:4" x14ac:dyDescent="0.2">
      <c r="A834" s="5">
        <v>773</v>
      </c>
      <c r="B834" s="138">
        <f>'Expenditures 15-22'!E14</f>
        <v>2618087</v>
      </c>
      <c r="D834" s="2" t="str">
        <f t="shared" si="12"/>
        <v>Error?</v>
      </c>
    </row>
    <row r="835" spans="1:4" x14ac:dyDescent="0.2">
      <c r="A835" s="5">
        <v>774</v>
      </c>
      <c r="B835" s="138">
        <f>'Expenditures 15-22'!E15</f>
        <v>1013181</v>
      </c>
      <c r="D835" s="2" t="str">
        <f t="shared" si="12"/>
        <v>Error?</v>
      </c>
    </row>
    <row r="836" spans="1:4" x14ac:dyDescent="0.2">
      <c r="A836" s="5">
        <v>775</v>
      </c>
      <c r="B836" s="138">
        <f>'Expenditures 15-22'!E33</f>
        <v>776879269</v>
      </c>
      <c r="C836" s="2" t="s">
        <v>573</v>
      </c>
      <c r="D836" s="2" t="str">
        <f t="shared" si="12"/>
        <v>Error?</v>
      </c>
    </row>
    <row r="837" spans="1:4" x14ac:dyDescent="0.2">
      <c r="A837" s="5">
        <v>776</v>
      </c>
      <c r="B837" s="138">
        <f>'Expenditures 15-22'!E36</f>
        <v>4800949</v>
      </c>
      <c r="D837" s="2" t="str">
        <f t="shared" si="12"/>
        <v>Error?</v>
      </c>
    </row>
    <row r="838" spans="1:4" x14ac:dyDescent="0.2">
      <c r="A838" s="5">
        <v>777</v>
      </c>
      <c r="B838" s="138">
        <f>'Expenditures 15-22'!E37</f>
        <v>9021200</v>
      </c>
      <c r="D838" s="2" t="str">
        <f t="shared" si="12"/>
        <v>Error?</v>
      </c>
    </row>
    <row r="839" spans="1:4" x14ac:dyDescent="0.2">
      <c r="A839" s="5">
        <v>778</v>
      </c>
      <c r="B839" s="138">
        <f>'Expenditures 15-22'!E38</f>
        <v>7721111</v>
      </c>
      <c r="D839" s="2" t="str">
        <f t="shared" si="12"/>
        <v>Error?</v>
      </c>
    </row>
    <row r="840" spans="1:4" x14ac:dyDescent="0.2">
      <c r="A840" s="5">
        <v>779</v>
      </c>
      <c r="B840" s="138">
        <f>'Expenditures 15-22'!E39</f>
        <v>310689</v>
      </c>
      <c r="D840" s="2" t="str">
        <f t="shared" si="12"/>
        <v>Error?</v>
      </c>
    </row>
    <row r="841" spans="1:4" x14ac:dyDescent="0.2">
      <c r="A841" s="5">
        <v>780</v>
      </c>
      <c r="B841" s="138">
        <f>'Expenditures 15-22'!E40</f>
        <v>779134</v>
      </c>
      <c r="D841" s="2" t="str">
        <f t="shared" si="12"/>
        <v>Error?</v>
      </c>
    </row>
    <row r="842" spans="1:4" x14ac:dyDescent="0.2">
      <c r="A842" s="5">
        <v>781</v>
      </c>
      <c r="B842" s="138">
        <f>'Expenditures 15-22'!E41</f>
        <v>3242971</v>
      </c>
      <c r="D842" s="2" t="str">
        <f t="shared" si="12"/>
        <v>Error?</v>
      </c>
    </row>
    <row r="843" spans="1:4" x14ac:dyDescent="0.2">
      <c r="A843" s="5">
        <v>782</v>
      </c>
      <c r="B843" s="138">
        <f>'Expenditures 15-22'!E42</f>
        <v>25876054</v>
      </c>
      <c r="C843" s="2" t="s">
        <v>573</v>
      </c>
      <c r="D843" s="2" t="str">
        <f t="shared" si="12"/>
        <v>Error?</v>
      </c>
    </row>
    <row r="844" spans="1:4" x14ac:dyDescent="0.2">
      <c r="A844" s="5">
        <v>783</v>
      </c>
      <c r="B844" s="138">
        <f>'Expenditures 15-22'!E44</f>
        <v>22870609</v>
      </c>
      <c r="D844" s="2" t="str">
        <f t="shared" si="12"/>
        <v>Error?</v>
      </c>
    </row>
    <row r="845" spans="1:4" x14ac:dyDescent="0.2">
      <c r="A845" s="5">
        <v>784</v>
      </c>
      <c r="B845" s="138">
        <f>'Expenditures 15-22'!E45</f>
        <v>1830672</v>
      </c>
      <c r="D845" s="2" t="str">
        <f t="shared" si="12"/>
        <v>Error?</v>
      </c>
    </row>
    <row r="846" spans="1:4" x14ac:dyDescent="0.2">
      <c r="A846" s="5">
        <v>785</v>
      </c>
      <c r="B846" s="138">
        <f>'Expenditures 15-22'!E46</f>
        <v>5607933</v>
      </c>
      <c r="D846" s="2" t="str">
        <f t="shared" si="12"/>
        <v>Error?</v>
      </c>
    </row>
    <row r="847" spans="1:4" x14ac:dyDescent="0.2">
      <c r="A847" s="5">
        <v>786</v>
      </c>
      <c r="B847" s="138">
        <f>'Expenditures 15-22'!E47</f>
        <v>30309214</v>
      </c>
      <c r="C847" s="2" t="s">
        <v>573</v>
      </c>
      <c r="D847" s="2" t="str">
        <f t="shared" si="12"/>
        <v>Error?</v>
      </c>
    </row>
    <row r="848" spans="1:4" x14ac:dyDescent="0.2">
      <c r="A848" s="5">
        <v>787</v>
      </c>
      <c r="B848" s="138">
        <f>'Expenditures 15-22'!E49</f>
        <v>14762896</v>
      </c>
      <c r="D848" s="2" t="str">
        <f t="shared" si="12"/>
        <v>Error?</v>
      </c>
    </row>
    <row r="849" spans="1:4" x14ac:dyDescent="0.2">
      <c r="A849" s="5">
        <v>788</v>
      </c>
      <c r="B849" s="138">
        <f>'Expenditures 15-22'!E50</f>
        <v>467812</v>
      </c>
      <c r="D849" s="2" t="str">
        <f t="shared" si="12"/>
        <v>Error?</v>
      </c>
    </row>
    <row r="850" spans="1:4" x14ac:dyDescent="0.2">
      <c r="A850" s="5">
        <v>789</v>
      </c>
      <c r="B850" s="138">
        <f>'Expenditures 15-22'!E53</f>
        <v>16386651</v>
      </c>
      <c r="C850" s="2" t="s">
        <v>573</v>
      </c>
      <c r="D850" s="2" t="str">
        <f t="shared" si="12"/>
        <v>Error?</v>
      </c>
    </row>
    <row r="851" spans="1:4" x14ac:dyDescent="0.2">
      <c r="A851" s="5">
        <v>790</v>
      </c>
      <c r="B851" s="138">
        <f>'Expenditures 15-22'!E55</f>
        <v>3581682</v>
      </c>
      <c r="D851" s="2" t="str">
        <f t="shared" si="12"/>
        <v>Error?</v>
      </c>
    </row>
    <row r="852" spans="1:4" x14ac:dyDescent="0.2">
      <c r="A852" s="5">
        <v>791</v>
      </c>
      <c r="B852" s="138">
        <f>'Expenditures 15-22'!E56</f>
        <v>74785</v>
      </c>
      <c r="D852" s="2" t="str">
        <f t="shared" si="12"/>
        <v>Error?</v>
      </c>
    </row>
    <row r="853" spans="1:4" x14ac:dyDescent="0.2">
      <c r="A853" s="5">
        <v>792</v>
      </c>
      <c r="B853" s="138">
        <f>'Expenditures 15-22'!E57</f>
        <v>3656467</v>
      </c>
      <c r="C853" s="2" t="s">
        <v>573</v>
      </c>
      <c r="D853" s="2" t="str">
        <f t="shared" si="12"/>
        <v>Error?</v>
      </c>
    </row>
    <row r="854" spans="1:4" x14ac:dyDescent="0.2">
      <c r="A854" s="5">
        <v>793</v>
      </c>
      <c r="B854" s="138">
        <f>'Expenditures 15-22'!E59</f>
        <v>434730</v>
      </c>
      <c r="D854" s="2" t="str">
        <f t="shared" si="12"/>
        <v>Error?</v>
      </c>
    </row>
    <row r="855" spans="1:4" x14ac:dyDescent="0.2">
      <c r="A855" s="5">
        <v>794</v>
      </c>
      <c r="B855" s="138">
        <f>'Expenditures 15-22'!E60</f>
        <v>5272022</v>
      </c>
      <c r="D855" s="2" t="str">
        <f t="shared" si="12"/>
        <v>Error?</v>
      </c>
    </row>
    <row r="856" spans="1:4" x14ac:dyDescent="0.2">
      <c r="A856" s="5">
        <v>795</v>
      </c>
      <c r="B856" s="138">
        <f>'Expenditures 15-22'!E61</f>
        <v>51368111</v>
      </c>
      <c r="D856" s="2" t="str">
        <f t="shared" si="12"/>
        <v>Error?</v>
      </c>
    </row>
    <row r="857" spans="1:4" x14ac:dyDescent="0.2">
      <c r="A857" s="5">
        <v>796</v>
      </c>
      <c r="B857" s="138">
        <f>'Expenditures 15-22'!E62</f>
        <v>98137545</v>
      </c>
      <c r="D857" s="2" t="str">
        <f t="shared" si="12"/>
        <v>Error?</v>
      </c>
    </row>
    <row r="858" spans="1:4" x14ac:dyDescent="0.2">
      <c r="A858" s="5">
        <v>797</v>
      </c>
      <c r="B858" s="138">
        <f>'Expenditures 15-22'!E63</f>
        <v>5335214</v>
      </c>
      <c r="D858" s="2" t="str">
        <f t="shared" si="12"/>
        <v>Error?</v>
      </c>
    </row>
    <row r="859" spans="1:4" x14ac:dyDescent="0.2">
      <c r="A859" s="5">
        <v>798</v>
      </c>
      <c r="B859" s="138">
        <f>'Expenditures 15-22'!E64</f>
        <v>217137</v>
      </c>
      <c r="D859" s="2" t="str">
        <f t="shared" si="12"/>
        <v>Error?</v>
      </c>
    </row>
    <row r="860" spans="1:4" x14ac:dyDescent="0.2">
      <c r="A860" s="10">
        <v>799</v>
      </c>
      <c r="D860" s="2" t="str">
        <f t="shared" si="12"/>
        <v>OK</v>
      </c>
    </row>
    <row r="861" spans="1:4" x14ac:dyDescent="0.2">
      <c r="A861" s="5">
        <v>800</v>
      </c>
      <c r="B861" s="138">
        <f>'Expenditures 15-22'!E65</f>
        <v>160764759</v>
      </c>
      <c r="C861" s="2" t="s">
        <v>573</v>
      </c>
      <c r="D861" s="2" t="str">
        <f t="shared" si="12"/>
        <v>Error?</v>
      </c>
    </row>
    <row r="862" spans="1:4" x14ac:dyDescent="0.2">
      <c r="A862" s="5">
        <v>801</v>
      </c>
      <c r="B862" s="138">
        <f>'Expenditures 15-22'!E67</f>
        <v>460858</v>
      </c>
      <c r="D862" s="2" t="str">
        <f t="shared" si="12"/>
        <v>Error?</v>
      </c>
    </row>
    <row r="863" spans="1:4" x14ac:dyDescent="0.2">
      <c r="A863" s="5">
        <v>802</v>
      </c>
      <c r="B863" s="138">
        <f>'Expenditures 15-22'!E68</f>
        <v>2064839</v>
      </c>
      <c r="D863" s="2" t="str">
        <f t="shared" si="12"/>
        <v>Error?</v>
      </c>
    </row>
    <row r="864" spans="1:4" x14ac:dyDescent="0.2">
      <c r="A864" s="5">
        <v>803</v>
      </c>
      <c r="B864" s="138">
        <f>'Expenditures 15-22'!E69</f>
        <v>233234</v>
      </c>
      <c r="D864" s="2" t="str">
        <f t="shared" si="12"/>
        <v>Error?</v>
      </c>
    </row>
    <row r="865" spans="1:4" x14ac:dyDescent="0.2">
      <c r="A865" s="5">
        <v>804</v>
      </c>
      <c r="B865" s="138">
        <f>'Expenditures 15-22'!E70</f>
        <v>2561840</v>
      </c>
      <c r="D865" s="2" t="str">
        <f t="shared" si="12"/>
        <v>Error?</v>
      </c>
    </row>
    <row r="866" spans="1:4" x14ac:dyDescent="0.2">
      <c r="A866" s="10">
        <v>805</v>
      </c>
      <c r="D866" s="2" t="str">
        <f t="shared" si="12"/>
        <v>OK</v>
      </c>
    </row>
    <row r="867" spans="1:4" x14ac:dyDescent="0.2">
      <c r="A867" s="5">
        <v>806</v>
      </c>
      <c r="B867" s="138">
        <f>'Expenditures 15-22'!E71</f>
        <v>16120103</v>
      </c>
      <c r="D867" s="2" t="str">
        <f t="shared" si="12"/>
        <v>Error?</v>
      </c>
    </row>
    <row r="868" spans="1:4" x14ac:dyDescent="0.2">
      <c r="A868" s="10">
        <v>807</v>
      </c>
      <c r="D868" s="2" t="str">
        <f t="shared" si="12"/>
        <v>OK</v>
      </c>
    </row>
    <row r="869" spans="1:4" x14ac:dyDescent="0.2">
      <c r="A869" s="5">
        <v>808</v>
      </c>
      <c r="B869" s="138">
        <f>'Expenditures 15-22'!E72</f>
        <v>21440874</v>
      </c>
      <c r="C869" s="2" t="s">
        <v>573</v>
      </c>
      <c r="D869" s="2" t="str">
        <f t="shared" si="12"/>
        <v>Error?</v>
      </c>
    </row>
    <row r="870" spans="1:4" x14ac:dyDescent="0.2">
      <c r="A870" s="5">
        <v>809</v>
      </c>
      <c r="B870" s="138">
        <f>'Expenditures 15-22'!E73</f>
        <v>3987347</v>
      </c>
      <c r="D870" s="2" t="str">
        <f t="shared" si="12"/>
        <v>Error?</v>
      </c>
    </row>
    <row r="871" spans="1:4" x14ac:dyDescent="0.2">
      <c r="A871" s="5">
        <v>810</v>
      </c>
      <c r="B871" s="138">
        <f>'Expenditures 15-22'!E74</f>
        <v>262421366</v>
      </c>
      <c r="C871" s="2" t="s">
        <v>573</v>
      </c>
      <c r="D871" s="2" t="str">
        <f t="shared" si="12"/>
        <v>Error?</v>
      </c>
    </row>
    <row r="872" spans="1:4" x14ac:dyDescent="0.2">
      <c r="A872" s="5">
        <v>811</v>
      </c>
      <c r="B872" s="138">
        <f>'Expenditures 15-22'!E75</f>
        <v>35519539</v>
      </c>
      <c r="D872" s="2" t="str">
        <f t="shared" si="12"/>
        <v>Error?</v>
      </c>
    </row>
    <row r="873" spans="1:4" x14ac:dyDescent="0.2">
      <c r="A873" s="5">
        <v>812</v>
      </c>
      <c r="B873" s="138">
        <f>'Expenditures 15-22'!E114</f>
        <v>1143856160</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57810212</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226386</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1462238</v>
      </c>
      <c r="D891" s="2" t="str">
        <f t="shared" si="12"/>
        <v>Error?</v>
      </c>
    </row>
    <row r="892" spans="1:4" x14ac:dyDescent="0.2">
      <c r="A892" s="5">
        <v>831</v>
      </c>
      <c r="B892" s="138">
        <f>'Expenditures 15-22'!F14</f>
        <v>1370393</v>
      </c>
      <c r="D892" s="2" t="str">
        <f t="shared" si="12"/>
        <v>Error?</v>
      </c>
    </row>
    <row r="893" spans="1:4" x14ac:dyDescent="0.2">
      <c r="A893" s="5">
        <v>832</v>
      </c>
      <c r="B893" s="138">
        <f>'Expenditures 15-22'!F15</f>
        <v>266507</v>
      </c>
      <c r="D893" s="2" t="str">
        <f t="shared" si="12"/>
        <v>Error?</v>
      </c>
    </row>
    <row r="894" spans="1:4" x14ac:dyDescent="0.2">
      <c r="A894" s="5">
        <v>833</v>
      </c>
      <c r="B894" s="138">
        <f>'Expenditures 15-22'!F33</f>
        <v>67412060</v>
      </c>
      <c r="C894" s="2" t="s">
        <v>573</v>
      </c>
      <c r="D894" s="2" t="str">
        <f t="shared" si="12"/>
        <v>Error?</v>
      </c>
    </row>
    <row r="895" spans="1:4" x14ac:dyDescent="0.2">
      <c r="A895" s="5">
        <v>834</v>
      </c>
      <c r="B895" s="138">
        <f>'Expenditures 15-22'!F36</f>
        <v>4063248</v>
      </c>
      <c r="D895" s="2" t="str">
        <f t="shared" ref="D895:D958" si="13">IF(ISBLANK(B895),"OK",IF(A895-B895=0,"OK","Error?"))</f>
        <v>Error?</v>
      </c>
    </row>
    <row r="896" spans="1:4" x14ac:dyDescent="0.2">
      <c r="A896" s="5">
        <v>835</v>
      </c>
      <c r="B896" s="138">
        <f>'Expenditures 15-22'!F37</f>
        <v>456766</v>
      </c>
      <c r="D896" s="2" t="str">
        <f t="shared" si="13"/>
        <v>Error?</v>
      </c>
    </row>
    <row r="897" spans="1:4" x14ac:dyDescent="0.2">
      <c r="A897" s="5">
        <v>836</v>
      </c>
      <c r="B897" s="138">
        <f>'Expenditures 15-22'!F38</f>
        <v>137057</v>
      </c>
      <c r="D897" s="2" t="str">
        <f t="shared" si="13"/>
        <v>Error?</v>
      </c>
    </row>
    <row r="898" spans="1:4" x14ac:dyDescent="0.2">
      <c r="A898" s="5">
        <v>837</v>
      </c>
      <c r="B898" s="138">
        <f>'Expenditures 15-22'!F39</f>
        <v>144349</v>
      </c>
      <c r="D898" s="2" t="str">
        <f t="shared" si="13"/>
        <v>Error?</v>
      </c>
    </row>
    <row r="899" spans="1:4" x14ac:dyDescent="0.2">
      <c r="A899" s="5">
        <v>838</v>
      </c>
      <c r="B899" s="138">
        <f>'Expenditures 15-22'!F40</f>
        <v>54571</v>
      </c>
      <c r="D899" s="2" t="str">
        <f t="shared" si="13"/>
        <v>Error?</v>
      </c>
    </row>
    <row r="900" spans="1:4" x14ac:dyDescent="0.2">
      <c r="A900" s="5">
        <v>839</v>
      </c>
      <c r="B900" s="138">
        <f>'Expenditures 15-22'!F41</f>
        <v>138443</v>
      </c>
      <c r="D900" s="2" t="str">
        <f t="shared" si="13"/>
        <v>Error?</v>
      </c>
    </row>
    <row r="901" spans="1:4" x14ac:dyDescent="0.2">
      <c r="A901" s="5">
        <v>840</v>
      </c>
      <c r="B901" s="138">
        <f>'Expenditures 15-22'!F42</f>
        <v>4994434</v>
      </c>
      <c r="C901" s="2" t="s">
        <v>573</v>
      </c>
      <c r="D901" s="2" t="str">
        <f t="shared" si="13"/>
        <v>Error?</v>
      </c>
    </row>
    <row r="902" spans="1:4" x14ac:dyDescent="0.2">
      <c r="A902" s="5">
        <v>841</v>
      </c>
      <c r="B902" s="138">
        <f>'Expenditures 15-22'!F44</f>
        <v>29223632</v>
      </c>
      <c r="D902" s="2" t="str">
        <f t="shared" si="13"/>
        <v>Error?</v>
      </c>
    </row>
    <row r="903" spans="1:4" x14ac:dyDescent="0.2">
      <c r="A903" s="5">
        <v>842</v>
      </c>
      <c r="B903" s="138">
        <f>'Expenditures 15-22'!F45</f>
        <v>2807031</v>
      </c>
      <c r="D903" s="2" t="str">
        <f t="shared" si="13"/>
        <v>Error?</v>
      </c>
    </row>
    <row r="904" spans="1:4" x14ac:dyDescent="0.2">
      <c r="A904" s="5">
        <v>843</v>
      </c>
      <c r="B904" s="138">
        <f>'Expenditures 15-22'!F46</f>
        <v>1325817</v>
      </c>
      <c r="D904" s="2" t="str">
        <f t="shared" si="13"/>
        <v>Error?</v>
      </c>
    </row>
    <row r="905" spans="1:4" x14ac:dyDescent="0.2">
      <c r="A905" s="5">
        <v>844</v>
      </c>
      <c r="B905" s="138">
        <f>'Expenditures 15-22'!F47</f>
        <v>33356480</v>
      </c>
      <c r="C905" s="2" t="s">
        <v>573</v>
      </c>
      <c r="D905" s="2" t="str">
        <f t="shared" si="13"/>
        <v>Error?</v>
      </c>
    </row>
    <row r="906" spans="1:4" x14ac:dyDescent="0.2">
      <c r="A906" s="5">
        <v>845</v>
      </c>
      <c r="B906" s="138">
        <f>'Expenditures 15-22'!F49</f>
        <v>386328</v>
      </c>
      <c r="D906" s="2" t="str">
        <f t="shared" si="13"/>
        <v>Error?</v>
      </c>
    </row>
    <row r="907" spans="1:4" x14ac:dyDescent="0.2">
      <c r="A907" s="5">
        <v>846</v>
      </c>
      <c r="B907" s="138">
        <f>'Expenditures 15-22'!F50</f>
        <v>26127</v>
      </c>
      <c r="D907" s="2" t="str">
        <f t="shared" si="13"/>
        <v>Error?</v>
      </c>
    </row>
    <row r="908" spans="1:4" x14ac:dyDescent="0.2">
      <c r="A908" s="5">
        <v>847</v>
      </c>
      <c r="B908" s="138">
        <f>'Expenditures 15-22'!F53</f>
        <v>520748</v>
      </c>
      <c r="C908" s="2" t="s">
        <v>573</v>
      </c>
      <c r="D908" s="2" t="str">
        <f t="shared" si="13"/>
        <v>Error?</v>
      </c>
    </row>
    <row r="909" spans="1:4" x14ac:dyDescent="0.2">
      <c r="A909" s="5">
        <v>848</v>
      </c>
      <c r="B909" s="138">
        <f>'Expenditures 15-22'!F55</f>
        <v>5965635</v>
      </c>
      <c r="D909" s="2" t="str">
        <f t="shared" si="13"/>
        <v>Error?</v>
      </c>
    </row>
    <row r="910" spans="1:4" x14ac:dyDescent="0.2">
      <c r="A910" s="5">
        <v>849</v>
      </c>
      <c r="B910" s="138">
        <f>'Expenditures 15-22'!F56</f>
        <v>6387</v>
      </c>
      <c r="D910" s="2" t="str">
        <f t="shared" si="13"/>
        <v>Error?</v>
      </c>
    </row>
    <row r="911" spans="1:4" x14ac:dyDescent="0.2">
      <c r="A911" s="5">
        <v>850</v>
      </c>
      <c r="B911" s="138">
        <f>'Expenditures 15-22'!F57</f>
        <v>5972022</v>
      </c>
      <c r="C911" s="2" t="s">
        <v>573</v>
      </c>
      <c r="D911" s="2" t="str">
        <f t="shared" si="13"/>
        <v>Error?</v>
      </c>
    </row>
    <row r="912" spans="1:4" x14ac:dyDescent="0.2">
      <c r="A912" s="5">
        <v>851</v>
      </c>
      <c r="B912" s="138">
        <f>'Expenditures 15-22'!F59</f>
        <v>43080</v>
      </c>
      <c r="D912" s="2" t="str">
        <f t="shared" si="13"/>
        <v>Error?</v>
      </c>
    </row>
    <row r="913" spans="1:4" x14ac:dyDescent="0.2">
      <c r="A913" s="5">
        <v>852</v>
      </c>
      <c r="B913" s="138">
        <f>'Expenditures 15-22'!F60</f>
        <v>77170</v>
      </c>
      <c r="D913" s="2" t="str">
        <f t="shared" si="13"/>
        <v>Error?</v>
      </c>
    </row>
    <row r="914" spans="1:4" x14ac:dyDescent="0.2">
      <c r="A914" s="5">
        <v>853</v>
      </c>
      <c r="B914" s="138">
        <f>'Expenditures 15-22'!F61</f>
        <v>3745693</v>
      </c>
      <c r="D914" s="2" t="str">
        <f t="shared" si="13"/>
        <v>Error?</v>
      </c>
    </row>
    <row r="915" spans="1:4" x14ac:dyDescent="0.2">
      <c r="A915" s="5">
        <v>854</v>
      </c>
      <c r="B915" s="138">
        <f>'Expenditures 15-22'!F62</f>
        <v>213239</v>
      </c>
      <c r="D915" s="2" t="str">
        <f t="shared" si="13"/>
        <v>Error?</v>
      </c>
    </row>
    <row r="916" spans="1:4" x14ac:dyDescent="0.2">
      <c r="A916" s="5">
        <v>855</v>
      </c>
      <c r="B916" s="138">
        <f>'Expenditures 15-22'!F63</f>
        <v>99102559</v>
      </c>
      <c r="D916" s="2" t="str">
        <f t="shared" si="13"/>
        <v>Error?</v>
      </c>
    </row>
    <row r="917" spans="1:4" x14ac:dyDescent="0.2">
      <c r="A917" s="5">
        <v>856</v>
      </c>
      <c r="B917" s="138">
        <f>'Expenditures 15-22'!F64</f>
        <v>130287</v>
      </c>
      <c r="D917" s="2" t="str">
        <f t="shared" si="13"/>
        <v>Error?</v>
      </c>
    </row>
    <row r="918" spans="1:4" x14ac:dyDescent="0.2">
      <c r="A918" s="10">
        <v>857</v>
      </c>
      <c r="D918" s="2" t="str">
        <f t="shared" si="13"/>
        <v>OK</v>
      </c>
    </row>
    <row r="919" spans="1:4" x14ac:dyDescent="0.2">
      <c r="A919" s="5">
        <v>858</v>
      </c>
      <c r="B919" s="138">
        <f>'Expenditures 15-22'!F65</f>
        <v>103312028</v>
      </c>
      <c r="C919" s="2" t="s">
        <v>573</v>
      </c>
      <c r="D919" s="2" t="str">
        <f t="shared" si="13"/>
        <v>Error?</v>
      </c>
    </row>
    <row r="920" spans="1:4" x14ac:dyDescent="0.2">
      <c r="A920" s="5">
        <v>859</v>
      </c>
      <c r="B920" s="138">
        <f>'Expenditures 15-22'!F67</f>
        <v>29736</v>
      </c>
      <c r="D920" s="2" t="str">
        <f t="shared" si="13"/>
        <v>Error?</v>
      </c>
    </row>
    <row r="921" spans="1:4" x14ac:dyDescent="0.2">
      <c r="A921" s="5">
        <v>860</v>
      </c>
      <c r="B921" s="138">
        <f>'Expenditures 15-22'!F68</f>
        <v>24172</v>
      </c>
      <c r="D921" s="2" t="str">
        <f t="shared" si="13"/>
        <v>Error?</v>
      </c>
    </row>
    <row r="922" spans="1:4" x14ac:dyDescent="0.2">
      <c r="A922" s="5">
        <v>861</v>
      </c>
      <c r="B922" s="138">
        <f>'Expenditures 15-22'!F69</f>
        <v>21529</v>
      </c>
      <c r="D922" s="2" t="str">
        <f t="shared" si="13"/>
        <v>Error?</v>
      </c>
    </row>
    <row r="923" spans="1:4" x14ac:dyDescent="0.2">
      <c r="A923" s="5">
        <v>862</v>
      </c>
      <c r="B923" s="138">
        <f>'Expenditures 15-22'!F70</f>
        <v>130305</v>
      </c>
      <c r="D923" s="2" t="str">
        <f t="shared" si="13"/>
        <v>Error?</v>
      </c>
    </row>
    <row r="924" spans="1:4" x14ac:dyDescent="0.2">
      <c r="A924" s="10">
        <v>863</v>
      </c>
      <c r="D924" s="2" t="str">
        <f t="shared" si="13"/>
        <v>OK</v>
      </c>
    </row>
    <row r="925" spans="1:4" x14ac:dyDescent="0.2">
      <c r="A925" s="5">
        <v>864</v>
      </c>
      <c r="B925" s="138">
        <f>'Expenditures 15-22'!F71</f>
        <v>12271383</v>
      </c>
      <c r="D925" s="2" t="str">
        <f t="shared" si="13"/>
        <v>Error?</v>
      </c>
    </row>
    <row r="926" spans="1:4" x14ac:dyDescent="0.2">
      <c r="A926" s="10">
        <v>865</v>
      </c>
      <c r="D926" s="2" t="str">
        <f t="shared" si="13"/>
        <v>OK</v>
      </c>
    </row>
    <row r="927" spans="1:4" x14ac:dyDescent="0.2">
      <c r="A927" s="5">
        <v>866</v>
      </c>
      <c r="B927" s="138">
        <f>'Expenditures 15-22'!F72</f>
        <v>12477125</v>
      </c>
      <c r="C927" s="2" t="s">
        <v>573</v>
      </c>
      <c r="D927" s="2" t="str">
        <f t="shared" si="13"/>
        <v>Error?</v>
      </c>
    </row>
    <row r="928" spans="1:4" x14ac:dyDescent="0.2">
      <c r="A928" s="5">
        <v>867</v>
      </c>
      <c r="B928" s="138">
        <f>'Expenditures 15-22'!F73</f>
        <v>2662782</v>
      </c>
      <c r="D928" s="2" t="str">
        <f t="shared" si="13"/>
        <v>Error?</v>
      </c>
    </row>
    <row r="929" spans="1:4" x14ac:dyDescent="0.2">
      <c r="A929" s="5">
        <v>868</v>
      </c>
      <c r="B929" s="138">
        <f>'Expenditures 15-22'!F74</f>
        <v>163295619</v>
      </c>
      <c r="C929" s="2" t="s">
        <v>573</v>
      </c>
      <c r="D929" s="2" t="str">
        <f t="shared" si="13"/>
        <v>Error?</v>
      </c>
    </row>
    <row r="930" spans="1:4" x14ac:dyDescent="0.2">
      <c r="A930" s="5">
        <v>869</v>
      </c>
      <c r="B930" s="138">
        <f>'Expenditures 15-22'!F75</f>
        <v>3910657</v>
      </c>
      <c r="D930" s="2" t="str">
        <f t="shared" si="13"/>
        <v>Error?</v>
      </c>
    </row>
    <row r="931" spans="1:4" x14ac:dyDescent="0.2">
      <c r="A931" s="5">
        <v>870</v>
      </c>
      <c r="B931" s="138">
        <f>'Expenditures 15-22'!F114</f>
        <v>234618336</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41865</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41865</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6750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6750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12800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18691</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18691</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38241</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80106</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3102553</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4200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56821072</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535085</v>
      </c>
      <c r="D1012" s="2" t="str">
        <f t="shared" si="14"/>
        <v>Error?</v>
      </c>
    </row>
    <row r="1013" spans="1:4" x14ac:dyDescent="0.2">
      <c r="A1013" s="5">
        <v>952</v>
      </c>
      <c r="B1013" s="138">
        <f>'Expenditures 15-22'!H38</f>
        <v>164180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699265</v>
      </c>
      <c r="C1017" s="2" t="s">
        <v>573</v>
      </c>
      <c r="D1017" s="2" t="str">
        <f t="shared" si="14"/>
        <v>Error?</v>
      </c>
    </row>
    <row r="1018" spans="1:4" x14ac:dyDescent="0.2">
      <c r="A1018" s="5">
        <v>957</v>
      </c>
      <c r="B1018" s="138">
        <f>'Expenditures 15-22'!H44</f>
        <v>170770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170770</v>
      </c>
      <c r="C1021" s="2" t="s">
        <v>573</v>
      </c>
      <c r="D1021" s="2" t="str">
        <f t="shared" si="14"/>
        <v>Error?</v>
      </c>
    </row>
    <row r="1022" spans="1:4" x14ac:dyDescent="0.2">
      <c r="A1022" s="5">
        <v>961</v>
      </c>
      <c r="B1022" s="138">
        <f>'Expenditures 15-22'!H49</f>
        <v>14300000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14423709</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152233</v>
      </c>
      <c r="D1030" s="2" t="str">
        <f t="shared" si="15"/>
        <v>Error?</v>
      </c>
    </row>
    <row r="1031" spans="1:4" x14ac:dyDescent="0.2">
      <c r="A1031" s="5">
        <v>970</v>
      </c>
      <c r="B1031" s="138">
        <f>'Expenditures 15-22'!H62</f>
        <v>387</v>
      </c>
      <c r="D1031" s="2" t="str">
        <f t="shared" si="15"/>
        <v>Error?</v>
      </c>
    </row>
    <row r="1032" spans="1:4" x14ac:dyDescent="0.2">
      <c r="A1032" s="5">
        <v>971</v>
      </c>
      <c r="B1032" s="138">
        <f>'Expenditures 15-22'!H63</f>
        <v>7240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159860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155</v>
      </c>
      <c r="D1041" s="2" t="str">
        <f t="shared" si="15"/>
        <v>Error?</v>
      </c>
    </row>
    <row r="1042" spans="1:4" x14ac:dyDescent="0.2">
      <c r="A1042" s="10">
        <v>981</v>
      </c>
      <c r="D1042" s="2" t="str">
        <f t="shared" si="15"/>
        <v>OK</v>
      </c>
    </row>
    <row r="1043" spans="1:4" x14ac:dyDescent="0.2">
      <c r="A1043" s="5">
        <v>982</v>
      </c>
      <c r="B1043" s="138">
        <f>'Expenditures 15-22'!H72</f>
        <v>155</v>
      </c>
      <c r="C1043" s="2" t="s">
        <v>573</v>
      </c>
      <c r="D1043" s="2" t="str">
        <f t="shared" si="15"/>
        <v>Error?</v>
      </c>
    </row>
    <row r="1044" spans="1:4" x14ac:dyDescent="0.2">
      <c r="A1044" s="5">
        <v>983</v>
      </c>
      <c r="B1044" s="138">
        <f>'Expenditures 15-22'!H73</f>
        <v>-3940</v>
      </c>
      <c r="D1044" s="2" t="str">
        <f t="shared" si="15"/>
        <v>Error?</v>
      </c>
    </row>
    <row r="1045" spans="1:4" x14ac:dyDescent="0.2">
      <c r="A1045" s="5">
        <v>984</v>
      </c>
      <c r="B1045" s="138">
        <f>'Expenditures 15-22'!H74</f>
        <v>15449819</v>
      </c>
      <c r="C1045" s="2" t="s">
        <v>573</v>
      </c>
      <c r="D1045" s="2" t="str">
        <f t="shared" si="15"/>
        <v>Error?</v>
      </c>
    </row>
    <row r="1046" spans="1:4" x14ac:dyDescent="0.2">
      <c r="A1046" s="5">
        <v>985</v>
      </c>
      <c r="B1046" s="138">
        <f>'Expenditures 15-22'!H75</f>
        <v>88425</v>
      </c>
      <c r="D1046" s="2" t="str">
        <f t="shared" si="15"/>
        <v>Error?</v>
      </c>
    </row>
    <row r="1047" spans="1:4" x14ac:dyDescent="0.2">
      <c r="A1047" s="5">
        <v>986</v>
      </c>
      <c r="B1047" s="138">
        <f>'Expenditures 15-22'!H102</f>
        <v>165309</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6659083</v>
      </c>
      <c r="C1053" s="2" t="s">
        <v>573</v>
      </c>
      <c r="D1053" s="2" t="str">
        <f t="shared" si="15"/>
        <v>Error?</v>
      </c>
    </row>
    <row r="1054" spans="1:4" x14ac:dyDescent="0.2">
      <c r="A1054" s="5">
        <v>993</v>
      </c>
      <c r="B1054" s="138">
        <f>'Expenditures 15-22'!H114</f>
        <v>79183708</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1996571146</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58836554</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3331981</v>
      </c>
      <c r="C1104" s="2" t="s">
        <v>573</v>
      </c>
      <c r="D1104" s="2" t="str">
        <f t="shared" si="16"/>
        <v>Error?</v>
      </c>
    </row>
    <row r="1105" spans="1:4" x14ac:dyDescent="0.2">
      <c r="A1105" s="5">
        <v>1044</v>
      </c>
      <c r="B1105" s="138">
        <f>'Expenditures 15-22'!K13</f>
        <v>21179513</v>
      </c>
      <c r="C1105" s="2" t="s">
        <v>573</v>
      </c>
      <c r="D1105" s="2" t="str">
        <f t="shared" si="16"/>
        <v>Error?</v>
      </c>
    </row>
    <row r="1106" spans="1:4" x14ac:dyDescent="0.2">
      <c r="A1106" s="5">
        <v>1045</v>
      </c>
      <c r="B1106" s="138">
        <f>'Expenditures 15-22'!K14</f>
        <v>18014272</v>
      </c>
      <c r="C1106" s="2" t="s">
        <v>573</v>
      </c>
      <c r="D1106" s="2" t="str">
        <f t="shared" si="16"/>
        <v>Error?</v>
      </c>
    </row>
    <row r="1107" spans="1:4" x14ac:dyDescent="0.2">
      <c r="A1107" s="5">
        <v>1046</v>
      </c>
      <c r="B1107" s="138">
        <f>'Expenditures 15-22'!K15</f>
        <v>13519299</v>
      </c>
      <c r="C1107" s="2" t="s">
        <v>573</v>
      </c>
      <c r="D1107" s="2" t="str">
        <f t="shared" si="16"/>
        <v>Error?</v>
      </c>
    </row>
    <row r="1108" spans="1:4" x14ac:dyDescent="0.2">
      <c r="A1108" s="5">
        <v>1047</v>
      </c>
      <c r="B1108" s="138">
        <f>'Expenditures 15-22'!K33</f>
        <v>3610774046</v>
      </c>
      <c r="C1108" s="2" t="s">
        <v>573</v>
      </c>
      <c r="D1108" s="2" t="str">
        <f t="shared" si="16"/>
        <v>Error?</v>
      </c>
    </row>
    <row r="1109" spans="1:4" x14ac:dyDescent="0.2">
      <c r="A1109" s="5">
        <v>1048</v>
      </c>
      <c r="B1109" s="138">
        <f>'Expenditures 15-22'!K36</f>
        <v>61207781</v>
      </c>
      <c r="C1109" s="2" t="s">
        <v>573</v>
      </c>
      <c r="D1109" s="2" t="str">
        <f t="shared" si="16"/>
        <v>Error?</v>
      </c>
    </row>
    <row r="1110" spans="1:4" x14ac:dyDescent="0.2">
      <c r="A1110" s="5">
        <v>1049</v>
      </c>
      <c r="B1110" s="138">
        <f>'Expenditures 15-22'!K37</f>
        <v>119331484</v>
      </c>
      <c r="C1110" s="2" t="s">
        <v>573</v>
      </c>
      <c r="D1110" s="2" t="str">
        <f t="shared" si="16"/>
        <v>Error?</v>
      </c>
    </row>
    <row r="1111" spans="1:4" x14ac:dyDescent="0.2">
      <c r="A1111" s="5">
        <v>1050</v>
      </c>
      <c r="B1111" s="138">
        <f>'Expenditures 15-22'!K38</f>
        <v>31714722</v>
      </c>
      <c r="C1111" s="2" t="s">
        <v>573</v>
      </c>
      <c r="D1111" s="2" t="str">
        <f t="shared" si="16"/>
        <v>Error?</v>
      </c>
    </row>
    <row r="1112" spans="1:4" x14ac:dyDescent="0.2">
      <c r="A1112" s="5">
        <v>1051</v>
      </c>
      <c r="B1112" s="138">
        <f>'Expenditures 15-22'!K39</f>
        <v>25577239</v>
      </c>
      <c r="C1112" s="2" t="s">
        <v>573</v>
      </c>
      <c r="D1112" s="2" t="str">
        <f t="shared" si="16"/>
        <v>Error?</v>
      </c>
    </row>
    <row r="1113" spans="1:4" x14ac:dyDescent="0.2">
      <c r="A1113" s="5">
        <v>1052</v>
      </c>
      <c r="B1113" s="138">
        <f>'Expenditures 15-22'!K40</f>
        <v>34611754</v>
      </c>
      <c r="C1113" s="2" t="s">
        <v>573</v>
      </c>
      <c r="D1113" s="2" t="str">
        <f t="shared" si="16"/>
        <v>Error?</v>
      </c>
    </row>
    <row r="1114" spans="1:4" x14ac:dyDescent="0.2">
      <c r="A1114" s="5">
        <v>1053</v>
      </c>
      <c r="B1114" s="138">
        <f>'Expenditures 15-22'!K41</f>
        <v>26022197</v>
      </c>
      <c r="C1114" s="2" t="s">
        <v>573</v>
      </c>
      <c r="D1114" s="2" t="str">
        <f t="shared" si="16"/>
        <v>Error?</v>
      </c>
    </row>
    <row r="1115" spans="1:4" x14ac:dyDescent="0.2">
      <c r="A1115" s="5">
        <v>1054</v>
      </c>
      <c r="B1115" s="138">
        <f>'Expenditures 15-22'!K42</f>
        <v>298465177</v>
      </c>
      <c r="C1115" s="2" t="s">
        <v>573</v>
      </c>
      <c r="D1115" s="2" t="str">
        <f t="shared" si="16"/>
        <v>Error?</v>
      </c>
    </row>
    <row r="1116" spans="1:4" x14ac:dyDescent="0.2">
      <c r="A1116" s="5">
        <v>1055</v>
      </c>
      <c r="B1116" s="138">
        <f>'Expenditures 15-22'!K44</f>
        <v>141611560</v>
      </c>
      <c r="C1116" s="2" t="s">
        <v>573</v>
      </c>
      <c r="D1116" s="2" t="str">
        <f t="shared" si="16"/>
        <v>Error?</v>
      </c>
    </row>
    <row r="1117" spans="1:4" x14ac:dyDescent="0.2">
      <c r="A1117" s="5">
        <v>1056</v>
      </c>
      <c r="B1117" s="138">
        <f>'Expenditures 15-22'!K45</f>
        <v>38029913</v>
      </c>
      <c r="C1117" s="2" t="s">
        <v>573</v>
      </c>
      <c r="D1117" s="2" t="str">
        <f t="shared" si="16"/>
        <v>Error?</v>
      </c>
    </row>
    <row r="1118" spans="1:4" x14ac:dyDescent="0.2">
      <c r="A1118" s="5">
        <v>1057</v>
      </c>
      <c r="B1118" s="138">
        <f>'Expenditures 15-22'!K46</f>
        <v>12139771</v>
      </c>
      <c r="C1118" s="2" t="s">
        <v>573</v>
      </c>
      <c r="D1118" s="2" t="str">
        <f t="shared" si="16"/>
        <v>Error?</v>
      </c>
    </row>
    <row r="1119" spans="1:4" x14ac:dyDescent="0.2">
      <c r="A1119" s="5">
        <v>1058</v>
      </c>
      <c r="B1119" s="138">
        <f>'Expenditures 15-22'!K47</f>
        <v>191781244</v>
      </c>
      <c r="C1119" s="2" t="s">
        <v>573</v>
      </c>
      <c r="D1119" s="2" t="str">
        <f t="shared" si="16"/>
        <v>Error?</v>
      </c>
    </row>
    <row r="1120" spans="1:4" x14ac:dyDescent="0.2">
      <c r="A1120" s="5">
        <v>1059</v>
      </c>
      <c r="B1120" s="138">
        <f>'Expenditures 15-22'!K49</f>
        <v>51421462</v>
      </c>
      <c r="C1120" s="2" t="s">
        <v>573</v>
      </c>
      <c r="D1120" s="2" t="str">
        <f t="shared" si="16"/>
        <v>Error?</v>
      </c>
    </row>
    <row r="1121" spans="1:4" x14ac:dyDescent="0.2">
      <c r="A1121" s="5">
        <v>1060</v>
      </c>
      <c r="B1121" s="138">
        <f>'Expenditures 15-22'!K50</f>
        <v>3870724</v>
      </c>
      <c r="C1121" s="2" t="s">
        <v>573</v>
      </c>
      <c r="D1121" s="2" t="str">
        <f t="shared" si="16"/>
        <v>Error?</v>
      </c>
    </row>
    <row r="1122" spans="1:4" x14ac:dyDescent="0.2">
      <c r="A1122" s="5">
        <v>1061</v>
      </c>
      <c r="B1122" s="138">
        <f>'Expenditures 15-22'!K53</f>
        <v>66374114</v>
      </c>
      <c r="C1122" s="2" t="s">
        <v>573</v>
      </c>
      <c r="D1122" s="2" t="str">
        <f t="shared" si="16"/>
        <v>Error?</v>
      </c>
    </row>
    <row r="1123" spans="1:4" x14ac:dyDescent="0.2">
      <c r="A1123" s="5">
        <v>1062</v>
      </c>
      <c r="B1123" s="138">
        <f>'Expenditures 15-22'!K55</f>
        <v>211006273</v>
      </c>
      <c r="C1123" s="2" t="s">
        <v>573</v>
      </c>
      <c r="D1123" s="2" t="str">
        <f t="shared" si="16"/>
        <v>Error?</v>
      </c>
    </row>
    <row r="1124" spans="1:4" x14ac:dyDescent="0.2">
      <c r="A1124" s="5">
        <v>1063</v>
      </c>
      <c r="B1124" s="138">
        <f>'Expenditures 15-22'!K56</f>
        <v>727070</v>
      </c>
      <c r="C1124" s="2" t="s">
        <v>573</v>
      </c>
      <c r="D1124" s="2" t="str">
        <f t="shared" si="16"/>
        <v>Error?</v>
      </c>
    </row>
    <row r="1125" spans="1:4" x14ac:dyDescent="0.2">
      <c r="A1125" s="5">
        <v>1064</v>
      </c>
      <c r="B1125" s="138">
        <f>'Expenditures 15-22'!K57</f>
        <v>211733343</v>
      </c>
      <c r="C1125" s="2" t="s">
        <v>573</v>
      </c>
      <c r="D1125" s="2" t="str">
        <f t="shared" si="16"/>
        <v>Error?</v>
      </c>
    </row>
    <row r="1126" spans="1:4" x14ac:dyDescent="0.2">
      <c r="A1126" s="5">
        <v>1065</v>
      </c>
      <c r="B1126" s="138">
        <f>'Expenditures 15-22'!K59</f>
        <v>5426884</v>
      </c>
      <c r="C1126" s="2" t="s">
        <v>573</v>
      </c>
      <c r="D1126" s="2" t="str">
        <f t="shared" si="16"/>
        <v>Error?</v>
      </c>
    </row>
    <row r="1127" spans="1:4" x14ac:dyDescent="0.2">
      <c r="A1127" s="5">
        <v>1066</v>
      </c>
      <c r="B1127" s="138">
        <f>'Expenditures 15-22'!K60</f>
        <v>17210037</v>
      </c>
      <c r="C1127" s="2" t="s">
        <v>573</v>
      </c>
      <c r="D1127" s="2" t="str">
        <f t="shared" si="16"/>
        <v>Error?</v>
      </c>
    </row>
    <row r="1128" spans="1:4" x14ac:dyDescent="0.2">
      <c r="A1128" s="5">
        <v>1067</v>
      </c>
      <c r="B1128" s="138">
        <f>'Expenditures 15-22'!K61</f>
        <v>79837852</v>
      </c>
      <c r="C1128" s="2" t="s">
        <v>573</v>
      </c>
      <c r="D1128" s="2" t="str">
        <f t="shared" si="16"/>
        <v>Error?</v>
      </c>
    </row>
    <row r="1129" spans="1:4" x14ac:dyDescent="0.2">
      <c r="A1129" s="5">
        <v>1068</v>
      </c>
      <c r="B1129" s="138">
        <f>'Expenditures 15-22'!K62</f>
        <v>122522169</v>
      </c>
      <c r="C1129" s="2" t="s">
        <v>573</v>
      </c>
      <c r="D1129" s="2" t="str">
        <f t="shared" si="16"/>
        <v>Error?</v>
      </c>
    </row>
    <row r="1130" spans="1:4" x14ac:dyDescent="0.2">
      <c r="A1130" s="5">
        <v>1069</v>
      </c>
      <c r="B1130" s="138">
        <f>'Expenditures 15-22'!K63</f>
        <v>204799958</v>
      </c>
      <c r="C1130" s="2" t="s">
        <v>573</v>
      </c>
      <c r="D1130" s="2" t="str">
        <f t="shared" si="16"/>
        <v>Error?</v>
      </c>
    </row>
    <row r="1131" spans="1:4" x14ac:dyDescent="0.2">
      <c r="A1131" s="5">
        <v>1070</v>
      </c>
      <c r="B1131" s="138">
        <f>'Expenditures 15-22'!K64</f>
        <v>3932609</v>
      </c>
      <c r="C1131" s="2" t="s">
        <v>573</v>
      </c>
      <c r="D1131" s="2" t="str">
        <f t="shared" si="16"/>
        <v>Error?</v>
      </c>
    </row>
    <row r="1132" spans="1:4" x14ac:dyDescent="0.2">
      <c r="A1132" s="10">
        <v>1071</v>
      </c>
      <c r="D1132" s="2" t="str">
        <f t="shared" si="16"/>
        <v>OK</v>
      </c>
    </row>
    <row r="1133" spans="1:4" x14ac:dyDescent="0.2">
      <c r="A1133" s="5">
        <v>1072</v>
      </c>
      <c r="B1133" s="138">
        <f>'Expenditures 15-22'!K65</f>
        <v>433729509</v>
      </c>
      <c r="C1133" s="2" t="s">
        <v>573</v>
      </c>
      <c r="D1133" s="2" t="str">
        <f t="shared" si="16"/>
        <v>Error?</v>
      </c>
    </row>
    <row r="1134" spans="1:4" x14ac:dyDescent="0.2">
      <c r="A1134" s="5">
        <v>1073</v>
      </c>
      <c r="B1134" s="138">
        <f>'Expenditures 15-22'!K67</f>
        <v>7234038</v>
      </c>
      <c r="C1134" s="2" t="s">
        <v>573</v>
      </c>
      <c r="D1134" s="2" t="str">
        <f t="shared" si="16"/>
        <v>Error?</v>
      </c>
    </row>
    <row r="1135" spans="1:4" x14ac:dyDescent="0.2">
      <c r="A1135" s="5">
        <v>1074</v>
      </c>
      <c r="B1135" s="138">
        <f>'Expenditures 15-22'!K68</f>
        <v>7859059</v>
      </c>
      <c r="C1135" s="2" t="s">
        <v>573</v>
      </c>
      <c r="D1135" s="2" t="str">
        <f t="shared" si="16"/>
        <v>Error?</v>
      </c>
    </row>
    <row r="1136" spans="1:4" x14ac:dyDescent="0.2">
      <c r="A1136" s="5">
        <v>1075</v>
      </c>
      <c r="B1136" s="138">
        <f>'Expenditures 15-22'!K69</f>
        <v>421469</v>
      </c>
      <c r="C1136" s="2" t="s">
        <v>573</v>
      </c>
      <c r="D1136" s="2" t="str">
        <f t="shared" si="16"/>
        <v>Error?</v>
      </c>
    </row>
    <row r="1137" spans="1:4" x14ac:dyDescent="0.2">
      <c r="A1137" s="5">
        <v>1076</v>
      </c>
      <c r="B1137" s="138">
        <f>'Expenditures 15-22'!K70</f>
        <v>23010789</v>
      </c>
      <c r="C1137" s="2" t="s">
        <v>573</v>
      </c>
      <c r="D1137" s="2" t="str">
        <f t="shared" si="16"/>
        <v>Error?</v>
      </c>
    </row>
    <row r="1138" spans="1:4" x14ac:dyDescent="0.2">
      <c r="A1138" s="10">
        <v>1077</v>
      </c>
      <c r="D1138" s="2" t="str">
        <f t="shared" si="16"/>
        <v>OK</v>
      </c>
    </row>
    <row r="1139" spans="1:4" x14ac:dyDescent="0.2">
      <c r="A1139" s="5">
        <v>1078</v>
      </c>
      <c r="B1139" s="138">
        <f>'Expenditures 15-22'!K71</f>
        <v>39554057</v>
      </c>
      <c r="C1139" s="2" t="s">
        <v>573</v>
      </c>
      <c r="D1139" s="2" t="str">
        <f t="shared" si="16"/>
        <v>Error?</v>
      </c>
    </row>
    <row r="1140" spans="1:4" x14ac:dyDescent="0.2">
      <c r="A1140" s="10">
        <v>1079</v>
      </c>
      <c r="D1140" s="2" t="str">
        <f t="shared" si="16"/>
        <v>OK</v>
      </c>
    </row>
    <row r="1141" spans="1:4" x14ac:dyDescent="0.2">
      <c r="A1141" s="5">
        <v>1080</v>
      </c>
      <c r="B1141" s="138">
        <f>'Expenditures 15-22'!K72</f>
        <v>78079412</v>
      </c>
      <c r="C1141" s="2" t="s">
        <v>573</v>
      </c>
      <c r="D1141" s="2" t="str">
        <f t="shared" si="16"/>
        <v>Error?</v>
      </c>
    </row>
    <row r="1142" spans="1:4" x14ac:dyDescent="0.2">
      <c r="A1142" s="5">
        <v>1081</v>
      </c>
      <c r="B1142" s="138">
        <f>'Expenditures 15-22'!K73</f>
        <v>11678134</v>
      </c>
      <c r="C1142" s="2" t="s">
        <v>573</v>
      </c>
      <c r="D1142" s="2" t="str">
        <f t="shared" si="16"/>
        <v>Error?</v>
      </c>
    </row>
    <row r="1143" spans="1:4" x14ac:dyDescent="0.2">
      <c r="A1143" s="5">
        <v>1082</v>
      </c>
      <c r="B1143" s="138">
        <f>'Expenditures 15-22'!K74</f>
        <v>1291840933</v>
      </c>
      <c r="C1143" s="2" t="s">
        <v>573</v>
      </c>
      <c r="D1143" s="2" t="str">
        <f t="shared" si="16"/>
        <v>Error?</v>
      </c>
    </row>
    <row r="1144" spans="1:4" x14ac:dyDescent="0.2">
      <c r="A1144" s="5">
        <v>1083</v>
      </c>
      <c r="B1144" s="138">
        <f>'Expenditures 15-22'!K75</f>
        <v>63798471</v>
      </c>
      <c r="C1144" s="2" t="s">
        <v>573</v>
      </c>
      <c r="D1144" s="2" t="str">
        <f t="shared" si="16"/>
        <v>Error?</v>
      </c>
    </row>
    <row r="1145" spans="1:4" x14ac:dyDescent="0.2">
      <c r="A1145" s="5">
        <v>1084</v>
      </c>
      <c r="B1145" s="138">
        <f>'Expenditures 15-22'!K102</f>
        <v>69201295</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6659083</v>
      </c>
      <c r="C1151" s="2" t="s">
        <v>573</v>
      </c>
      <c r="D1151" s="2" t="str">
        <f t="shared" ref="D1151:D1214" si="17">IF(ISBLANK(B1151),"OK",IF(A1151-B1151=0,"OK","Error?"))</f>
        <v>Error?</v>
      </c>
    </row>
    <row r="1152" spans="1:4" x14ac:dyDescent="0.2">
      <c r="A1152" s="5">
        <v>1091</v>
      </c>
      <c r="B1152" s="138">
        <f>'Expenditures 15-22'!K114</f>
        <v>5042273828</v>
      </c>
      <c r="C1152" s="2" t="s">
        <v>573</v>
      </c>
      <c r="D1152" s="2" t="str">
        <f t="shared" si="17"/>
        <v>Error?</v>
      </c>
    </row>
    <row r="1153" spans="1:4" x14ac:dyDescent="0.2">
      <c r="A1153" s="5">
        <v>1092</v>
      </c>
      <c r="B1153" s="138">
        <f>'Expenditures 15-22'!K115</f>
        <v>149339161</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749226</v>
      </c>
      <c r="D1219" s="2" t="str">
        <f t="shared" si="18"/>
        <v>Error?</v>
      </c>
    </row>
    <row r="1220" spans="1:4" x14ac:dyDescent="0.2">
      <c r="A1220" s="5">
        <v>1159</v>
      </c>
      <c r="B1220" s="138">
        <f>'Expenditures 15-22'!C123</f>
        <v>309722</v>
      </c>
      <c r="D1220" s="2" t="str">
        <f t="shared" si="18"/>
        <v>Error?</v>
      </c>
    </row>
    <row r="1221" spans="1:4" x14ac:dyDescent="0.2">
      <c r="A1221" s="5">
        <v>1160</v>
      </c>
      <c r="B1221" s="138">
        <f>'Expenditures 15-22'!C124</f>
        <v>32426495</v>
      </c>
      <c r="D1221" s="2" t="str">
        <f t="shared" si="18"/>
        <v>Error?</v>
      </c>
    </row>
    <row r="1222" spans="1:4" x14ac:dyDescent="0.2">
      <c r="A1222" s="10">
        <v>1161</v>
      </c>
      <c r="D1222" s="2" t="str">
        <f t="shared" si="18"/>
        <v>OK</v>
      </c>
    </row>
    <row r="1223" spans="1:4" x14ac:dyDescent="0.2">
      <c r="A1223" s="5">
        <v>1162</v>
      </c>
      <c r="B1223" s="138">
        <f>'Expenditures 15-22'!C127</f>
        <v>33485443</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33485443</v>
      </c>
      <c r="C1225" s="2" t="s">
        <v>573</v>
      </c>
      <c r="D1225" s="2" t="str">
        <f t="shared" si="18"/>
        <v>Error?</v>
      </c>
    </row>
    <row r="1226" spans="1:4" x14ac:dyDescent="0.2">
      <c r="A1226" s="5">
        <v>1165</v>
      </c>
      <c r="B1226" s="138">
        <f>'Expenditures 15-22'!C151</f>
        <v>33485443</v>
      </c>
      <c r="C1226" s="2" t="s">
        <v>573</v>
      </c>
      <c r="D1226" s="2" t="str">
        <f t="shared" si="18"/>
        <v>Error?</v>
      </c>
    </row>
    <row r="1227" spans="1:4" x14ac:dyDescent="0.2">
      <c r="A1227" s="5">
        <v>1166</v>
      </c>
      <c r="B1227" s="138">
        <f>'Expenditures 15-22'!D122</f>
        <v>90877</v>
      </c>
      <c r="D1227" s="2" t="str">
        <f t="shared" si="18"/>
        <v>Error?</v>
      </c>
    </row>
    <row r="1228" spans="1:4" x14ac:dyDescent="0.2">
      <c r="A1228" s="5">
        <v>1167</v>
      </c>
      <c r="B1228" s="138">
        <f>'Expenditures 15-22'!D123</f>
        <v>36369</v>
      </c>
      <c r="D1228" s="2" t="str">
        <f t="shared" si="18"/>
        <v>Error?</v>
      </c>
    </row>
    <row r="1229" spans="1:4" x14ac:dyDescent="0.2">
      <c r="A1229" s="5">
        <v>1168</v>
      </c>
      <c r="B1229" s="138">
        <f>'Expenditures 15-22'!D124</f>
        <v>9350804</v>
      </c>
      <c r="D1229" s="2" t="str">
        <f t="shared" si="18"/>
        <v>Error?</v>
      </c>
    </row>
    <row r="1230" spans="1:4" x14ac:dyDescent="0.2">
      <c r="A1230" s="10">
        <v>1169</v>
      </c>
      <c r="D1230" s="2" t="str">
        <f t="shared" si="18"/>
        <v>OK</v>
      </c>
    </row>
    <row r="1231" spans="1:4" x14ac:dyDescent="0.2">
      <c r="A1231" s="5">
        <v>1170</v>
      </c>
      <c r="B1231" s="138">
        <f>'Expenditures 15-22'!D127</f>
        <v>9478050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9478050</v>
      </c>
      <c r="C1233" s="2" t="s">
        <v>573</v>
      </c>
      <c r="D1233" s="2" t="str">
        <f t="shared" si="18"/>
        <v>Error?</v>
      </c>
    </row>
    <row r="1234" spans="1:4" x14ac:dyDescent="0.2">
      <c r="A1234" s="5">
        <v>1173</v>
      </c>
      <c r="B1234" s="138">
        <f>'Expenditures 15-22'!D151</f>
        <v>9478050</v>
      </c>
      <c r="C1234" s="2" t="s">
        <v>573</v>
      </c>
      <c r="D1234" s="2" t="str">
        <f t="shared" si="18"/>
        <v>Error?</v>
      </c>
    </row>
    <row r="1235" spans="1:4" x14ac:dyDescent="0.2">
      <c r="A1235" s="5">
        <v>1174</v>
      </c>
      <c r="B1235" s="138">
        <f>'Expenditures 15-22'!E122</f>
        <v>12685</v>
      </c>
      <c r="D1235" s="2" t="str">
        <f t="shared" si="18"/>
        <v>Error?</v>
      </c>
    </row>
    <row r="1236" spans="1:4" x14ac:dyDescent="0.2">
      <c r="A1236" s="5">
        <v>1175</v>
      </c>
      <c r="B1236" s="138">
        <f>'Expenditures 15-22'!E123</f>
        <v>5973472</v>
      </c>
      <c r="D1236" s="2" t="str">
        <f t="shared" si="18"/>
        <v>Error?</v>
      </c>
    </row>
    <row r="1237" spans="1:4" x14ac:dyDescent="0.2">
      <c r="A1237" s="5">
        <v>1176</v>
      </c>
      <c r="B1237" s="138">
        <f>'Expenditures 15-22'!E124</f>
        <v>254157943</v>
      </c>
      <c r="D1237" s="2" t="str">
        <f t="shared" si="18"/>
        <v>Error?</v>
      </c>
    </row>
    <row r="1238" spans="1:4" x14ac:dyDescent="0.2">
      <c r="A1238" s="10">
        <v>1177</v>
      </c>
      <c r="D1238" s="2" t="str">
        <f t="shared" si="18"/>
        <v>OK</v>
      </c>
    </row>
    <row r="1239" spans="1:4" x14ac:dyDescent="0.2">
      <c r="A1239" s="5">
        <v>1178</v>
      </c>
      <c r="B1239" s="138">
        <f>'Expenditures 15-22'!E127</f>
        <v>260144100</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260144100</v>
      </c>
      <c r="C1241" s="2" t="s">
        <v>573</v>
      </c>
      <c r="D1241" s="2" t="str">
        <f t="shared" si="18"/>
        <v>Error?</v>
      </c>
    </row>
    <row r="1242" spans="1:4" x14ac:dyDescent="0.2">
      <c r="A1242" s="5">
        <v>1181</v>
      </c>
      <c r="B1242" s="138">
        <f>'Expenditures 15-22'!E151</f>
        <v>260144100</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49137</v>
      </c>
      <c r="D1244" s="2" t="str">
        <f t="shared" si="18"/>
        <v>Error?</v>
      </c>
    </row>
    <row r="1245" spans="1:4" x14ac:dyDescent="0.2">
      <c r="A1245" s="5">
        <v>1184</v>
      </c>
      <c r="B1245" s="138">
        <f>'Expenditures 15-22'!F124</f>
        <v>75804928</v>
      </c>
      <c r="D1245" s="2" t="str">
        <f t="shared" si="18"/>
        <v>Error?</v>
      </c>
    </row>
    <row r="1246" spans="1:4" x14ac:dyDescent="0.2">
      <c r="A1246" s="10">
        <v>1185</v>
      </c>
      <c r="D1246" s="2" t="str">
        <f t="shared" si="18"/>
        <v>OK</v>
      </c>
    </row>
    <row r="1247" spans="1:4" x14ac:dyDescent="0.2">
      <c r="A1247" s="5">
        <v>1186</v>
      </c>
      <c r="B1247" s="138">
        <f>'Expenditures 15-22'!F127</f>
        <v>75854065</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75854065</v>
      </c>
      <c r="C1249" s="2" t="s">
        <v>573</v>
      </c>
      <c r="D1249" s="2" t="str">
        <f t="shared" si="18"/>
        <v>Error?</v>
      </c>
    </row>
    <row r="1250" spans="1:4" x14ac:dyDescent="0.2">
      <c r="A1250" s="5">
        <v>1189</v>
      </c>
      <c r="B1250" s="138">
        <f>'Expenditures 15-22'!F151</f>
        <v>75854065</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573</v>
      </c>
      <c r="D1258" s="2" t="str">
        <f t="shared" si="18"/>
        <v>Error?</v>
      </c>
    </row>
    <row r="1259" spans="1:4" x14ac:dyDescent="0.2">
      <c r="A1259" s="5">
        <v>1198</v>
      </c>
      <c r="B1259" s="138">
        <f>'Expenditures 15-22'!G151</f>
        <v>0</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864539</v>
      </c>
      <c r="C1274" s="2" t="s">
        <v>573</v>
      </c>
      <c r="D1274" s="2" t="str">
        <f t="shared" si="18"/>
        <v>Error?</v>
      </c>
    </row>
    <row r="1275" spans="1:4" x14ac:dyDescent="0.2">
      <c r="A1275" s="5">
        <v>1214</v>
      </c>
      <c r="B1275" s="138">
        <f>'Expenditures 15-22'!K123</f>
        <v>6722033</v>
      </c>
      <c r="C1275" s="2" t="s">
        <v>573</v>
      </c>
      <c r="D1275" s="2" t="str">
        <f t="shared" si="18"/>
        <v>Error?</v>
      </c>
    </row>
    <row r="1276" spans="1:4" x14ac:dyDescent="0.2">
      <c r="A1276" s="5">
        <v>1215</v>
      </c>
      <c r="B1276" s="138">
        <f>'Expenditures 15-22'!K124</f>
        <v>372338005</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379924577</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379924577</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379924577</v>
      </c>
      <c r="C1288" s="2" t="s">
        <v>573</v>
      </c>
      <c r="D1288" s="2" t="str">
        <f t="shared" si="19"/>
        <v>Error?</v>
      </c>
    </row>
    <row r="1289" spans="1:4" x14ac:dyDescent="0.2">
      <c r="A1289" s="5">
        <v>1228</v>
      </c>
      <c r="B1289" s="138">
        <f>'Expenditures 15-22'!K152</f>
        <v>0</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459113954</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158759948</v>
      </c>
      <c r="D1315" s="2" t="str">
        <f t="shared" si="19"/>
        <v>Error?</v>
      </c>
    </row>
    <row r="1316" spans="1:4" x14ac:dyDescent="0.2">
      <c r="A1316" s="5">
        <v>1255</v>
      </c>
      <c r="B1316" s="138">
        <f>'Expenditures 15-22'!H171</f>
        <v>11680926</v>
      </c>
      <c r="D1316" s="2" t="str">
        <f t="shared" si="19"/>
        <v>Error?</v>
      </c>
    </row>
    <row r="1317" spans="1:4" x14ac:dyDescent="0.2">
      <c r="A1317" s="5">
        <v>1256</v>
      </c>
      <c r="B1317" s="138">
        <f>'Expenditures 15-22'!H172</f>
        <v>629554828</v>
      </c>
      <c r="C1317" s="2" t="s">
        <v>573</v>
      </c>
      <c r="D1317" s="2" t="str">
        <f t="shared" si="19"/>
        <v>Error?</v>
      </c>
    </row>
    <row r="1318" spans="1:4" x14ac:dyDescent="0.2">
      <c r="A1318" s="5">
        <v>1257</v>
      </c>
      <c r="B1318" s="138">
        <f>'Expenditures 15-22'!H174</f>
        <v>629554828</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459113954</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158759948</v>
      </c>
      <c r="C1329" s="2" t="s">
        <v>573</v>
      </c>
      <c r="D1329" s="2" t="str">
        <f t="shared" si="19"/>
        <v>Error?</v>
      </c>
    </row>
    <row r="1330" spans="1:4" x14ac:dyDescent="0.2">
      <c r="A1330" s="5">
        <v>1269</v>
      </c>
      <c r="B1330" s="138">
        <f>'Expenditures 15-22'!K171</f>
        <v>11680926</v>
      </c>
      <c r="C1330" s="2" t="s">
        <v>573</v>
      </c>
      <c r="D1330" s="2" t="str">
        <f t="shared" si="19"/>
        <v>Error?</v>
      </c>
    </row>
    <row r="1331" spans="1:4" x14ac:dyDescent="0.2">
      <c r="A1331" s="5">
        <v>1270</v>
      </c>
      <c r="B1331" s="138">
        <f>'Expenditures 15-22'!K172</f>
        <v>629554828</v>
      </c>
      <c r="C1331" s="2" t="s">
        <v>573</v>
      </c>
      <c r="D1331" s="2" t="str">
        <f t="shared" si="19"/>
        <v>Error?</v>
      </c>
    </row>
    <row r="1332" spans="1:4" x14ac:dyDescent="0.2">
      <c r="A1332" s="5">
        <v>1271</v>
      </c>
      <c r="B1332" s="138">
        <f>'Expenditures 15-22'!K174</f>
        <v>629554828</v>
      </c>
      <c r="C1332" s="2" t="s">
        <v>573</v>
      </c>
      <c r="D1332" s="2" t="str">
        <f t="shared" si="19"/>
        <v>Error?</v>
      </c>
    </row>
    <row r="1333" spans="1:4" x14ac:dyDescent="0.2">
      <c r="A1333" s="5">
        <v>1272</v>
      </c>
      <c r="B1333" s="138">
        <f>'Expenditures 15-22'!K175</f>
        <v>-69841911</v>
      </c>
      <c r="C1333" s="2" t="s">
        <v>573</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573</v>
      </c>
      <c r="D1339" s="2" t="str">
        <f t="shared" si="19"/>
        <v>Error?</v>
      </c>
    </row>
    <row r="1340" spans="1:4" x14ac:dyDescent="0.2">
      <c r="A1340" s="5">
        <v>1279</v>
      </c>
      <c r="B1340" s="138">
        <f>'Expenditures 15-22'!C210</f>
        <v>0</v>
      </c>
      <c r="C1340" s="2" t="s">
        <v>573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573</v>
      </c>
      <c r="D1345" s="2" t="str">
        <f t="shared" si="20"/>
        <v>Error?</v>
      </c>
    </row>
    <row r="1346" spans="1:4" x14ac:dyDescent="0.2">
      <c r="A1346" s="5">
        <v>1285</v>
      </c>
      <c r="B1346" s="138">
        <f>'Expenditures 15-22'!D210</f>
        <v>0</v>
      </c>
      <c r="C1346" s="2" t="s">
        <v>573</v>
      </c>
      <c r="D1346" s="2" t="str">
        <f t="shared" si="20"/>
        <v>Error?</v>
      </c>
    </row>
    <row r="1347" spans="1:4" x14ac:dyDescent="0.2">
      <c r="A1347" s="5">
        <v>1286</v>
      </c>
      <c r="B1347" s="138">
        <f>'Expenditures 15-22'!E182</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0</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0</v>
      </c>
      <c r="C1353" s="2" t="s">
        <v>573</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573</v>
      </c>
      <c r="D1358" s="2" t="str">
        <f t="shared" si="20"/>
        <v>Error?</v>
      </c>
    </row>
    <row r="1359" spans="1:4" x14ac:dyDescent="0.2">
      <c r="A1359" s="5">
        <v>1298</v>
      </c>
      <c r="B1359" s="138">
        <f>'Expenditures 15-22'!F210</f>
        <v>0</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0</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0</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0</v>
      </c>
      <c r="C1388" s="2" t="s">
        <v>573</v>
      </c>
      <c r="D1388" s="2" t="str">
        <f t="shared" si="20"/>
        <v>Error?</v>
      </c>
    </row>
    <row r="1389" spans="1:4" x14ac:dyDescent="0.2">
      <c r="A1389" s="5">
        <v>1328</v>
      </c>
      <c r="B1389" s="138">
        <f>'Expenditures 15-22'!K211</f>
        <v>0</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0</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0</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0</v>
      </c>
      <c r="D1423" s="2" t="str">
        <f t="shared" si="21"/>
        <v>Error?</v>
      </c>
    </row>
    <row r="1424" spans="1:4" x14ac:dyDescent="0.2">
      <c r="A1424" s="5">
        <v>1363</v>
      </c>
      <c r="B1424" s="138">
        <f>'Expenditures 15-22'!D257</f>
        <v>0</v>
      </c>
      <c r="C1424" s="2" t="s">
        <v>573</v>
      </c>
      <c r="D1424" s="2" t="str">
        <f t="shared" si="21"/>
        <v>Error?</v>
      </c>
    </row>
    <row r="1425" spans="1:4" x14ac:dyDescent="0.2">
      <c r="A1425" s="5">
        <v>1364</v>
      </c>
      <c r="B1425" s="138">
        <f>'Expenditures 15-22'!D259</f>
        <v>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0</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0</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0</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0</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0</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0</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0</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0</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0</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0</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0</v>
      </c>
      <c r="C1487" s="2" t="s">
        <v>573</v>
      </c>
      <c r="D1487" s="2" t="str">
        <f t="shared" si="22"/>
        <v>Error?</v>
      </c>
    </row>
    <row r="1488" spans="1:4" x14ac:dyDescent="0.2">
      <c r="A1488" s="5">
        <v>1427</v>
      </c>
      <c r="B1488" s="138">
        <f>'Expenditures 15-22'!K257</f>
        <v>0</v>
      </c>
      <c r="C1488" s="2" t="s">
        <v>573</v>
      </c>
      <c r="D1488" s="2" t="str">
        <f t="shared" si="22"/>
        <v>Error?</v>
      </c>
    </row>
    <row r="1489" spans="1:4" x14ac:dyDescent="0.2">
      <c r="A1489" s="5">
        <v>1428</v>
      </c>
      <c r="B1489" s="138">
        <f>'Expenditures 15-22'!K259</f>
        <v>0</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0</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0</v>
      </c>
      <c r="C1495" s="2" t="s">
        <v>573</v>
      </c>
      <c r="D1495" s="2" t="str">
        <f t="shared" si="22"/>
        <v>Error?</v>
      </c>
    </row>
    <row r="1496" spans="1:4" x14ac:dyDescent="0.2">
      <c r="A1496" s="5">
        <v>1435</v>
      </c>
      <c r="B1496" s="138">
        <f>'Expenditures 15-22'!K267</f>
        <v>0</v>
      </c>
      <c r="C1496" s="2" t="s">
        <v>573</v>
      </c>
      <c r="D1496" s="2" t="str">
        <f t="shared" si="22"/>
        <v>Error?</v>
      </c>
    </row>
    <row r="1497" spans="1:4" x14ac:dyDescent="0.2">
      <c r="A1497" s="5">
        <v>1436</v>
      </c>
      <c r="B1497" s="138">
        <f>'Expenditures 15-22'!K268</f>
        <v>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0</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0</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0</v>
      </c>
      <c r="C1517" s="2" t="s">
        <v>573</v>
      </c>
      <c r="D1517" s="2" t="str">
        <f t="shared" si="22"/>
        <v>Error?</v>
      </c>
    </row>
    <row r="1518" spans="1:4" x14ac:dyDescent="0.2">
      <c r="A1518" s="5">
        <v>1457</v>
      </c>
      <c r="B1518" s="138">
        <f>'Expenditures 15-22'!K296</f>
        <v>0</v>
      </c>
      <c r="C1518" s="2" t="s">
        <v>573</v>
      </c>
      <c r="D1518" s="2" t="str">
        <f t="shared" si="22"/>
        <v>Error?</v>
      </c>
    </row>
    <row r="1519" spans="1:4" x14ac:dyDescent="0.2">
      <c r="A1519" s="5">
        <v>1458</v>
      </c>
      <c r="B1519" s="138">
        <f>'Expenditures 15-22'!C301</f>
        <v>1058949</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1058949</v>
      </c>
      <c r="C1523" s="2" t="s">
        <v>573</v>
      </c>
      <c r="D1523" s="2" t="str">
        <f t="shared" si="22"/>
        <v>Error?</v>
      </c>
    </row>
    <row r="1524" spans="1:4" x14ac:dyDescent="0.2">
      <c r="A1524" s="5">
        <v>1463</v>
      </c>
      <c r="B1524" s="138">
        <f>'Expenditures 15-22'!C312</f>
        <v>1058949</v>
      </c>
      <c r="C1524" s="2" t="s">
        <v>573</v>
      </c>
      <c r="D1524" s="2" t="str">
        <f t="shared" si="22"/>
        <v>Error?</v>
      </c>
    </row>
    <row r="1525" spans="1:4" x14ac:dyDescent="0.2">
      <c r="A1525" s="5">
        <v>1464</v>
      </c>
      <c r="B1525" s="138">
        <f>'Expenditures 15-22'!D301</f>
        <v>154603</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154603</v>
      </c>
      <c r="C1529" s="2" t="s">
        <v>573</v>
      </c>
      <c r="D1529" s="2" t="str">
        <f t="shared" si="22"/>
        <v>Error?</v>
      </c>
    </row>
    <row r="1530" spans="1:4" x14ac:dyDescent="0.2">
      <c r="A1530" s="5">
        <v>1469</v>
      </c>
      <c r="B1530" s="138">
        <f>'Expenditures 15-22'!D312</f>
        <v>154603</v>
      </c>
      <c r="C1530" s="2" t="s">
        <v>573</v>
      </c>
      <c r="D1530" s="2" t="str">
        <f t="shared" si="22"/>
        <v>Error?</v>
      </c>
    </row>
    <row r="1531" spans="1:4" x14ac:dyDescent="0.2">
      <c r="A1531" s="5">
        <v>1470</v>
      </c>
      <c r="B1531" s="138">
        <f>'Expenditures 15-22'!E301</f>
        <v>11593327</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11593327</v>
      </c>
      <c r="C1535" s="2" t="s">
        <v>573</v>
      </c>
      <c r="D1535" s="2" t="str">
        <f t="shared" ref="D1535:D1598" si="23">IF(ISBLANK(B1535),"OK",IF(A1535-B1535=0,"OK","Error?"))</f>
        <v>Error?</v>
      </c>
    </row>
    <row r="1536" spans="1:4" x14ac:dyDescent="0.2">
      <c r="A1536" s="5">
        <v>1475</v>
      </c>
      <c r="B1536" s="138">
        <f>'Expenditures 15-22'!E312</f>
        <v>11593327</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567049513</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567049513</v>
      </c>
      <c r="C1547" s="2" t="s">
        <v>573</v>
      </c>
      <c r="D1547" s="2" t="str">
        <f t="shared" si="23"/>
        <v>Error?</v>
      </c>
    </row>
    <row r="1548" spans="1:4" x14ac:dyDescent="0.2">
      <c r="A1548" s="5">
        <v>1487</v>
      </c>
      <c r="B1548" s="138">
        <f>'Expenditures 15-22'!G312</f>
        <v>567049513</v>
      </c>
      <c r="C1548" s="2" t="s">
        <v>573</v>
      </c>
      <c r="D1548" s="2" t="str">
        <f t="shared" si="23"/>
        <v>Error?</v>
      </c>
    </row>
    <row r="1549" spans="1:4" x14ac:dyDescent="0.2">
      <c r="A1549" s="5">
        <v>1488</v>
      </c>
      <c r="B1549" s="138">
        <f>'Expenditures 15-22'!H301</f>
        <v>32452907</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32452907</v>
      </c>
      <c r="C1553" s="2" t="s">
        <v>573</v>
      </c>
      <c r="D1553" s="2" t="str">
        <f t="shared" si="23"/>
        <v>Error?</v>
      </c>
    </row>
    <row r="1554" spans="1:4" x14ac:dyDescent="0.2">
      <c r="A1554" s="5">
        <v>1493</v>
      </c>
      <c r="B1554" s="138">
        <f>'Expenditures 15-22'!H312</f>
        <v>32452907</v>
      </c>
      <c r="C1554" s="2" t="s">
        <v>573</v>
      </c>
      <c r="D1554" s="2" t="str">
        <f t="shared" si="23"/>
        <v>Error?</v>
      </c>
    </row>
    <row r="1555" spans="1:4" x14ac:dyDescent="0.2">
      <c r="A1555" s="5">
        <v>1494</v>
      </c>
      <c r="B1555" s="138">
        <f>'Expenditures 15-22'!K301</f>
        <v>612371252</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612371252</v>
      </c>
      <c r="C1559" s="2" t="s">
        <v>573</v>
      </c>
      <c r="D1559" s="2" t="str">
        <f t="shared" si="23"/>
        <v>Error?</v>
      </c>
    </row>
    <row r="1560" spans="1:4" x14ac:dyDescent="0.2">
      <c r="A1560" s="5">
        <v>1499</v>
      </c>
      <c r="B1560" s="138">
        <f>'Expenditures 15-22'!K312</f>
        <v>612371252</v>
      </c>
      <c r="C1560" s="2" t="s">
        <v>573</v>
      </c>
      <c r="D1560" s="2" t="str">
        <f t="shared" si="23"/>
        <v>Error?</v>
      </c>
    </row>
    <row r="1561" spans="1:4" x14ac:dyDescent="0.2">
      <c r="A1561" s="5">
        <v>1500</v>
      </c>
      <c r="B1561" s="138">
        <f>'Expenditures 15-22'!K313</f>
        <v>-535972767</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341596661</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491443342</v>
      </c>
      <c r="C1630" s="2" t="s">
        <v>573</v>
      </c>
      <c r="D1630" s="2" t="str">
        <f t="shared" si="24"/>
        <v>Error?</v>
      </c>
    </row>
    <row r="1631" spans="1:4" x14ac:dyDescent="0.2">
      <c r="A1631" s="5">
        <v>1570</v>
      </c>
      <c r="B1631" s="138">
        <f>'Acct Summary 7-8'!D79</f>
        <v>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0</v>
      </c>
      <c r="C1644" s="2" t="s">
        <v>573</v>
      </c>
      <c r="D1644" s="2" t="str">
        <f t="shared" si="24"/>
        <v>Error?</v>
      </c>
    </row>
    <row r="1645" spans="1:4" x14ac:dyDescent="0.2">
      <c r="A1645" s="5">
        <v>1584</v>
      </c>
      <c r="B1645" s="138">
        <f>'Acct Summary 7-8'!E79</f>
        <v>785517156</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774041847</v>
      </c>
      <c r="C1658" s="2" t="s">
        <v>573</v>
      </c>
      <c r="D1658" s="2" t="str">
        <f t="shared" si="24"/>
        <v>Error?</v>
      </c>
    </row>
    <row r="1659" spans="1:4" x14ac:dyDescent="0.2">
      <c r="A1659" s="5">
        <v>1598</v>
      </c>
      <c r="B1659" s="138">
        <f>'Acct Summary 7-8'!F79</f>
        <v>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0</v>
      </c>
      <c r="C1672" s="2" t="s">
        <v>573</v>
      </c>
      <c r="D1672" s="2" t="str">
        <f t="shared" si="25"/>
        <v>Error?</v>
      </c>
    </row>
    <row r="1673" spans="1:4" x14ac:dyDescent="0.2">
      <c r="A1673" s="5">
        <v>1612</v>
      </c>
      <c r="B1673" s="138">
        <f>'Acct Summary 7-8'!G79</f>
        <v>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0</v>
      </c>
      <c r="C1686" s="2" t="s">
        <v>573</v>
      </c>
      <c r="D1686" s="2" t="str">
        <f t="shared" si="25"/>
        <v>Error?</v>
      </c>
    </row>
    <row r="1687" spans="1:4" x14ac:dyDescent="0.2">
      <c r="A1687" s="5">
        <v>1626</v>
      </c>
      <c r="B1687" s="138">
        <f>'Acct Summary 7-8'!H79</f>
        <v>895111057</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716746581</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2386116045</v>
      </c>
      <c r="C1744" s="2" t="s">
        <v>573</v>
      </c>
      <c r="D1744" s="2" t="str">
        <f t="shared" si="26"/>
        <v>Error?</v>
      </c>
    </row>
    <row r="1745" spans="1:5" x14ac:dyDescent="0.2">
      <c r="A1745" s="5">
        <v>1684</v>
      </c>
      <c r="B1745" s="138">
        <f>'Tax Sched 23'!B5</f>
        <v>0</v>
      </c>
      <c r="C1745" s="2" t="s">
        <v>573</v>
      </c>
      <c r="D1745" s="2" t="str">
        <f t="shared" si="26"/>
        <v>Error?</v>
      </c>
    </row>
    <row r="1746" spans="1:5" x14ac:dyDescent="0.2">
      <c r="A1746" s="5">
        <v>1685</v>
      </c>
      <c r="B1746" s="138">
        <f>'Tax Sched 23'!B6</f>
        <v>77069852</v>
      </c>
      <c r="C1746" s="2" t="s">
        <v>573</v>
      </c>
      <c r="D1746" s="2" t="str">
        <f t="shared" si="26"/>
        <v>Error?</v>
      </c>
    </row>
    <row r="1747" spans="1:5" x14ac:dyDescent="0.2">
      <c r="A1747" s="5">
        <v>1686</v>
      </c>
      <c r="B1747" s="138">
        <f>'Tax Sched 23'!B7</f>
        <v>0</v>
      </c>
      <c r="C1747" s="2" t="s">
        <v>573</v>
      </c>
      <c r="D1747" s="2" t="str">
        <f t="shared" si="26"/>
        <v>Error?</v>
      </c>
    </row>
    <row r="1748" spans="1:5" x14ac:dyDescent="0.2">
      <c r="A1748" s="5">
        <v>1687</v>
      </c>
      <c r="B1748" s="138">
        <f>'Tax Sched 23'!B8</f>
        <v>0</v>
      </c>
      <c r="C1748" s="2" t="s">
        <v>573</v>
      </c>
      <c r="D1748" s="2" t="str">
        <f t="shared" si="26"/>
        <v>Error?</v>
      </c>
    </row>
    <row r="1749" spans="1:5" x14ac:dyDescent="0.2">
      <c r="A1749" s="5">
        <v>1688</v>
      </c>
      <c r="B1749" s="138">
        <f>'Tax Sched 23'!B10</f>
        <v>0</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10132959</v>
      </c>
      <c r="C1751" s="2" t="s">
        <v>573</v>
      </c>
      <c r="D1751" s="2" t="str">
        <f t="shared" si="26"/>
        <v>Error?</v>
      </c>
    </row>
    <row r="1752" spans="1:5" x14ac:dyDescent="0.2">
      <c r="A1752" s="5">
        <v>1691</v>
      </c>
      <c r="B1752" s="138">
        <f>'Tax Sched 23'!B11</f>
        <v>76451096</v>
      </c>
      <c r="C1752" s="2" t="s">
        <v>573</v>
      </c>
      <c r="D1752" s="2" t="str">
        <f t="shared" si="26"/>
        <v>Error?</v>
      </c>
    </row>
    <row r="1753" spans="1:5" x14ac:dyDescent="0.2">
      <c r="A1753" s="5">
        <v>1692</v>
      </c>
      <c r="B1753" s="138">
        <f>'Tax Sched 23'!B12</f>
        <v>0</v>
      </c>
      <c r="C1753" s="2" t="s">
        <v>573</v>
      </c>
      <c r="D1753" s="2" t="str">
        <f t="shared" si="26"/>
        <v>Error?</v>
      </c>
    </row>
    <row r="1754" spans="1:5" x14ac:dyDescent="0.2">
      <c r="A1754" s="5">
        <v>1693</v>
      </c>
      <c r="B1754" s="138">
        <f>'Tax Sched 23'!B14</f>
        <v>0</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2984025712</v>
      </c>
      <c r="C1759" s="2" t="s">
        <v>573</v>
      </c>
      <c r="D1759" s="2" t="str">
        <f t="shared" si="26"/>
        <v>Error?</v>
      </c>
    </row>
    <row r="1760" spans="1:5" x14ac:dyDescent="0.2">
      <c r="A1760" s="5">
        <v>1699</v>
      </c>
      <c r="B1760" s="138">
        <f>'Tax Sched 23'!D4</f>
        <v>134625871</v>
      </c>
      <c r="C1760" s="2" t="s">
        <v>573</v>
      </c>
      <c r="D1760" s="2" t="str">
        <f t="shared" si="26"/>
        <v>Error?</v>
      </c>
    </row>
    <row r="1761" spans="1:5" x14ac:dyDescent="0.2">
      <c r="A1761" s="5">
        <v>1700</v>
      </c>
      <c r="B1761" s="138">
        <f>'Tax Sched 23'!D5</f>
        <v>0</v>
      </c>
      <c r="C1761" s="2" t="s">
        <v>573</v>
      </c>
      <c r="D1761" s="2" t="str">
        <f t="shared" si="26"/>
        <v>Error?</v>
      </c>
    </row>
    <row r="1762" spans="1:5" s="8" customFormat="1" x14ac:dyDescent="0.2">
      <c r="A1762" s="5">
        <v>1701</v>
      </c>
      <c r="B1762" s="138">
        <f>'Tax Sched 23'!D6</f>
        <v>4311453</v>
      </c>
      <c r="C1762" s="2" t="s">
        <v>573</v>
      </c>
      <c r="D1762" s="2" t="str">
        <f t="shared" si="26"/>
        <v>Error?</v>
      </c>
      <c r="E1762" s="9"/>
    </row>
    <row r="1763" spans="1:5" x14ac:dyDescent="0.2">
      <c r="A1763" s="5">
        <v>1702</v>
      </c>
      <c r="B1763" s="138">
        <f>'Tax Sched 23'!D7</f>
        <v>0</v>
      </c>
      <c r="C1763" s="2" t="s">
        <v>573</v>
      </c>
      <c r="D1763" s="2" t="str">
        <f t="shared" si="26"/>
        <v>Error?</v>
      </c>
    </row>
    <row r="1764" spans="1:5" x14ac:dyDescent="0.2">
      <c r="A1764" s="5">
        <v>1703</v>
      </c>
      <c r="B1764" s="138">
        <f>'Tax Sched 23'!D8</f>
        <v>0</v>
      </c>
      <c r="C1764" s="2" t="s">
        <v>573</v>
      </c>
      <c r="D1764" s="2" t="str">
        <f t="shared" si="26"/>
        <v>Error?</v>
      </c>
    </row>
    <row r="1765" spans="1:5" x14ac:dyDescent="0.2">
      <c r="A1765" s="5">
        <v>1704</v>
      </c>
      <c r="B1765" s="138">
        <f>'Tax Sched 23'!D10</f>
        <v>0</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1149696</v>
      </c>
      <c r="C1767" s="2" t="s">
        <v>573</v>
      </c>
      <c r="D1767" s="2" t="str">
        <f t="shared" si="26"/>
        <v>Error?</v>
      </c>
    </row>
    <row r="1768" spans="1:5" x14ac:dyDescent="0.2">
      <c r="A1768" s="5">
        <v>1707</v>
      </c>
      <c r="B1768" s="138">
        <f>'Tax Sched 23'!D11</f>
        <v>2698064</v>
      </c>
      <c r="C1768" s="2" t="s">
        <v>573</v>
      </c>
      <c r="D1768" s="2" t="str">
        <f t="shared" si="26"/>
        <v>Error?</v>
      </c>
    </row>
    <row r="1769" spans="1:5" x14ac:dyDescent="0.2">
      <c r="A1769" s="5">
        <v>1708</v>
      </c>
      <c r="B1769" s="138">
        <f>'Tax Sched 23'!D12</f>
        <v>0</v>
      </c>
      <c r="C1769" s="2" t="s">
        <v>573</v>
      </c>
      <c r="D1769" s="2" t="str">
        <f t="shared" si="26"/>
        <v>Error?</v>
      </c>
    </row>
    <row r="1770" spans="1:5" x14ac:dyDescent="0.2">
      <c r="A1770" s="5">
        <v>1709</v>
      </c>
      <c r="B1770" s="138">
        <f>'Tax Sched 23'!D14</f>
        <v>0</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172987071</v>
      </c>
      <c r="C1775" s="2" t="s">
        <v>573</v>
      </c>
      <c r="D1775" s="2" t="str">
        <f t="shared" si="26"/>
        <v>Error?</v>
      </c>
    </row>
    <row r="1776" spans="1:5" x14ac:dyDescent="0.2">
      <c r="A1776" s="5">
        <v>1715</v>
      </c>
      <c r="B1776" s="138">
        <f>'Tax Sched 23'!C4</f>
        <v>2251490174</v>
      </c>
      <c r="D1776" s="2" t="str">
        <f t="shared" si="26"/>
        <v>Error?</v>
      </c>
    </row>
    <row r="1777" spans="1:4" x14ac:dyDescent="0.2">
      <c r="A1777" s="5">
        <v>1716</v>
      </c>
      <c r="B1777" s="138">
        <f>'Tax Sched 23'!C5</f>
        <v>0</v>
      </c>
      <c r="D1777" s="2" t="str">
        <f t="shared" si="26"/>
        <v>Error?</v>
      </c>
    </row>
    <row r="1778" spans="1:4" x14ac:dyDescent="0.2">
      <c r="A1778" s="5">
        <v>1717</v>
      </c>
      <c r="B1778" s="138">
        <f>'Tax Sched 23'!C6</f>
        <v>72758399</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8983263</v>
      </c>
      <c r="D1783" s="2" t="str">
        <f t="shared" si="26"/>
        <v>Error?</v>
      </c>
    </row>
    <row r="1784" spans="1:4" x14ac:dyDescent="0.2">
      <c r="A1784" s="5">
        <v>1723</v>
      </c>
      <c r="B1784" s="138">
        <f>'Tax Sched 23'!C11</f>
        <v>73753032</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2811038641</v>
      </c>
      <c r="C1791" s="2" t="s">
        <v>573</v>
      </c>
      <c r="D1791" s="2" t="str">
        <f t="shared" ref="D1791:D1854" si="27">IF(ISBLANK(B1791),"OK",IF(A1791-B1791=0,"OK","Error?"))</f>
        <v>Error?</v>
      </c>
    </row>
    <row r="1792" spans="1:4" x14ac:dyDescent="0.2">
      <c r="A1792" s="5">
        <v>1731</v>
      </c>
      <c r="B1792" s="138">
        <f>'Tax Sched 23'!F4</f>
        <v>118499483</v>
      </c>
      <c r="C1792" s="2" t="s">
        <v>573</v>
      </c>
      <c r="D1792" s="2" t="str">
        <f t="shared" si="27"/>
        <v>Error?</v>
      </c>
    </row>
    <row r="1793" spans="1:4" x14ac:dyDescent="0.2">
      <c r="A1793" s="5">
        <v>1732</v>
      </c>
      <c r="B1793" s="138">
        <f>'Tax Sched 23'!F5</f>
        <v>0</v>
      </c>
      <c r="C1793" s="2" t="s">
        <v>573</v>
      </c>
      <c r="D1793" s="2" t="str">
        <f t="shared" si="27"/>
        <v>Error?</v>
      </c>
    </row>
    <row r="1794" spans="1:4" x14ac:dyDescent="0.2">
      <c r="A1794" s="5">
        <v>1733</v>
      </c>
      <c r="B1794" s="138">
        <f>'Tax Sched 23'!F6</f>
        <v>3829389</v>
      </c>
      <c r="C1794" s="2" t="s">
        <v>573</v>
      </c>
      <c r="D1794" s="2" t="str">
        <f t="shared" si="27"/>
        <v>Error?</v>
      </c>
    </row>
    <row r="1795" spans="1:4" x14ac:dyDescent="0.2">
      <c r="A1795" s="5">
        <v>1734</v>
      </c>
      <c r="B1795" s="138">
        <f>'Tax Sched 23'!F7</f>
        <v>0</v>
      </c>
      <c r="C1795" s="2" t="s">
        <v>573</v>
      </c>
      <c r="D1795" s="2" t="str">
        <f t="shared" si="27"/>
        <v>Error?</v>
      </c>
    </row>
    <row r="1796" spans="1:4" x14ac:dyDescent="0.2">
      <c r="A1796" s="5">
        <v>1735</v>
      </c>
      <c r="B1796" s="138">
        <f>'Tax Sched 23'!F8</f>
        <v>0</v>
      </c>
      <c r="C1796" s="2" t="s">
        <v>573</v>
      </c>
      <c r="D1796" s="2" t="str">
        <f t="shared" si="27"/>
        <v>Error?</v>
      </c>
    </row>
    <row r="1797" spans="1:4" x14ac:dyDescent="0.2">
      <c r="A1797" s="5">
        <v>1736</v>
      </c>
      <c r="B1797" s="138">
        <f>'Tax Sched 23'!F10</f>
        <v>0</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472803</v>
      </c>
      <c r="C1799" s="2" t="s">
        <v>573</v>
      </c>
      <c r="D1799" s="2" t="str">
        <f t="shared" si="27"/>
        <v>Error?</v>
      </c>
    </row>
    <row r="1800" spans="1:4" x14ac:dyDescent="0.2">
      <c r="A1800" s="5">
        <v>1739</v>
      </c>
      <c r="B1800" s="138">
        <f>'Tax Sched 23'!F11</f>
        <v>3881739</v>
      </c>
      <c r="C1800" s="2" t="s">
        <v>573</v>
      </c>
      <c r="D1800" s="2" t="str">
        <f t="shared" si="27"/>
        <v>Error?</v>
      </c>
    </row>
    <row r="1801" spans="1:4" x14ac:dyDescent="0.2">
      <c r="A1801" s="5">
        <v>1740</v>
      </c>
      <c r="B1801" s="138">
        <f>'Tax Sched 23'!F12</f>
        <v>0</v>
      </c>
      <c r="C1801" s="2" t="s">
        <v>573</v>
      </c>
      <c r="D1801" s="2" t="str">
        <f t="shared" si="27"/>
        <v>Error?</v>
      </c>
    </row>
    <row r="1802" spans="1:4" x14ac:dyDescent="0.2">
      <c r="A1802" s="5">
        <v>1741</v>
      </c>
      <c r="B1802" s="138">
        <f>'Tax Sched 23'!F14</f>
        <v>0</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147949402</v>
      </c>
      <c r="C1807" s="2" t="s">
        <v>573</v>
      </c>
      <c r="D1807" s="2" t="str">
        <f t="shared" si="27"/>
        <v>Error?</v>
      </c>
    </row>
    <row r="1808" spans="1:4" x14ac:dyDescent="0.2">
      <c r="A1808" s="5">
        <v>1747</v>
      </c>
      <c r="B1808" s="138">
        <f>'Tax Sched 23'!E4</f>
        <v>2369989657</v>
      </c>
      <c r="D1808" s="2" t="str">
        <f t="shared" si="27"/>
        <v>Error?</v>
      </c>
    </row>
    <row r="1809" spans="1:4" x14ac:dyDescent="0.2">
      <c r="A1809" s="5">
        <v>1748</v>
      </c>
      <c r="B1809" s="138">
        <f>'Tax Sched 23'!E5</f>
        <v>0</v>
      </c>
      <c r="D1809" s="2" t="str">
        <f t="shared" si="27"/>
        <v>Error?</v>
      </c>
    </row>
    <row r="1810" spans="1:4" x14ac:dyDescent="0.2">
      <c r="A1810" s="5">
        <v>1749</v>
      </c>
      <c r="B1810" s="138">
        <f>'Tax Sched 23'!E6</f>
        <v>76587788</v>
      </c>
      <c r="D1810" s="2" t="str">
        <f t="shared" si="27"/>
        <v>Error?</v>
      </c>
    </row>
    <row r="1811" spans="1:4" x14ac:dyDescent="0.2">
      <c r="A1811" s="5">
        <v>1750</v>
      </c>
      <c r="B1811" s="138">
        <f>'Tax Sched 23'!E7</f>
        <v>0</v>
      </c>
      <c r="D1811" s="2" t="str">
        <f t="shared" si="27"/>
        <v>Error?</v>
      </c>
    </row>
    <row r="1812" spans="1:4" x14ac:dyDescent="0.2">
      <c r="A1812" s="5">
        <v>1751</v>
      </c>
      <c r="B1812" s="138">
        <f>'Tax Sched 23'!E8</f>
        <v>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9456066</v>
      </c>
      <c r="D1815" s="2" t="str">
        <f t="shared" si="27"/>
        <v>Error?</v>
      </c>
    </row>
    <row r="1816" spans="1:4" x14ac:dyDescent="0.2">
      <c r="A1816" s="5">
        <v>1755</v>
      </c>
      <c r="B1816" s="138">
        <f>'Tax Sched 23'!E11</f>
        <v>77634771</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2958988043</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599911000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599911000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1394000000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1394000000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1544466000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1544466000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449445000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449445000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8150321926</v>
      </c>
      <c r="C1939" s="2" t="s">
        <v>573</v>
      </c>
      <c r="D1939" s="2" t="str">
        <f t="shared" si="29"/>
        <v>Error?</v>
      </c>
    </row>
    <row r="1940" spans="1:5" x14ac:dyDescent="0.2">
      <c r="A1940" s="5">
        <v>1879</v>
      </c>
      <c r="B1940" s="138">
        <f>'Short-Term Long-Term Debt 24'!F49</f>
        <v>849395000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0</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0</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328284407</v>
      </c>
      <c r="D2008" s="2" t="str">
        <f t="shared" si="30"/>
        <v>Error?</v>
      </c>
    </row>
    <row r="2009" spans="1:4" x14ac:dyDescent="0.2">
      <c r="A2009" s="5">
        <v>1948</v>
      </c>
      <c r="B2009" s="138">
        <f>'Cap Outlay Deprec 26'!C8</f>
        <v>9504384811</v>
      </c>
      <c r="D2009" s="2" t="str">
        <f t="shared" si="30"/>
        <v>Error?</v>
      </c>
    </row>
    <row r="2010" spans="1:4" x14ac:dyDescent="0.2">
      <c r="A2010" s="5">
        <v>1949</v>
      </c>
      <c r="B2010" s="138">
        <f>'Cap Outlay Deprec 26'!C10</f>
        <v>161697547</v>
      </c>
      <c r="D2010" s="2" t="str">
        <f t="shared" si="30"/>
        <v>Error?</v>
      </c>
    </row>
    <row r="2011" spans="1:4" x14ac:dyDescent="0.2">
      <c r="A2011" s="5">
        <v>1950</v>
      </c>
      <c r="B2011" s="138">
        <f>'Cap Outlay Deprec 26'!C12</f>
        <v>0</v>
      </c>
      <c r="D2011" s="2" t="str">
        <f t="shared" si="30"/>
        <v>Error?</v>
      </c>
    </row>
    <row r="2012" spans="1:4" x14ac:dyDescent="0.2">
      <c r="A2012" s="5">
        <v>1951</v>
      </c>
      <c r="B2012" s="138">
        <f>'Cap Outlay Deprec 26'!C13</f>
        <v>60330577</v>
      </c>
      <c r="D2012" s="2" t="str">
        <f t="shared" si="30"/>
        <v>Error?</v>
      </c>
    </row>
    <row r="2013" spans="1:4" x14ac:dyDescent="0.2">
      <c r="A2013" s="5">
        <v>1952</v>
      </c>
      <c r="B2013" s="138">
        <f>'Cap Outlay Deprec 26'!C16</f>
        <v>10352253072</v>
      </c>
      <c r="C2013" s="2" t="s">
        <v>573</v>
      </c>
      <c r="D2013" s="2" t="str">
        <f t="shared" si="30"/>
        <v>Error?</v>
      </c>
    </row>
    <row r="2014" spans="1:4" x14ac:dyDescent="0.2">
      <c r="A2014" s="5">
        <v>1953</v>
      </c>
      <c r="B2014" s="138">
        <f>'Cap Outlay Deprec 26'!D5</f>
        <v>18009138</v>
      </c>
      <c r="D2014" s="2" t="str">
        <f t="shared" si="30"/>
        <v>Error?</v>
      </c>
    </row>
    <row r="2015" spans="1:4" x14ac:dyDescent="0.2">
      <c r="A2015" s="5">
        <v>1954</v>
      </c>
      <c r="B2015" s="138">
        <f>'Cap Outlay Deprec 26'!D8</f>
        <v>152387864</v>
      </c>
      <c r="D2015" s="2" t="str">
        <f t="shared" si="30"/>
        <v>Error?</v>
      </c>
    </row>
    <row r="2016" spans="1:4" x14ac:dyDescent="0.2">
      <c r="A2016" s="5">
        <v>1955</v>
      </c>
      <c r="B2016" s="138">
        <f>'Cap Outlay Deprec 26'!D10</f>
        <v>373437</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924027</v>
      </c>
      <c r="D2018" s="2" t="str">
        <f t="shared" si="30"/>
        <v>Error?</v>
      </c>
    </row>
    <row r="2019" spans="1:4" x14ac:dyDescent="0.2">
      <c r="A2019" s="5">
        <v>1958</v>
      </c>
      <c r="B2019" s="138">
        <f>'Cap Outlay Deprec 26'!D16</f>
        <v>694924739</v>
      </c>
      <c r="C2019" s="2" t="s">
        <v>573</v>
      </c>
      <c r="D2019" s="2" t="str">
        <f t="shared" si="30"/>
        <v>Error?</v>
      </c>
    </row>
    <row r="2020" spans="1:4" x14ac:dyDescent="0.2">
      <c r="A2020" s="5">
        <v>1959</v>
      </c>
      <c r="B2020" s="138">
        <f>'Cap Outlay Deprec 26'!E5</f>
        <v>11043629</v>
      </c>
      <c r="D2020" s="2" t="str">
        <f t="shared" si="30"/>
        <v>Error?</v>
      </c>
    </row>
    <row r="2021" spans="1:4" x14ac:dyDescent="0.2">
      <c r="A2021" s="5">
        <v>1960</v>
      </c>
      <c r="B2021" s="138">
        <f>'Cap Outlay Deprec 26'!E8</f>
        <v>12062825</v>
      </c>
      <c r="D2021" s="2" t="str">
        <f t="shared" si="30"/>
        <v>Error?</v>
      </c>
    </row>
    <row r="2022" spans="1:4" x14ac:dyDescent="0.2">
      <c r="A2022" s="5">
        <v>1961</v>
      </c>
      <c r="B2022" s="138">
        <f>'Cap Outlay Deprec 26'!E10</f>
        <v>13739735</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204925791</v>
      </c>
      <c r="C2025" s="2" t="s">
        <v>573</v>
      </c>
      <c r="D2025" s="2" t="str">
        <f t="shared" si="30"/>
        <v>Error?</v>
      </c>
    </row>
    <row r="2026" spans="1:4" x14ac:dyDescent="0.2">
      <c r="A2026" s="5">
        <v>1965</v>
      </c>
      <c r="B2026" s="138">
        <f>'Cap Outlay Deprec 26'!F5</f>
        <v>335249916</v>
      </c>
      <c r="C2026" s="2" t="s">
        <v>573</v>
      </c>
      <c r="D2026" s="2" t="str">
        <f t="shared" si="30"/>
        <v>Error?</v>
      </c>
    </row>
    <row r="2027" spans="1:4" x14ac:dyDescent="0.2">
      <c r="A2027" s="5">
        <v>1966</v>
      </c>
      <c r="B2027" s="138">
        <f>'Cap Outlay Deprec 26'!F8</f>
        <v>9644709850</v>
      </c>
      <c r="C2027" s="2" t="s">
        <v>573</v>
      </c>
      <c r="D2027" s="2" t="str">
        <f t="shared" si="30"/>
        <v>Error?</v>
      </c>
    </row>
    <row r="2028" spans="1:4" x14ac:dyDescent="0.2">
      <c r="A2028" s="5">
        <v>1967</v>
      </c>
      <c r="B2028" s="138">
        <f>'Cap Outlay Deprec 26'!F10</f>
        <v>148331249</v>
      </c>
      <c r="C2028" s="2" t="s">
        <v>573</v>
      </c>
      <c r="D2028" s="2" t="str">
        <f t="shared" si="30"/>
        <v>Error?</v>
      </c>
    </row>
    <row r="2029" spans="1:4" x14ac:dyDescent="0.2">
      <c r="A2029" s="5">
        <v>1968</v>
      </c>
      <c r="B2029" s="138">
        <f>'Cap Outlay Deprec 26'!F12</f>
        <v>0</v>
      </c>
      <c r="C2029" s="2" t="s">
        <v>573</v>
      </c>
      <c r="D2029" s="2" t="str">
        <f t="shared" si="30"/>
        <v>Error?</v>
      </c>
    </row>
    <row r="2030" spans="1:4" x14ac:dyDescent="0.2">
      <c r="A2030" s="5">
        <v>1969</v>
      </c>
      <c r="B2030" s="138">
        <f>'Cap Outlay Deprec 26'!F13</f>
        <v>61254604</v>
      </c>
      <c r="C2030" s="2" t="s">
        <v>573</v>
      </c>
      <c r="D2030" s="2" t="str">
        <f t="shared" si="30"/>
        <v>Error?</v>
      </c>
    </row>
    <row r="2031" spans="1:4" x14ac:dyDescent="0.2">
      <c r="A2031" s="5">
        <v>1970</v>
      </c>
      <c r="B2031" s="138">
        <f>'Cap Outlay Deprec 26'!F16</f>
        <v>10842252020</v>
      </c>
      <c r="C2031" s="2" t="s">
        <v>573</v>
      </c>
      <c r="D2031" s="2" t="str">
        <f t="shared" si="30"/>
        <v>Error?</v>
      </c>
    </row>
    <row r="2032" spans="1:4" x14ac:dyDescent="0.2">
      <c r="A2032" s="10">
        <v>1971</v>
      </c>
      <c r="D2032" s="2" t="str">
        <f t="shared" si="30"/>
        <v>OK</v>
      </c>
    </row>
    <row r="2033" spans="1:4" x14ac:dyDescent="0.2">
      <c r="A2033" s="5">
        <v>1972</v>
      </c>
      <c r="B2033" s="138">
        <f>'Cap Outlay Deprec 26'!H8</f>
        <v>4239583038</v>
      </c>
      <c r="D2033" s="2" t="str">
        <f t="shared" si="30"/>
        <v>Error?</v>
      </c>
    </row>
    <row r="2034" spans="1:4" x14ac:dyDescent="0.2">
      <c r="A2034" s="5">
        <v>1973</v>
      </c>
      <c r="B2034" s="138">
        <f>'Cap Outlay Deprec 26'!H10</f>
        <v>91532620</v>
      </c>
      <c r="D2034" s="2" t="str">
        <f t="shared" si="30"/>
        <v>Error?</v>
      </c>
    </row>
    <row r="2035" spans="1:4" x14ac:dyDescent="0.2">
      <c r="A2035" s="5">
        <v>1974</v>
      </c>
      <c r="B2035" s="138">
        <f>'Cap Outlay Deprec 26'!H12</f>
        <v>0</v>
      </c>
      <c r="D2035" s="2" t="str">
        <f t="shared" si="30"/>
        <v>Error?</v>
      </c>
    </row>
    <row r="2036" spans="1:4" x14ac:dyDescent="0.2">
      <c r="A2036" s="5">
        <v>1975</v>
      </c>
      <c r="B2036" s="138">
        <f>'Cap Outlay Deprec 26'!H13</f>
        <v>54776597</v>
      </c>
      <c r="D2036" s="2" t="str">
        <f t="shared" si="30"/>
        <v>Error?</v>
      </c>
    </row>
    <row r="2037" spans="1:4" x14ac:dyDescent="0.2">
      <c r="A2037" s="5">
        <v>1976</v>
      </c>
      <c r="B2037" s="138">
        <f>'Cap Outlay Deprec 26'!H16</f>
        <v>4391757146</v>
      </c>
      <c r="C2037" s="2" t="s">
        <v>573</v>
      </c>
      <c r="D2037" s="2" t="str">
        <f t="shared" si="30"/>
        <v>Error?</v>
      </c>
    </row>
    <row r="2038" spans="1:4" x14ac:dyDescent="0.2">
      <c r="A2038" s="10">
        <v>1977</v>
      </c>
      <c r="D2038" s="2" t="str">
        <f t="shared" si="30"/>
        <v>OK</v>
      </c>
    </row>
    <row r="2039" spans="1:4" x14ac:dyDescent="0.2">
      <c r="A2039" s="5">
        <v>1978</v>
      </c>
      <c r="B2039" s="138">
        <f>'Cap Outlay Deprec 26'!I8</f>
        <v>286559551</v>
      </c>
      <c r="D2039" s="2" t="str">
        <f t="shared" si="30"/>
        <v>Error?</v>
      </c>
    </row>
    <row r="2040" spans="1:4" x14ac:dyDescent="0.2">
      <c r="A2040" s="5">
        <v>1979</v>
      </c>
      <c r="B2040" s="138">
        <f>'Cap Outlay Deprec 26'!I10</f>
        <v>7662410</v>
      </c>
      <c r="D2040" s="2" t="str">
        <f t="shared" si="30"/>
        <v>Error?</v>
      </c>
    </row>
    <row r="2041" spans="1:4" x14ac:dyDescent="0.2">
      <c r="A2041" s="5">
        <v>1980</v>
      </c>
      <c r="B2041" s="138">
        <f>'Cap Outlay Deprec 26'!I12</f>
        <v>0</v>
      </c>
      <c r="D2041" s="2" t="str">
        <f t="shared" si="30"/>
        <v>Error?</v>
      </c>
    </row>
    <row r="2042" spans="1:4" x14ac:dyDescent="0.2">
      <c r="A2042" s="5">
        <v>1981</v>
      </c>
      <c r="B2042" s="138">
        <f>'Cap Outlay Deprec 26'!I13</f>
        <v>5321339</v>
      </c>
      <c r="D2042" s="2" t="str">
        <f t="shared" si="30"/>
        <v>Error?</v>
      </c>
    </row>
    <row r="2043" spans="1:4" x14ac:dyDescent="0.2">
      <c r="A2043" s="5">
        <v>1982</v>
      </c>
      <c r="B2043" s="138">
        <f>'Cap Outlay Deprec 26'!I16</f>
        <v>300307457</v>
      </c>
      <c r="C2043" s="2" t="s">
        <v>573</v>
      </c>
      <c r="D2043" s="2" t="str">
        <f t="shared" si="30"/>
        <v>Error?</v>
      </c>
    </row>
    <row r="2044" spans="1:4" x14ac:dyDescent="0.2">
      <c r="A2044" s="10">
        <v>1983</v>
      </c>
      <c r="D2044" s="2" t="str">
        <f t="shared" si="30"/>
        <v>OK</v>
      </c>
    </row>
    <row r="2045" spans="1:4" x14ac:dyDescent="0.2">
      <c r="A2045" s="5">
        <v>1984</v>
      </c>
      <c r="B2045" s="138">
        <f>'Cap Outlay Deprec 26'!J8</f>
        <v>12038336</v>
      </c>
      <c r="D2045" s="2" t="str">
        <f t="shared" si="30"/>
        <v>Error?</v>
      </c>
    </row>
    <row r="2046" spans="1:4" x14ac:dyDescent="0.2">
      <c r="A2046" s="5">
        <v>1985</v>
      </c>
      <c r="B2046" s="138">
        <f>'Cap Outlay Deprec 26'!J10</f>
        <v>12333634</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28491756</v>
      </c>
      <c r="C2049" s="2" t="s">
        <v>573</v>
      </c>
      <c r="D2049" s="2" t="str">
        <f t="shared" si="31"/>
        <v>Error?</v>
      </c>
    </row>
    <row r="2050" spans="1:4" x14ac:dyDescent="0.2">
      <c r="A2050" s="10">
        <v>1989</v>
      </c>
      <c r="D2050" s="2" t="str">
        <f t="shared" si="31"/>
        <v>OK</v>
      </c>
    </row>
    <row r="2051" spans="1:4" x14ac:dyDescent="0.2">
      <c r="A2051" s="5">
        <v>1990</v>
      </c>
      <c r="B2051" s="138">
        <f>'Cap Outlay Deprec 26'!K8</f>
        <v>4514104253</v>
      </c>
      <c r="C2051" s="2" t="s">
        <v>573</v>
      </c>
      <c r="D2051" s="2" t="str">
        <f t="shared" si="31"/>
        <v>Error?</v>
      </c>
    </row>
    <row r="2052" spans="1:4" x14ac:dyDescent="0.2">
      <c r="A2052" s="5">
        <v>1991</v>
      </c>
      <c r="B2052" s="138">
        <f>'Cap Outlay Deprec 26'!K10</f>
        <v>86861396</v>
      </c>
      <c r="C2052" s="2" t="s">
        <v>573</v>
      </c>
      <c r="D2052" s="2" t="str">
        <f t="shared" si="31"/>
        <v>Error?</v>
      </c>
    </row>
    <row r="2053" spans="1:4" x14ac:dyDescent="0.2">
      <c r="A2053" s="5">
        <v>1992</v>
      </c>
      <c r="B2053" s="138">
        <f>'Cap Outlay Deprec 26'!K12</f>
        <v>0</v>
      </c>
      <c r="C2053" s="2" t="s">
        <v>573</v>
      </c>
      <c r="D2053" s="2" t="str">
        <f t="shared" si="31"/>
        <v>Error?</v>
      </c>
    </row>
    <row r="2054" spans="1:4" x14ac:dyDescent="0.2">
      <c r="A2054" s="5">
        <v>1993</v>
      </c>
      <c r="B2054" s="138">
        <f>'Cap Outlay Deprec 26'!K13</f>
        <v>60097936</v>
      </c>
      <c r="C2054" s="2" t="s">
        <v>573</v>
      </c>
      <c r="D2054" s="2" t="str">
        <f t="shared" si="31"/>
        <v>Error?</v>
      </c>
    </row>
    <row r="2055" spans="1:4" x14ac:dyDescent="0.2">
      <c r="A2055" s="5">
        <v>1994</v>
      </c>
      <c r="B2055" s="138">
        <f>'Cap Outlay Deprec 26'!K16</f>
        <v>4663572847</v>
      </c>
      <c r="C2055" s="2" t="s">
        <v>573</v>
      </c>
      <c r="D2055" s="2" t="str">
        <f t="shared" si="31"/>
        <v>Error?</v>
      </c>
    </row>
    <row r="2056" spans="1:4" x14ac:dyDescent="0.2">
      <c r="A2056" s="5">
        <v>1995</v>
      </c>
      <c r="B2056" s="138">
        <f>'Cap Outlay Deprec 26'!L5</f>
        <v>335249916</v>
      </c>
      <c r="C2056" s="2" t="s">
        <v>573</v>
      </c>
      <c r="D2056" s="2" t="str">
        <f t="shared" si="31"/>
        <v>Error?</v>
      </c>
    </row>
    <row r="2057" spans="1:4" x14ac:dyDescent="0.2">
      <c r="A2057" s="5">
        <v>1996</v>
      </c>
      <c r="B2057" s="138">
        <f>'Cap Outlay Deprec 26'!L8</f>
        <v>5130605597</v>
      </c>
      <c r="C2057" s="2" t="s">
        <v>573</v>
      </c>
      <c r="D2057" s="2" t="str">
        <f t="shared" si="31"/>
        <v>Error?</v>
      </c>
    </row>
    <row r="2058" spans="1:4" x14ac:dyDescent="0.2">
      <c r="A2058" s="5">
        <v>1997</v>
      </c>
      <c r="B2058" s="138">
        <f>'Cap Outlay Deprec 26'!L10</f>
        <v>61469853</v>
      </c>
      <c r="C2058" s="2" t="s">
        <v>573</v>
      </c>
      <c r="D2058" s="2" t="str">
        <f t="shared" si="31"/>
        <v>Error?</v>
      </c>
    </row>
    <row r="2059" spans="1:4" x14ac:dyDescent="0.2">
      <c r="A2059" s="5">
        <v>1998</v>
      </c>
      <c r="B2059" s="138">
        <f>'Cap Outlay Deprec 26'!L12</f>
        <v>0</v>
      </c>
      <c r="C2059" s="2" t="s">
        <v>573</v>
      </c>
      <c r="D2059" s="2" t="str">
        <f t="shared" si="31"/>
        <v>Error?</v>
      </c>
    </row>
    <row r="2060" spans="1:4" x14ac:dyDescent="0.2">
      <c r="A2060" s="5">
        <v>1999</v>
      </c>
      <c r="B2060" s="138">
        <f>'Cap Outlay Deprec 26'!L13</f>
        <v>1156668</v>
      </c>
      <c r="C2060" s="2" t="s">
        <v>573</v>
      </c>
      <c r="D2060" s="2" t="str">
        <f t="shared" si="31"/>
        <v>Error?</v>
      </c>
    </row>
    <row r="2061" spans="1:4" x14ac:dyDescent="0.2">
      <c r="A2061" s="5">
        <v>2000</v>
      </c>
      <c r="B2061" s="138">
        <f>'Cap Outlay Deprec 26'!L16</f>
        <v>6178679173</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165309</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69201295</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125468609</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774041847</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716746581</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3249167565</v>
      </c>
      <c r="C2551" s="2" t="s">
        <v>573</v>
      </c>
      <c r="D2551" s="2" t="str">
        <f t="shared" si="38"/>
        <v>Error?</v>
      </c>
    </row>
    <row r="2552" spans="1:4" x14ac:dyDescent="0.2">
      <c r="A2552" s="10">
        <v>2491</v>
      </c>
      <c r="D2552" s="2" t="str">
        <f t="shared" si="38"/>
        <v>OK</v>
      </c>
    </row>
    <row r="2553" spans="1:4" x14ac:dyDescent="0.2">
      <c r="A2553" s="5">
        <v>2492</v>
      </c>
      <c r="B2553" s="138">
        <f>'Acct Summary 7-8'!C6</f>
        <v>1276006425</v>
      </c>
      <c r="C2553" s="2" t="s">
        <v>573</v>
      </c>
      <c r="D2553" s="2" t="str">
        <f t="shared" si="38"/>
        <v>Error?</v>
      </c>
    </row>
    <row r="2554" spans="1:4" x14ac:dyDescent="0.2">
      <c r="A2554" s="5">
        <v>2493</v>
      </c>
      <c r="B2554" s="138">
        <f>'Acct Summary 7-8'!C7</f>
        <v>666438999</v>
      </c>
      <c r="C2554" s="2" t="s">
        <v>573</v>
      </c>
      <c r="D2554" s="2" t="str">
        <f t="shared" si="38"/>
        <v>Error?</v>
      </c>
    </row>
    <row r="2555" spans="1:4" x14ac:dyDescent="0.2">
      <c r="A2555" s="5">
        <v>2494</v>
      </c>
      <c r="B2555" s="138">
        <f>'Acct Summary 7-8'!C8</f>
        <v>5191612989</v>
      </c>
      <c r="C2555" s="2" t="s">
        <v>573</v>
      </c>
      <c r="D2555" s="2" t="str">
        <f t="shared" si="38"/>
        <v>Error?</v>
      </c>
    </row>
    <row r="2556" spans="1:4" x14ac:dyDescent="0.2">
      <c r="A2556" s="5">
        <v>2495</v>
      </c>
      <c r="B2556" s="138">
        <f>'Acct Summary 7-8'!C12</f>
        <v>3610774046</v>
      </c>
      <c r="C2556" s="2" t="s">
        <v>573</v>
      </c>
      <c r="D2556" s="2" t="str">
        <f t="shared" si="38"/>
        <v>Error?</v>
      </c>
    </row>
    <row r="2557" spans="1:4" x14ac:dyDescent="0.2">
      <c r="A2557" s="5">
        <v>2496</v>
      </c>
      <c r="B2557" s="138">
        <f>'Acct Summary 7-8'!C13</f>
        <v>1291840933</v>
      </c>
      <c r="C2557" s="2" t="s">
        <v>573</v>
      </c>
      <c r="D2557" s="2" t="str">
        <f t="shared" si="38"/>
        <v>Error?</v>
      </c>
    </row>
    <row r="2558" spans="1:4" x14ac:dyDescent="0.2">
      <c r="A2558" s="5">
        <v>2497</v>
      </c>
      <c r="B2558" s="138">
        <f>'Acct Summary 7-8'!C14</f>
        <v>63798471</v>
      </c>
      <c r="C2558" s="2" t="s">
        <v>573</v>
      </c>
      <c r="D2558" s="2" t="str">
        <f t="shared" si="38"/>
        <v>Error?</v>
      </c>
    </row>
    <row r="2559" spans="1:4" x14ac:dyDescent="0.2">
      <c r="A2559" s="5">
        <v>2498</v>
      </c>
      <c r="B2559" s="138">
        <f>'Acct Summary 7-8'!C15</f>
        <v>69201295</v>
      </c>
      <c r="C2559" s="2" t="s">
        <v>573</v>
      </c>
      <c r="D2559" s="2" t="str">
        <f t="shared" ref="D2559:D2622" si="39">IF(ISBLANK(B2559),"OK",IF(A2559-B2559=0,"OK","Error?"))</f>
        <v>Error?</v>
      </c>
    </row>
    <row r="2560" spans="1:4" x14ac:dyDescent="0.2">
      <c r="A2560" s="5">
        <v>2499</v>
      </c>
      <c r="B2560" s="138">
        <f>'Acct Summary 7-8'!C16</f>
        <v>6659083</v>
      </c>
      <c r="C2560" s="2" t="s">
        <v>573</v>
      </c>
      <c r="D2560" s="2" t="str">
        <f t="shared" si="39"/>
        <v>Error?</v>
      </c>
    </row>
    <row r="2561" spans="1:4" x14ac:dyDescent="0.2">
      <c r="A2561" s="5">
        <v>2500</v>
      </c>
      <c r="B2561" s="138">
        <f>'Acct Summary 7-8'!C17</f>
        <v>5042273828</v>
      </c>
      <c r="C2561" s="2" t="s">
        <v>573</v>
      </c>
      <c r="D2561" s="2" t="str">
        <f t="shared" si="39"/>
        <v>Error?</v>
      </c>
    </row>
    <row r="2562" spans="1:4" x14ac:dyDescent="0.2">
      <c r="A2562" s="5">
        <v>2501</v>
      </c>
      <c r="B2562" s="138">
        <f>'Acct Summary 7-8'!C20</f>
        <v>149339161</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8030483</v>
      </c>
      <c r="C2564" s="2" t="s">
        <v>573</v>
      </c>
      <c r="D2564" s="2" t="str">
        <f t="shared" si="39"/>
        <v>Error?</v>
      </c>
    </row>
    <row r="2565" spans="1:4" x14ac:dyDescent="0.2">
      <c r="A2565" s="10">
        <v>2504</v>
      </c>
      <c r="D2565" s="2" t="str">
        <f t="shared" si="39"/>
        <v>OK</v>
      </c>
    </row>
    <row r="2566" spans="1:4" x14ac:dyDescent="0.2">
      <c r="A2566" s="5">
        <v>2505</v>
      </c>
      <c r="B2566" s="138">
        <f>'Acct Summary 7-8'!D6</f>
        <v>371894094</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379924577</v>
      </c>
      <c r="C2568" s="2" t="s">
        <v>573</v>
      </c>
      <c r="D2568" s="2" t="str">
        <f t="shared" si="39"/>
        <v>Error?</v>
      </c>
    </row>
    <row r="2569" spans="1:4" x14ac:dyDescent="0.2">
      <c r="A2569" s="5">
        <v>2508</v>
      </c>
      <c r="B2569" s="138">
        <f>'Acct Summary 7-8'!D13</f>
        <v>379924577</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379924577</v>
      </c>
      <c r="C2573" s="2" t="s">
        <v>573</v>
      </c>
      <c r="D2573" s="2" t="str">
        <f t="shared" si="39"/>
        <v>Error?</v>
      </c>
    </row>
    <row r="2574" spans="1:4" x14ac:dyDescent="0.2">
      <c r="A2574" s="5">
        <v>2513</v>
      </c>
      <c r="B2574" s="138">
        <f>'Acct Summary 7-8'!D20</f>
        <v>0</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0</v>
      </c>
      <c r="C2591" s="2" t="s">
        <v>573</v>
      </c>
      <c r="D2591" s="2" t="str">
        <f t="shared" si="39"/>
        <v>Error?</v>
      </c>
    </row>
    <row r="2592" spans="1:4" x14ac:dyDescent="0.2">
      <c r="A2592" s="10">
        <v>2531</v>
      </c>
      <c r="D2592" s="2" t="str">
        <f t="shared" si="39"/>
        <v>OK</v>
      </c>
    </row>
    <row r="2593" spans="1:4" x14ac:dyDescent="0.2">
      <c r="A2593" s="5">
        <v>2532</v>
      </c>
      <c r="B2593" s="138">
        <f>'Acct Summary 7-8'!F6</f>
        <v>0</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0</v>
      </c>
      <c r="C2595" s="2" t="s">
        <v>573</v>
      </c>
      <c r="D2595" s="2" t="str">
        <f t="shared" si="39"/>
        <v>Error?</v>
      </c>
    </row>
    <row r="2596" spans="1:4" x14ac:dyDescent="0.2">
      <c r="A2596" s="5">
        <v>2535</v>
      </c>
      <c r="B2596" s="138">
        <f>'Acct Summary 7-8'!F13</f>
        <v>0</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0</v>
      </c>
      <c r="C2600" s="2" t="s">
        <v>573</v>
      </c>
      <c r="D2600" s="2" t="str">
        <f t="shared" si="39"/>
        <v>Error?</v>
      </c>
    </row>
    <row r="2601" spans="1:4" x14ac:dyDescent="0.2">
      <c r="A2601" s="5">
        <v>2540</v>
      </c>
      <c r="B2601" s="138">
        <f>'Acct Summary 7-8'!F20</f>
        <v>0</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0</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0</v>
      </c>
      <c r="C2606" s="2" t="s">
        <v>573</v>
      </c>
      <c r="D2606" s="2" t="str">
        <f t="shared" si="39"/>
        <v>Error?</v>
      </c>
    </row>
    <row r="2607" spans="1:4" x14ac:dyDescent="0.2">
      <c r="A2607" s="5">
        <v>2546</v>
      </c>
      <c r="B2607" s="138">
        <f>'Acct Summary 7-8'!G12</f>
        <v>0</v>
      </c>
      <c r="C2607" s="2" t="s">
        <v>573</v>
      </c>
      <c r="D2607" s="2" t="str">
        <f t="shared" si="39"/>
        <v>Error?</v>
      </c>
    </row>
    <row r="2608" spans="1:4" x14ac:dyDescent="0.2">
      <c r="A2608" s="5">
        <v>2547</v>
      </c>
      <c r="B2608" s="138">
        <f>'Acct Summary 7-8'!G13</f>
        <v>0</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0</v>
      </c>
      <c r="C2612" s="2" t="s">
        <v>573</v>
      </c>
      <c r="D2612" s="2" t="str">
        <f t="shared" si="39"/>
        <v>Error?</v>
      </c>
    </row>
    <row r="2613" spans="1:4" x14ac:dyDescent="0.2">
      <c r="A2613" s="5">
        <v>2552</v>
      </c>
      <c r="B2613" s="138">
        <f>'Acct Summary 7-8'!G20</f>
        <v>0</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252169494</v>
      </c>
      <c r="C2630" s="2" t="s">
        <v>573</v>
      </c>
      <c r="D2630" s="2" t="str">
        <f t="shared" si="40"/>
        <v>Error?</v>
      </c>
    </row>
    <row r="2631" spans="1:4" x14ac:dyDescent="0.2">
      <c r="A2631" s="5">
        <v>2570</v>
      </c>
      <c r="B2631" s="138">
        <f>'Acct Summary 7-8'!E6</f>
        <v>282656538</v>
      </c>
      <c r="C2631" s="2" t="s">
        <v>573</v>
      </c>
      <c r="D2631" s="2" t="str">
        <f t="shared" si="40"/>
        <v>Error?</v>
      </c>
    </row>
    <row r="2632" spans="1:4" x14ac:dyDescent="0.2">
      <c r="A2632" s="5">
        <v>2571</v>
      </c>
      <c r="B2632" s="138">
        <f>'Acct Summary 7-8'!E8</f>
        <v>559712917</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629554828</v>
      </c>
      <c r="C2634" s="2" t="s">
        <v>573</v>
      </c>
      <c r="D2634" s="2" t="str">
        <f t="shared" si="40"/>
        <v>Error?</v>
      </c>
    </row>
    <row r="2635" spans="1:4" x14ac:dyDescent="0.2">
      <c r="A2635" s="5">
        <v>2574</v>
      </c>
      <c r="B2635" s="138">
        <f>'Acct Summary 7-8'!E17</f>
        <v>629554828</v>
      </c>
      <c r="C2635" s="2" t="s">
        <v>573</v>
      </c>
      <c r="D2635" s="2" t="str">
        <f t="shared" si="40"/>
        <v>Error?</v>
      </c>
    </row>
    <row r="2636" spans="1:4" x14ac:dyDescent="0.2">
      <c r="A2636" s="5">
        <v>2575</v>
      </c>
      <c r="B2636" s="138">
        <f>'Acct Summary 7-8'!E20</f>
        <v>-69841911</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62883381</v>
      </c>
      <c r="C2655" s="2" t="s">
        <v>573</v>
      </c>
      <c r="D2655" s="2" t="str">
        <f t="shared" si="40"/>
        <v>Error?</v>
      </c>
    </row>
    <row r="2656" spans="1:4" x14ac:dyDescent="0.2">
      <c r="A2656" s="5">
        <v>2595</v>
      </c>
      <c r="B2656" s="138">
        <f>'Acct Summary 7-8'!H6</f>
        <v>13515104</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76398485</v>
      </c>
      <c r="C2658" s="2" t="s">
        <v>573</v>
      </c>
      <c r="D2658" s="2" t="str">
        <f t="shared" si="40"/>
        <v>Error?</v>
      </c>
    </row>
    <row r="2659" spans="1:4" x14ac:dyDescent="0.2">
      <c r="A2659" s="5">
        <v>2598</v>
      </c>
      <c r="B2659" s="138">
        <f>'Acct Summary 7-8'!H13</f>
        <v>612371252</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612371252</v>
      </c>
      <c r="C2661" s="2" t="s">
        <v>573</v>
      </c>
      <c r="D2661" s="2" t="str">
        <f t="shared" si="40"/>
        <v>Error?</v>
      </c>
    </row>
    <row r="2662" spans="1:4" x14ac:dyDescent="0.2">
      <c r="A2662" s="5">
        <v>2601</v>
      </c>
      <c r="B2662" s="138">
        <f>'Acct Summary 7-8'!H20</f>
        <v>-535972767</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7964710</v>
      </c>
      <c r="D2718" s="2" t="str">
        <f t="shared" si="41"/>
        <v>Error?</v>
      </c>
    </row>
    <row r="2719" spans="1:4" x14ac:dyDescent="0.2">
      <c r="A2719" s="5">
        <v>2658</v>
      </c>
      <c r="B2719" s="138">
        <f>'Expenditures 15-22'!D51</f>
        <v>1407075</v>
      </c>
      <c r="D2719" s="2" t="str">
        <f t="shared" si="41"/>
        <v>Error?</v>
      </c>
    </row>
    <row r="2720" spans="1:4" x14ac:dyDescent="0.2">
      <c r="A2720" s="5">
        <v>2659</v>
      </c>
      <c r="B2720" s="138">
        <f>'Expenditures 15-22'!E51</f>
        <v>1155943</v>
      </c>
      <c r="D2720" s="2" t="str">
        <f t="shared" si="41"/>
        <v>Error?</v>
      </c>
    </row>
    <row r="2721" spans="1:4" x14ac:dyDescent="0.2">
      <c r="A2721" s="5">
        <v>2660</v>
      </c>
      <c r="B2721" s="138">
        <f>'Expenditures 15-22'!F51</f>
        <v>108293</v>
      </c>
      <c r="D2721" s="2" t="str">
        <f t="shared" si="41"/>
        <v>Error?</v>
      </c>
    </row>
    <row r="2722" spans="1:4" x14ac:dyDescent="0.2">
      <c r="A2722" s="5">
        <v>2661</v>
      </c>
      <c r="B2722" s="138">
        <f>'Expenditures 15-22'!G51</f>
        <v>12800</v>
      </c>
      <c r="D2722" s="2" t="str">
        <f t="shared" si="41"/>
        <v>Error?</v>
      </c>
    </row>
    <row r="2723" spans="1:4" x14ac:dyDescent="0.2">
      <c r="A2723" s="5">
        <v>2662</v>
      </c>
      <c r="B2723" s="138">
        <f>'Expenditures 15-22'!H51</f>
        <v>123709</v>
      </c>
      <c r="D2723" s="2" t="str">
        <f t="shared" si="41"/>
        <v>Error?</v>
      </c>
    </row>
    <row r="2724" spans="1:4" x14ac:dyDescent="0.2">
      <c r="A2724" s="5">
        <v>2663</v>
      </c>
      <c r="B2724" s="138">
        <f>'Expenditures 15-22'!K51</f>
        <v>11081928</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475020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69035986</v>
      </c>
      <c r="C2789" s="2" t="s">
        <v>573</v>
      </c>
      <c r="D2789" s="2" t="str">
        <f t="shared" si="42"/>
        <v>Error?</v>
      </c>
    </row>
    <row r="2790" spans="1:4" x14ac:dyDescent="0.2">
      <c r="A2790" s="5">
        <v>2729</v>
      </c>
      <c r="B2790" s="138">
        <f>'Expenditures 15-22'!E102</f>
        <v>69035986</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6659083</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6659083</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268189</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206831</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17995949</v>
      </c>
      <c r="D2862" s="2" t="str">
        <f t="shared" si="43"/>
        <v>Error?</v>
      </c>
    </row>
    <row r="2863" spans="1:4" x14ac:dyDescent="0.2">
      <c r="A2863" s="10">
        <v>2802</v>
      </c>
      <c r="D2863" s="2" t="str">
        <f t="shared" si="43"/>
        <v>OK</v>
      </c>
    </row>
    <row r="2864" spans="1:4" x14ac:dyDescent="0.2">
      <c r="A2864" s="5">
        <v>2803</v>
      </c>
      <c r="B2864" s="138">
        <f>'Assets-Liab 5-6'!M20</f>
        <v>648898318</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0</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0</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0</v>
      </c>
      <c r="C2913" s="2" t="s">
        <v>573</v>
      </c>
      <c r="D2913" s="2" t="str">
        <f t="shared" si="44"/>
        <v>Error?</v>
      </c>
    </row>
    <row r="2914" spans="1:4" x14ac:dyDescent="0.2">
      <c r="A2914" s="5">
        <v>2853</v>
      </c>
      <c r="B2914" s="138">
        <f>'Assets-Liab 5-6'!L33</f>
        <v>0</v>
      </c>
      <c r="D2914" s="2" t="str">
        <f t="shared" si="44"/>
        <v>Error?</v>
      </c>
    </row>
    <row r="2915" spans="1:4" x14ac:dyDescent="0.2">
      <c r="A2915" s="10">
        <v>2854</v>
      </c>
      <c r="D2915" s="2" t="str">
        <f t="shared" si="44"/>
        <v>OK</v>
      </c>
    </row>
    <row r="2916" spans="1:4" x14ac:dyDescent="0.2">
      <c r="A2916" s="5">
        <v>2855</v>
      </c>
      <c r="B2916" s="138">
        <f>'Assets-Liab 5-6'!L34</f>
        <v>0</v>
      </c>
      <c r="C2916" s="2" t="s">
        <v>573</v>
      </c>
      <c r="D2916" s="2" t="str">
        <f t="shared" si="44"/>
        <v>Error?</v>
      </c>
    </row>
    <row r="2917" spans="1:4" x14ac:dyDescent="0.2">
      <c r="A2917" s="5">
        <v>2856</v>
      </c>
      <c r="B2917" s="138">
        <f>'Assets-Liab 5-6'!L41</f>
        <v>0</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69035986</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165309</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69201295</v>
      </c>
      <c r="C2973" s="2" t="s">
        <v>573</v>
      </c>
      <c r="D2973" s="2" t="str">
        <f t="shared" si="45"/>
        <v>Error?</v>
      </c>
    </row>
    <row r="2974" spans="1:4" x14ac:dyDescent="0.2">
      <c r="A2974" s="5">
        <v>2913</v>
      </c>
      <c r="B2974" s="138">
        <f>'Expenditures 15-22'!K79</f>
        <v>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1040005</v>
      </c>
      <c r="D3055" s="2" t="str">
        <f t="shared" si="46"/>
        <v>Error?</v>
      </c>
    </row>
    <row r="3056" spans="1:4" x14ac:dyDescent="0.2">
      <c r="A3056" s="5">
        <v>2995</v>
      </c>
      <c r="B3056" s="138">
        <f>'Expenditures 15-22'!D10</f>
        <v>218574</v>
      </c>
      <c r="D3056" s="2" t="str">
        <f t="shared" si="46"/>
        <v>Error?</v>
      </c>
    </row>
    <row r="3057" spans="1:4" x14ac:dyDescent="0.2">
      <c r="A3057" s="5">
        <v>2996</v>
      </c>
      <c r="B3057" s="138">
        <f>'Expenditures 15-22'!E10</f>
        <v>1644664</v>
      </c>
      <c r="D3057" s="2" t="str">
        <f t="shared" si="46"/>
        <v>Error?</v>
      </c>
    </row>
    <row r="3058" spans="1:4" x14ac:dyDescent="0.2">
      <c r="A3058" s="5">
        <v>2997</v>
      </c>
      <c r="B3058" s="138">
        <f>'Expenditures 15-22'!F10</f>
        <v>89082</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3026100</v>
      </c>
      <c r="C3062" s="2" t="s">
        <v>573</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487819286</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0</v>
      </c>
      <c r="C3225" s="2" t="s">
        <v>573</v>
      </c>
      <c r="D3225" s="2" t="str">
        <f t="shared" si="49"/>
        <v>Error?</v>
      </c>
    </row>
    <row r="3226" spans="1:4" x14ac:dyDescent="0.2">
      <c r="A3226" s="5">
        <v>3165</v>
      </c>
      <c r="B3226" s="138">
        <f>'Acct Summary 7-8'!I8</f>
        <v>0</v>
      </c>
      <c r="C3226" s="2" t="s">
        <v>573</v>
      </c>
      <c r="D3226" s="2" t="str">
        <f t="shared" si="49"/>
        <v>Error?</v>
      </c>
    </row>
    <row r="3227" spans="1:4" x14ac:dyDescent="0.2">
      <c r="A3227" s="5">
        <v>3166</v>
      </c>
      <c r="B3227" s="138">
        <f>'Acct Summary 7-8'!I20</f>
        <v>0</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507520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507520</v>
      </c>
      <c r="C3232" s="2" t="s">
        <v>573</v>
      </c>
      <c r="D3232" s="2" t="str">
        <f t="shared" si="49"/>
        <v>Error?</v>
      </c>
    </row>
    <row r="3233" spans="1:4" x14ac:dyDescent="0.2">
      <c r="A3233" s="5">
        <v>3172</v>
      </c>
      <c r="B3233" s="138">
        <f>'Acct Summary 7-8'!C78</f>
        <v>149846681</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0</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0</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0</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516715253</v>
      </c>
      <c r="C3274" s="2" t="s">
        <v>573</v>
      </c>
      <c r="D3274" s="2" t="str">
        <f t="shared" si="50"/>
        <v>Error?</v>
      </c>
    </row>
    <row r="3275" spans="1:4" x14ac:dyDescent="0.2">
      <c r="A3275" s="5">
        <v>3214</v>
      </c>
      <c r="B3275" s="138">
        <f>'Acct Summary 7-8'!E75</f>
        <v>458080462</v>
      </c>
      <c r="D3275" s="2" t="str">
        <f t="shared" si="50"/>
        <v>Error?</v>
      </c>
    </row>
    <row r="3276" spans="1:4" x14ac:dyDescent="0.2">
      <c r="A3276" s="5">
        <v>3215</v>
      </c>
      <c r="B3276" s="138">
        <f>'Acct Summary 7-8'!E76</f>
        <v>458348651</v>
      </c>
      <c r="C3276" s="2" t="s">
        <v>573</v>
      </c>
      <c r="D3276" s="2" t="str">
        <f t="shared" si="50"/>
        <v>Error?</v>
      </c>
    </row>
    <row r="3277" spans="1:4" x14ac:dyDescent="0.2">
      <c r="A3277" s="5">
        <v>3216</v>
      </c>
      <c r="B3277" s="138">
        <f>'Acct Summary 7-8'!E77</f>
        <v>58366602</v>
      </c>
      <c r="C3277" s="2" t="s">
        <v>573</v>
      </c>
      <c r="D3277" s="2" t="str">
        <f t="shared" si="50"/>
        <v>Error?</v>
      </c>
    </row>
    <row r="3278" spans="1:4" x14ac:dyDescent="0.2">
      <c r="A3278" s="5">
        <v>3217</v>
      </c>
      <c r="B3278" s="138">
        <f>'Acct Summary 7-8'!E78</f>
        <v>-11475309</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367298035</v>
      </c>
      <c r="C3296" s="2" t="s">
        <v>573</v>
      </c>
      <c r="D3296" s="2" t="str">
        <f t="shared" si="50"/>
        <v>Error?</v>
      </c>
    </row>
    <row r="3297" spans="1:4" x14ac:dyDescent="0.2">
      <c r="A3297" s="5">
        <v>3236</v>
      </c>
      <c r="B3297" s="138">
        <f>'Acct Summary 7-8'!H75</f>
        <v>9482913</v>
      </c>
      <c r="D3297" s="2" t="str">
        <f t="shared" si="50"/>
        <v>Error?</v>
      </c>
    </row>
    <row r="3298" spans="1:4" x14ac:dyDescent="0.2">
      <c r="A3298" s="5">
        <v>3237</v>
      </c>
      <c r="B3298" s="138">
        <f>'Acct Summary 7-8'!H76</f>
        <v>9689744</v>
      </c>
      <c r="C3298" s="2" t="s">
        <v>573</v>
      </c>
      <c r="D3298" s="2" t="str">
        <f t="shared" si="50"/>
        <v>Error?</v>
      </c>
    </row>
    <row r="3299" spans="1:4" x14ac:dyDescent="0.2">
      <c r="A3299" s="5">
        <v>3238</v>
      </c>
      <c r="B3299" s="138">
        <f>'Acct Summary 7-8'!H77</f>
        <v>357608291</v>
      </c>
      <c r="C3299" s="2" t="s">
        <v>573</v>
      </c>
      <c r="D3299" s="2" t="str">
        <f t="shared" si="50"/>
        <v>Error?</v>
      </c>
    </row>
    <row r="3300" spans="1:4" x14ac:dyDescent="0.2">
      <c r="A3300" s="5">
        <v>3239</v>
      </c>
      <c r="B3300" s="138">
        <f>'Acct Summary 7-8'!H78</f>
        <v>-178364476</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0</v>
      </c>
      <c r="C3320" s="2" t="s">
        <v>573</v>
      </c>
      <c r="D3320" s="2" t="str">
        <f t="shared" si="50"/>
        <v>Error?</v>
      </c>
    </row>
    <row r="3321" spans="1:4" x14ac:dyDescent="0.2">
      <c r="A3321" s="5">
        <v>3260</v>
      </c>
      <c r="B3321" s="138">
        <f>'Acct Summary 7-8'!I79</f>
        <v>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0</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409972534</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119666259</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24345295</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149088</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558680308</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0</v>
      </c>
      <c r="D3387" s="2" t="str">
        <f t="shared" si="51"/>
        <v>Error?</v>
      </c>
    </row>
    <row r="3388" spans="1:4" x14ac:dyDescent="0.2">
      <c r="A3388" s="5">
        <v>3327</v>
      </c>
      <c r="B3388" s="138">
        <f>'Expenditures 15-22'!D217</f>
        <v>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0</v>
      </c>
      <c r="C3390" s="2" t="s">
        <v>573</v>
      </c>
      <c r="D3390" s="2" t="str">
        <f t="shared" si="51"/>
        <v>Error?</v>
      </c>
    </row>
    <row r="3391" spans="1:4" x14ac:dyDescent="0.2">
      <c r="A3391" s="5">
        <v>3330</v>
      </c>
      <c r="B3391" s="138">
        <f>'Expenditures 15-22'!K217</f>
        <v>0</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286624350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679944736</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798363524</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0</v>
      </c>
      <c r="C3446" s="2" t="s">
        <v>573</v>
      </c>
      <c r="D3446" s="2" t="str">
        <f t="shared" si="52"/>
        <v>Error?</v>
      </c>
    </row>
    <row r="3447" spans="1:4" x14ac:dyDescent="0.2">
      <c r="A3447" s="5">
        <v>3386</v>
      </c>
      <c r="B3447" s="138">
        <f>'Tax Sched 23'!D16</f>
        <v>0</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0</v>
      </c>
      <c r="C3449" s="2" t="s">
        <v>573</v>
      </c>
      <c r="D3449" s="2" t="str">
        <f t="shared" si="52"/>
        <v>Error?</v>
      </c>
    </row>
    <row r="3450" spans="1:4" x14ac:dyDescent="0.2">
      <c r="A3450" s="5">
        <v>3389</v>
      </c>
      <c r="B3450" s="138">
        <f>'Tax Sched 23'!E16</f>
        <v>0</v>
      </c>
      <c r="D3450" s="2" t="str">
        <f t="shared" si="52"/>
        <v>Error?</v>
      </c>
    </row>
    <row r="3451" spans="1:4" x14ac:dyDescent="0.2">
      <c r="A3451" s="5">
        <v>3390</v>
      </c>
      <c r="B3451" s="138">
        <f>'Cap Outlay Deprec 26'!C15</f>
        <v>289795769</v>
      </c>
      <c r="D3451" s="2" t="str">
        <f t="shared" si="52"/>
        <v>Error?</v>
      </c>
    </row>
    <row r="3452" spans="1:4" x14ac:dyDescent="0.2">
      <c r="A3452" s="5">
        <v>3391</v>
      </c>
      <c r="B3452" s="138">
        <f>'Cap Outlay Deprec 26'!D15</f>
        <v>523062365</v>
      </c>
      <c r="D3452" s="2" t="str">
        <f t="shared" si="52"/>
        <v>Error?</v>
      </c>
    </row>
    <row r="3453" spans="1:4" x14ac:dyDescent="0.2">
      <c r="A3453" s="5">
        <v>3392</v>
      </c>
      <c r="B3453" s="138">
        <f>'Cap Outlay Deprec 26'!E15</f>
        <v>163959816</v>
      </c>
      <c r="D3453" s="2" t="str">
        <f t="shared" si="52"/>
        <v>Error?</v>
      </c>
    </row>
    <row r="3454" spans="1:4" x14ac:dyDescent="0.2">
      <c r="A3454" s="5">
        <v>3393</v>
      </c>
      <c r="B3454" s="138">
        <f>'Cap Outlay Deprec 26'!F15</f>
        <v>648898318</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648898318</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10280700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1251871</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573</v>
      </c>
      <c r="D3568" s="2" t="str">
        <f t="shared" si="54"/>
        <v>Error?</v>
      </c>
    </row>
    <row r="3569" spans="1:4" x14ac:dyDescent="0.2">
      <c r="A3569" s="5">
        <v>3508</v>
      </c>
      <c r="B3569" s="138">
        <f>'Acct Summary 7-8'!K4</f>
        <v>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0</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0</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0</v>
      </c>
      <c r="C3588" s="2" t="s">
        <v>573</v>
      </c>
      <c r="D3588" s="2" t="str">
        <f t="shared" si="55"/>
        <v>Error?</v>
      </c>
    </row>
    <row r="3589" spans="1:4" x14ac:dyDescent="0.2">
      <c r="A3589" s="5">
        <v>3528</v>
      </c>
      <c r="B3589" s="138">
        <f>'Acct Summary 7-8'!K79</f>
        <v>0</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0</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0</v>
      </c>
      <c r="C3725" s="2" t="s">
        <v>573</v>
      </c>
      <c r="D3725" s="2" t="str">
        <f t="shared" si="57"/>
        <v>Error?</v>
      </c>
    </row>
    <row r="3726" spans="1:4" x14ac:dyDescent="0.2">
      <c r="A3726" s="5">
        <v>3665</v>
      </c>
      <c r="B3726" s="138">
        <f>'Tax Sched 23'!D13</f>
        <v>0</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573</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10213646</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434255760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30201987</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404053773</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21265988</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425319761</v>
      </c>
      <c r="D4111" s="2" t="str">
        <f t="shared" si="63"/>
        <v>Error?</v>
      </c>
    </row>
    <row r="4112" spans="1:4" x14ac:dyDescent="0.2">
      <c r="A4112" s="10">
        <v>4051</v>
      </c>
      <c r="D4112" s="2" t="str">
        <f t="shared" si="63"/>
        <v>OK</v>
      </c>
    </row>
    <row r="4113" spans="1:4" x14ac:dyDescent="0.2">
      <c r="A4113" s="5">
        <v>4052</v>
      </c>
      <c r="B4113" s="138">
        <f>'Acct Summary 7-8'!C9</f>
        <v>341624083</v>
      </c>
      <c r="D4113" s="2" t="str">
        <f t="shared" si="63"/>
        <v>Error?</v>
      </c>
    </row>
    <row r="4114" spans="1:4" x14ac:dyDescent="0.2">
      <c r="A4114" s="5">
        <v>4053</v>
      </c>
      <c r="B4114" s="138">
        <f>'Acct Summary 7-8'!D9</f>
        <v>7050727</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688465</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5533237072</v>
      </c>
      <c r="C4122" s="2" t="s">
        <v>573</v>
      </c>
      <c r="D4122" s="2" t="str">
        <f t="shared" si="63"/>
        <v>Error?</v>
      </c>
    </row>
    <row r="4123" spans="1:4" x14ac:dyDescent="0.2">
      <c r="A4123" s="5">
        <v>4062</v>
      </c>
      <c r="B4123" s="138">
        <f>'Acct Summary 7-8'!D10</f>
        <v>386975304</v>
      </c>
      <c r="C4123" s="2" t="s">
        <v>573</v>
      </c>
      <c r="D4123" s="2" t="str">
        <f t="shared" si="63"/>
        <v>Error?</v>
      </c>
    </row>
    <row r="4124" spans="1:4" x14ac:dyDescent="0.2">
      <c r="A4124" s="5">
        <v>4063</v>
      </c>
      <c r="B4124" s="138">
        <f>'Acct Summary 7-8'!E10</f>
        <v>559712917</v>
      </c>
      <c r="C4124" s="2" t="s">
        <v>573</v>
      </c>
      <c r="D4124" s="2" t="str">
        <f t="shared" si="63"/>
        <v>Error?</v>
      </c>
    </row>
    <row r="4125" spans="1:4" x14ac:dyDescent="0.2">
      <c r="A4125" s="5">
        <v>4064</v>
      </c>
      <c r="B4125" s="138">
        <f>'Acct Summary 7-8'!F10</f>
        <v>0</v>
      </c>
      <c r="C4125" s="2" t="s">
        <v>573</v>
      </c>
      <c r="D4125" s="2" t="str">
        <f t="shared" si="63"/>
        <v>Error?</v>
      </c>
    </row>
    <row r="4126" spans="1:4" x14ac:dyDescent="0.2">
      <c r="A4126" s="5">
        <v>4065</v>
      </c>
      <c r="B4126" s="138">
        <f>'Acct Summary 7-8'!G10</f>
        <v>0</v>
      </c>
      <c r="C4126" s="2" t="s">
        <v>573</v>
      </c>
      <c r="D4126" s="2" t="str">
        <f t="shared" si="63"/>
        <v>Error?</v>
      </c>
    </row>
    <row r="4127" spans="1:4" x14ac:dyDescent="0.2">
      <c r="A4127" s="5">
        <v>4066</v>
      </c>
      <c r="B4127" s="138">
        <f>'Acct Summary 7-8'!H10</f>
        <v>77086950</v>
      </c>
      <c r="C4127" s="2" t="s">
        <v>573</v>
      </c>
      <c r="D4127" s="2" t="str">
        <f t="shared" si="63"/>
        <v>Error?</v>
      </c>
    </row>
    <row r="4128" spans="1:4" x14ac:dyDescent="0.2">
      <c r="A4128" s="5">
        <v>4067</v>
      </c>
      <c r="B4128" s="138">
        <f>'Acct Summary 7-8'!I10</f>
        <v>0</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0</v>
      </c>
      <c r="C4130" s="2" t="s">
        <v>573</v>
      </c>
      <c r="D4130" s="2" t="str">
        <f t="shared" si="63"/>
        <v>Error?</v>
      </c>
    </row>
    <row r="4131" spans="1:4" x14ac:dyDescent="0.2">
      <c r="A4131" s="5">
        <v>4070</v>
      </c>
      <c r="B4131" s="138">
        <f>'Acct Summary 7-8'!C18</f>
        <v>341624083</v>
      </c>
      <c r="C4131" s="2" t="s">
        <v>573</v>
      </c>
      <c r="D4131" s="2" t="str">
        <f t="shared" si="63"/>
        <v>Error?</v>
      </c>
    </row>
    <row r="4132" spans="1:4" x14ac:dyDescent="0.2">
      <c r="A4132" s="5">
        <v>4071</v>
      </c>
      <c r="B4132" s="138">
        <f>'Acct Summary 7-8'!D18</f>
        <v>7050727</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688465</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5383897911</v>
      </c>
      <c r="C4136" s="2" t="s">
        <v>573</v>
      </c>
      <c r="D4136" s="2" t="str">
        <f t="shared" si="63"/>
        <v>Error?</v>
      </c>
    </row>
    <row r="4137" spans="1:4" x14ac:dyDescent="0.2">
      <c r="A4137" s="5">
        <v>4076</v>
      </c>
      <c r="B4137" s="138">
        <f>'Acct Summary 7-8'!D19</f>
        <v>386975304</v>
      </c>
      <c r="C4137" s="2" t="s">
        <v>573</v>
      </c>
      <c r="D4137" s="2" t="str">
        <f t="shared" si="63"/>
        <v>Error?</v>
      </c>
    </row>
    <row r="4138" spans="1:4" x14ac:dyDescent="0.2">
      <c r="A4138" s="5">
        <v>4077</v>
      </c>
      <c r="B4138" s="138">
        <f>'Acct Summary 7-8'!E19</f>
        <v>629554828</v>
      </c>
      <c r="C4138" s="2" t="s">
        <v>573</v>
      </c>
      <c r="D4138" s="2" t="str">
        <f t="shared" si="63"/>
        <v>Error?</v>
      </c>
    </row>
    <row r="4139" spans="1:4" x14ac:dyDescent="0.2">
      <c r="A4139" s="5">
        <v>4078</v>
      </c>
      <c r="B4139" s="138">
        <f>'Acct Summary 7-8'!F19</f>
        <v>0</v>
      </c>
      <c r="C4139" s="2" t="s">
        <v>573</v>
      </c>
      <c r="D4139" s="2" t="str">
        <f t="shared" si="63"/>
        <v>Error?</v>
      </c>
    </row>
    <row r="4140" spans="1:4" x14ac:dyDescent="0.2">
      <c r="A4140" s="5">
        <v>4079</v>
      </c>
      <c r="B4140" s="138">
        <f>'Acct Summary 7-8'!G19</f>
        <v>0</v>
      </c>
      <c r="C4140" s="2" t="s">
        <v>573</v>
      </c>
      <c r="D4140" s="2" t="str">
        <f t="shared" si="63"/>
        <v>Error?</v>
      </c>
    </row>
    <row r="4141" spans="1:4" x14ac:dyDescent="0.2">
      <c r="A4141" s="5">
        <v>4080</v>
      </c>
      <c r="B4141" s="138">
        <f>'Acct Summary 7-8'!H19</f>
        <v>613059717</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8383921978</v>
      </c>
      <c r="C4171" s="2" t="s">
        <v>573</v>
      </c>
      <c r="D4171" s="2" t="str">
        <f t="shared" si="64"/>
        <v>Error?</v>
      </c>
    </row>
    <row r="4172" spans="1:4" x14ac:dyDescent="0.2">
      <c r="A4172" s="5">
        <v>4111</v>
      </c>
      <c r="B4172" s="138">
        <f>'Short-Term Long-Term Debt 24'!J49</f>
        <v>7667175397</v>
      </c>
      <c r="C4172" s="2" t="s">
        <v>573</v>
      </c>
      <c r="D4172" s="2" t="str">
        <f t="shared" si="64"/>
        <v>Error?</v>
      </c>
    </row>
    <row r="4173" spans="1:4" x14ac:dyDescent="0.2">
      <c r="A4173" s="5">
        <v>4112</v>
      </c>
      <c r="B4173" s="138">
        <f>'Short-Term Long-Term Debt 24'!H49</f>
        <v>615794948</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1915</v>
      </c>
    </row>
    <row r="4236" spans="1:5" x14ac:dyDescent="0.2">
      <c r="A4236" s="10">
        <v>4175</v>
      </c>
      <c r="D4236" s="2" t="str">
        <f t="shared" si="65"/>
        <v>OK</v>
      </c>
      <c r="E4236" s="4" t="s">
        <v>1915</v>
      </c>
    </row>
    <row r="4237" spans="1:5" x14ac:dyDescent="0.2">
      <c r="A4237" s="10">
        <v>4176</v>
      </c>
      <c r="D4237" s="2" t="str">
        <f t="shared" si="65"/>
        <v>OK</v>
      </c>
      <c r="E4237" s="4" t="s">
        <v>1915</v>
      </c>
    </row>
    <row r="4238" spans="1:5" x14ac:dyDescent="0.2">
      <c r="A4238" s="10">
        <v>4177</v>
      </c>
      <c r="D4238" s="2" t="str">
        <f t="shared" si="65"/>
        <v>OK</v>
      </c>
      <c r="E4238" s="4" t="s">
        <v>1915</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2844.6780000000003</v>
      </c>
      <c r="C4265" s="2" t="s">
        <v>573</v>
      </c>
      <c r="D4265" s="2" t="str">
        <f t="shared" si="65"/>
        <v>Error?</v>
      </c>
      <c r="E4265" s="128"/>
    </row>
    <row r="4266" spans="1:5" x14ac:dyDescent="0.2">
      <c r="A4266" s="12">
        <v>4205</v>
      </c>
      <c r="B4266" s="138">
        <f>('FP Info 3'!F10)*100000</f>
        <v>0</v>
      </c>
      <c r="C4266" s="2" t="s">
        <v>573</v>
      </c>
      <c r="D4266" s="2" t="str">
        <f t="shared" si="65"/>
        <v>Error?</v>
      </c>
      <c r="E4266" s="128"/>
    </row>
    <row r="4267" spans="1:5" x14ac:dyDescent="0.2">
      <c r="A4267" s="12">
        <v>4206</v>
      </c>
      <c r="B4267" s="138">
        <f>('FP Info 3'!H10)*100000</f>
        <v>0</v>
      </c>
      <c r="C4267" s="2" t="s">
        <v>573</v>
      </c>
      <c r="D4267" s="2" t="str">
        <f t="shared" si="65"/>
        <v>Error?</v>
      </c>
      <c r="E4267" s="128"/>
    </row>
    <row r="4268" spans="1:5" x14ac:dyDescent="0.2">
      <c r="A4268" s="12">
        <v>4207</v>
      </c>
      <c r="B4268" s="138">
        <f>('FP Info 3'!J10)*100000</f>
        <v>2845</v>
      </c>
      <c r="C4268" s="2" t="s">
        <v>573</v>
      </c>
      <c r="D4268" s="2" t="str">
        <f t="shared" si="65"/>
        <v>Error?</v>
      </c>
    </row>
    <row r="4269" spans="1:5" x14ac:dyDescent="0.2">
      <c r="A4269" s="12">
        <v>4208</v>
      </c>
      <c r="B4269" s="138">
        <f>'FP Info 3'!J16</f>
        <v>491443342</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12847939</v>
      </c>
      <c r="D4331" s="2" t="str">
        <f t="shared" si="66"/>
        <v>Error?</v>
      </c>
    </row>
    <row r="4332" spans="1:4" x14ac:dyDescent="0.2">
      <c r="A4332" s="5">
        <v>4271</v>
      </c>
      <c r="B4332" s="138">
        <f>'Revenues 9-14'!C203</f>
        <v>10153546</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5734224</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7960001</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27014979</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1915</v>
      </c>
    </row>
    <row r="4400" spans="1:5" x14ac:dyDescent="0.2">
      <c r="A4400" s="10">
        <v>4339</v>
      </c>
      <c r="D4400" s="2" t="str">
        <f t="shared" si="67"/>
        <v>OK</v>
      </c>
      <c r="E4400" s="4" t="s">
        <v>1915</v>
      </c>
    </row>
    <row r="4401" spans="1:5" x14ac:dyDescent="0.2">
      <c r="A4401" s="10">
        <v>4340</v>
      </c>
      <c r="D4401" s="2" t="str">
        <f t="shared" si="67"/>
        <v>OK</v>
      </c>
      <c r="E4401" s="4" t="s">
        <v>1915</v>
      </c>
    </row>
    <row r="4402" spans="1:5" x14ac:dyDescent="0.2">
      <c r="A4402" s="10">
        <v>4341</v>
      </c>
      <c r="D4402" s="2" t="str">
        <f t="shared" si="67"/>
        <v>OK</v>
      </c>
      <c r="E4402" s="4" t="s">
        <v>1915</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6683536</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13745021</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9429198</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18462819</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24886885</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24886885</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9647585</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13515104</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10981608</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4015539</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86335881933</v>
      </c>
      <c r="D4995" s="2" t="str">
        <f t="shared" si="77"/>
        <v>Error?</v>
      </c>
    </row>
    <row r="4996" spans="1:4" x14ac:dyDescent="0.2">
      <c r="A4996" s="12">
        <v>4935</v>
      </c>
      <c r="B4996" s="138">
        <f>'FP Info 3'!H31</f>
        <v>11914351706.754002</v>
      </c>
      <c r="D4996" s="2" t="str">
        <f t="shared" si="77"/>
        <v>Error?</v>
      </c>
    </row>
    <row r="4997" spans="1:4" x14ac:dyDescent="0.2">
      <c r="A4997" s="12">
        <v>4936</v>
      </c>
      <c r="B4997" s="138">
        <f>'FP Info 3'!H37</f>
        <v>8383921978</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2820371805</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2820371805</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152319014</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152319014</v>
      </c>
      <c r="C5071" s="2" t="s">
        <v>573</v>
      </c>
      <c r="D5071" s="2" t="str">
        <f t="shared" si="78"/>
        <v>Error?</v>
      </c>
    </row>
    <row r="5072" spans="1:4" x14ac:dyDescent="0.2">
      <c r="A5072" s="5">
        <v>5011</v>
      </c>
      <c r="B5072" s="138">
        <f>'Revenues 9-14'!C20</f>
        <v>95603</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95603</v>
      </c>
      <c r="C5087" s="2" t="s">
        <v>573</v>
      </c>
      <c r="D5087" s="2" t="str">
        <f t="shared" si="78"/>
        <v>Error?</v>
      </c>
    </row>
    <row r="5088" spans="1:4" x14ac:dyDescent="0.2">
      <c r="A5088" s="5">
        <v>5027</v>
      </c>
      <c r="B5088" s="138">
        <f>'Revenues 9-14'!C65</f>
        <v>5939851</v>
      </c>
      <c r="D5088" s="2" t="str">
        <f t="shared" si="78"/>
        <v>Error?</v>
      </c>
    </row>
    <row r="5089" spans="1:4" x14ac:dyDescent="0.2">
      <c r="A5089" s="5">
        <v>5028</v>
      </c>
      <c r="B5089" s="138">
        <f>'Revenues 9-14'!C66</f>
        <v>843476</v>
      </c>
      <c r="D5089" s="2" t="str">
        <f t="shared" si="78"/>
        <v>Error?</v>
      </c>
    </row>
    <row r="5090" spans="1:4" x14ac:dyDescent="0.2">
      <c r="A5090" s="5">
        <v>5029</v>
      </c>
      <c r="B5090" s="138">
        <f>'Revenues 9-14'!C67</f>
        <v>6783327</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2321954</v>
      </c>
      <c r="C5096" s="2" t="s">
        <v>573</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0</v>
      </c>
      <c r="C5102" s="2" t="s">
        <v>573</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573</v>
      </c>
      <c r="D5112" s="2" t="str">
        <f t="shared" si="78"/>
        <v>Error?</v>
      </c>
    </row>
    <row r="5113" spans="1:4" x14ac:dyDescent="0.2">
      <c r="A5113" s="5">
        <v>5052</v>
      </c>
      <c r="B5113" s="138">
        <f>'Revenues 9-14'!C95</f>
        <v>6584350</v>
      </c>
      <c r="D5113" s="2" t="str">
        <f t="shared" si="78"/>
        <v>Error?</v>
      </c>
    </row>
    <row r="5114" spans="1:4" x14ac:dyDescent="0.2">
      <c r="A5114" s="5">
        <v>5053</v>
      </c>
      <c r="B5114" s="138">
        <f>'Revenues 9-14'!C96</f>
        <v>52974</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43281545</v>
      </c>
      <c r="D5118" s="2" t="str">
        <f t="shared" si="78"/>
        <v>Error?</v>
      </c>
    </row>
    <row r="5119" spans="1:4" x14ac:dyDescent="0.2">
      <c r="A5119" s="5">
        <v>5058</v>
      </c>
      <c r="B5119" s="138">
        <f>'Revenues 9-14'!C107</f>
        <v>122856155</v>
      </c>
      <c r="D5119" s="2" t="str">
        <f t="shared" ref="D5119:D5182" si="79">IF(ISBLANK(B5119),"OK",IF(A5119-B5119=0,"OK","Error?"))</f>
        <v>Error?</v>
      </c>
    </row>
    <row r="5120" spans="1:4" x14ac:dyDescent="0.2">
      <c r="A5120" s="5">
        <v>5059</v>
      </c>
      <c r="B5120" s="138">
        <f>'Revenues 9-14'!C108</f>
        <v>267275862</v>
      </c>
      <c r="C5120" s="2" t="s">
        <v>573</v>
      </c>
      <c r="D5120" s="2" t="str">
        <f t="shared" si="79"/>
        <v>Error?</v>
      </c>
    </row>
    <row r="5121" spans="1:4" x14ac:dyDescent="0.2">
      <c r="A5121" s="5">
        <v>5060</v>
      </c>
      <c r="B5121" s="138">
        <f>'Revenues 9-14'!C109</f>
        <v>3249167565</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951231939</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951231939</v>
      </c>
      <c r="C5132" s="2" t="s">
        <v>573</v>
      </c>
      <c r="D5132" s="2" t="str">
        <f t="shared" si="79"/>
        <v>Error?</v>
      </c>
    </row>
    <row r="5133" spans="1:4" x14ac:dyDescent="0.2">
      <c r="A5133" s="5">
        <v>5072</v>
      </c>
      <c r="B5133" s="138">
        <f>'Revenues 9-14'!C125</f>
        <v>14406364</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16989072</v>
      </c>
      <c r="D5137" s="2" t="str">
        <f t="shared" si="79"/>
        <v>Error?</v>
      </c>
    </row>
    <row r="5138" spans="1:4" x14ac:dyDescent="0.2">
      <c r="A5138" s="10">
        <v>5077</v>
      </c>
      <c r="D5138" s="2" t="str">
        <f t="shared" si="79"/>
        <v>OK</v>
      </c>
    </row>
    <row r="5139" spans="1:4" x14ac:dyDescent="0.2">
      <c r="A5139" s="5">
        <v>5078</v>
      </c>
      <c r="B5139" s="138">
        <f>'Revenues 9-14'!C129</f>
        <v>372524</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31767960</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3535741</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3647456</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3240202</v>
      </c>
      <c r="D5167" s="2" t="str">
        <f t="shared" si="79"/>
        <v>Error?</v>
      </c>
    </row>
    <row r="5168" spans="1:4" x14ac:dyDescent="0.2">
      <c r="A5168" s="5">
        <v>5107</v>
      </c>
      <c r="B5168" s="138">
        <f>'Revenues 9-14'!C148</f>
        <v>2704910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401680</v>
      </c>
      <c r="D5175" s="2" t="str">
        <f t="shared" si="79"/>
        <v>Error?</v>
      </c>
    </row>
    <row r="5176" spans="1:4" x14ac:dyDescent="0.2">
      <c r="A5176" s="10">
        <v>5115</v>
      </c>
      <c r="D5176" s="2" t="str">
        <f t="shared" si="79"/>
        <v>OK</v>
      </c>
    </row>
    <row r="5177" spans="1:4" x14ac:dyDescent="0.2">
      <c r="A5177" s="5">
        <v>5116</v>
      </c>
      <c r="B5177" s="138">
        <f>'Revenues 9-14'!C153</f>
        <v>77654828</v>
      </c>
      <c r="D5177" s="2" t="str">
        <f t="shared" si="79"/>
        <v>Error?</v>
      </c>
    </row>
    <row r="5178" spans="1:4" x14ac:dyDescent="0.2">
      <c r="A5178" s="5">
        <v>5117</v>
      </c>
      <c r="B5178" s="138">
        <f>'Revenues 9-14'!C155</f>
        <v>78056508</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2698960</v>
      </c>
      <c r="D5194" s="2" t="str">
        <f t="shared" si="80"/>
        <v>Error?</v>
      </c>
    </row>
    <row r="5195" spans="1:5" x14ac:dyDescent="0.2">
      <c r="A5195" s="10">
        <v>5134</v>
      </c>
      <c r="D5195" s="2" t="str">
        <f t="shared" si="80"/>
        <v>OK</v>
      </c>
    </row>
    <row r="5196" spans="1:5" x14ac:dyDescent="0.2">
      <c r="A5196" s="5">
        <v>5135</v>
      </c>
      <c r="B5196" s="138">
        <f>'Revenues 9-14'!C159</f>
        <v>193010905</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1915</v>
      </c>
    </row>
    <row r="5200" spans="1:5" x14ac:dyDescent="0.2">
      <c r="A5200" s="10">
        <v>5139</v>
      </c>
      <c r="D5200" s="2" t="str">
        <f t="shared" si="80"/>
        <v>OK</v>
      </c>
      <c r="E5200" s="4" t="s">
        <v>1915</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324774486</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1276006425</v>
      </c>
      <c r="C5223" s="2" t="s">
        <v>573</v>
      </c>
      <c r="D5223" s="2" t="str">
        <f t="shared" si="80"/>
        <v>Error?</v>
      </c>
    </row>
    <row r="5224" spans="1:4" x14ac:dyDescent="0.2">
      <c r="A5224" s="5">
        <v>5163</v>
      </c>
      <c r="B5224" s="138">
        <f>'Revenues 9-14'!C173</f>
        <v>102661</v>
      </c>
      <c r="D5224" s="2" t="str">
        <f t="shared" si="80"/>
        <v>Error?</v>
      </c>
    </row>
    <row r="5225" spans="1:4" x14ac:dyDescent="0.2">
      <c r="A5225" s="5">
        <v>5164</v>
      </c>
      <c r="B5225" s="138">
        <f>'Revenues 9-14'!C175</f>
        <v>102661</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35509457</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46491065</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124870209</v>
      </c>
      <c r="D5239" s="2" t="str">
        <f t="shared" si="80"/>
        <v>Error?</v>
      </c>
    </row>
    <row r="5240" spans="1:4" x14ac:dyDescent="0.2">
      <c r="A5240" s="5">
        <v>5179</v>
      </c>
      <c r="B5240" s="138">
        <f>'Revenues 9-14'!C192</f>
        <v>47583073</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3035328</v>
      </c>
      <c r="D5242" s="2" t="str">
        <f t="shared" si="80"/>
        <v>Error?</v>
      </c>
    </row>
    <row r="5243" spans="1:4" x14ac:dyDescent="0.2">
      <c r="A5243" s="5">
        <v>5182</v>
      </c>
      <c r="B5243" s="138">
        <f>'Revenues 9-14'!C195</f>
        <v>8216819</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198294148</v>
      </c>
      <c r="C5246" s="2" t="s">
        <v>573</v>
      </c>
      <c r="D5246" s="2" t="str">
        <f t="shared" si="80"/>
        <v>Error?</v>
      </c>
    </row>
    <row r="5247" spans="1:4" x14ac:dyDescent="0.2">
      <c r="A5247" s="5">
        <v>5186</v>
      </c>
      <c r="B5247" s="138">
        <f>'Revenues 9-14'!C200</f>
        <v>229952301</v>
      </c>
      <c r="D5247" s="2" t="str">
        <f t="shared" ref="D5247:D5310" si="81">IF(ISBLANK(B5247),"OK",IF(A5247-B5247=0,"OK","Error?"))</f>
        <v>Error?</v>
      </c>
    </row>
    <row r="5248" spans="1:4" x14ac:dyDescent="0.2">
      <c r="A5248" s="5">
        <v>5187</v>
      </c>
      <c r="B5248" s="138">
        <f>'Revenues 9-14'!C201</f>
        <v>458017</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1915</v>
      </c>
    </row>
    <row r="5255" spans="1:5" x14ac:dyDescent="0.2">
      <c r="A5255" s="5">
        <v>5194</v>
      </c>
      <c r="B5255" s="138">
        <f>'Revenues 9-14'!C202</f>
        <v>0</v>
      </c>
      <c r="D5255" s="2" t="str">
        <f t="shared" si="81"/>
        <v>Error?</v>
      </c>
    </row>
    <row r="5256" spans="1:5" x14ac:dyDescent="0.2">
      <c r="A5256" s="5">
        <v>5195</v>
      </c>
      <c r="B5256" s="138">
        <f>'Revenues 9-14'!C206</f>
        <v>7061485</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240563864</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987118</v>
      </c>
      <c r="D5274" s="2" t="str">
        <f t="shared" si="81"/>
        <v>Error?</v>
      </c>
    </row>
    <row r="5275" spans="1:4" x14ac:dyDescent="0.2">
      <c r="A5275" s="5">
        <v>5214</v>
      </c>
      <c r="B5275" s="138">
        <f>'Revenues 9-14'!C212</f>
        <v>371914</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89492400</v>
      </c>
      <c r="D5278" s="2" t="str">
        <f t="shared" si="81"/>
        <v>Error?</v>
      </c>
    </row>
    <row r="5279" spans="1:4" x14ac:dyDescent="0.2">
      <c r="A5279" s="5">
        <v>5218</v>
      </c>
      <c r="B5279" s="138">
        <f>'Revenues 9-14'!C214</f>
        <v>2333886</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93185318</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5734224</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563132</v>
      </c>
      <c r="D5312" s="2" t="str">
        <f t="shared" si="82"/>
        <v>Error?</v>
      </c>
    </row>
    <row r="5313" spans="1:5" x14ac:dyDescent="0.2">
      <c r="A5313" s="10">
        <v>5252</v>
      </c>
      <c r="D5313" s="2" t="str">
        <f t="shared" si="82"/>
        <v>OK</v>
      </c>
      <c r="E5313" s="4" t="s">
        <v>1915</v>
      </c>
    </row>
    <row r="5314" spans="1:5" x14ac:dyDescent="0.2">
      <c r="A5314" s="10">
        <v>5253</v>
      </c>
      <c r="D5314" s="2" t="str">
        <f t="shared" si="82"/>
        <v>OK</v>
      </c>
    </row>
    <row r="5315" spans="1:5" x14ac:dyDescent="0.2">
      <c r="A5315" s="5">
        <v>5254</v>
      </c>
      <c r="B5315" s="138">
        <f>'Revenues 9-14'!C257</f>
        <v>877030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619845273</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666438999</v>
      </c>
      <c r="C5326" s="2" t="s">
        <v>573</v>
      </c>
      <c r="D5326" s="2" t="str">
        <f t="shared" si="82"/>
        <v>Error?</v>
      </c>
    </row>
    <row r="5327" spans="1:5" x14ac:dyDescent="0.2">
      <c r="A5327" s="5">
        <v>5266</v>
      </c>
      <c r="B5327" s="138">
        <f>'Revenues 9-14'!C268</f>
        <v>5191612989</v>
      </c>
      <c r="C5327" s="2" t="s">
        <v>573</v>
      </c>
      <c r="D5327" s="2" t="str">
        <f t="shared" si="82"/>
        <v>Error?</v>
      </c>
    </row>
    <row r="5328" spans="1:5" x14ac:dyDescent="0.2">
      <c r="A5328" s="5">
        <v>5267</v>
      </c>
      <c r="B5328" s="138">
        <f>'Revenues 9-14'!D5</f>
        <v>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0</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8030483</v>
      </c>
      <c r="C5355" s="2" t="s">
        <v>573</v>
      </c>
      <c r="D5355" s="2" t="str">
        <f t="shared" si="82"/>
        <v>Error?</v>
      </c>
    </row>
    <row r="5356" spans="1:4" x14ac:dyDescent="0.2">
      <c r="A5356" s="5">
        <v>5295</v>
      </c>
      <c r="B5356" s="138">
        <f>'Revenues 9-14'!D109</f>
        <v>8030483</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371894094</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371894094</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371894094</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1915</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379924577</v>
      </c>
      <c r="C5508" s="2" t="s">
        <v>573</v>
      </c>
      <c r="D5508" s="2" t="str">
        <f t="shared" si="85"/>
        <v>Error?</v>
      </c>
    </row>
    <row r="5509" spans="1:4" x14ac:dyDescent="0.2">
      <c r="A5509" s="5">
        <v>5448</v>
      </c>
      <c r="B5509" s="138">
        <f>'Revenues 9-14'!E5</f>
        <v>77069852</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77069852</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34913472</v>
      </c>
      <c r="D5516" s="2" t="str">
        <f t="shared" si="85"/>
        <v>Error?</v>
      </c>
    </row>
    <row r="5517" spans="1:4" x14ac:dyDescent="0.2">
      <c r="A5517" s="5">
        <v>5456</v>
      </c>
      <c r="B5517" s="138">
        <f>'Revenues 9-14'!E17</f>
        <v>0</v>
      </c>
      <c r="D5517" s="2" t="str">
        <f t="shared" si="85"/>
        <v>Error?</v>
      </c>
    </row>
    <row r="5518" spans="1:4" x14ac:dyDescent="0.2">
      <c r="A5518" s="5">
        <v>5457</v>
      </c>
      <c r="B5518" s="138">
        <f>'Revenues 9-14'!E18</f>
        <v>34913472</v>
      </c>
      <c r="C5518" s="2" t="s">
        <v>573</v>
      </c>
      <c r="D5518" s="2" t="str">
        <f t="shared" si="85"/>
        <v>Error?</v>
      </c>
    </row>
    <row r="5519" spans="1:4" x14ac:dyDescent="0.2">
      <c r="A5519" s="5">
        <v>5458</v>
      </c>
      <c r="B5519" s="138">
        <f>'Revenues 9-14'!E65</f>
        <v>1642779</v>
      </c>
      <c r="D5519" s="2" t="str">
        <f t="shared" si="85"/>
        <v>Error?</v>
      </c>
    </row>
    <row r="5520" spans="1:4" x14ac:dyDescent="0.2">
      <c r="A5520" s="5">
        <v>5459</v>
      </c>
      <c r="B5520" s="138">
        <f>'Revenues 9-14'!E66</f>
        <v>21918319</v>
      </c>
      <c r="D5520" s="2" t="str">
        <f t="shared" si="85"/>
        <v>Error?</v>
      </c>
    </row>
    <row r="5521" spans="1:4" x14ac:dyDescent="0.2">
      <c r="A5521" s="5">
        <v>5460</v>
      </c>
      <c r="B5521" s="138">
        <f>'Revenues 9-14'!E67</f>
        <v>23561098</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116625072</v>
      </c>
      <c r="D5525" s="2" t="str">
        <f t="shared" si="85"/>
        <v>Error?</v>
      </c>
    </row>
    <row r="5526" spans="1:4" x14ac:dyDescent="0.2">
      <c r="A5526" s="5">
        <v>5465</v>
      </c>
      <c r="B5526" s="138">
        <f>'Revenues 9-14'!E108</f>
        <v>116625072</v>
      </c>
      <c r="C5526" s="2" t="s">
        <v>573</v>
      </c>
      <c r="D5526" s="2" t="str">
        <f t="shared" si="85"/>
        <v>Error?</v>
      </c>
    </row>
    <row r="5527" spans="1:4" x14ac:dyDescent="0.2">
      <c r="A5527" s="5">
        <v>5466</v>
      </c>
      <c r="B5527" s="138">
        <f>'Revenues 9-14'!E109</f>
        <v>252169494</v>
      </c>
      <c r="C5527" s="2" t="s">
        <v>573</v>
      </c>
      <c r="D5527" s="2" t="str">
        <f t="shared" si="85"/>
        <v>Error?</v>
      </c>
    </row>
    <row r="5528" spans="1:4" x14ac:dyDescent="0.2">
      <c r="A5528" s="5">
        <v>5467</v>
      </c>
      <c r="B5528" s="138">
        <f>'Revenues 9-14'!E117</f>
        <v>282656538</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282656538</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282656538</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559712917</v>
      </c>
      <c r="C5552" s="2" t="s">
        <v>573</v>
      </c>
      <c r="D5552" s="2" t="str">
        <f t="shared" si="85"/>
        <v>Error?</v>
      </c>
    </row>
    <row r="5553" spans="1:4" x14ac:dyDescent="0.2">
      <c r="A5553" s="5">
        <v>5492</v>
      </c>
      <c r="B5553" s="138">
        <f>'Revenues 9-14'!F5</f>
        <v>0</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0</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0</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0</v>
      </c>
      <c r="D5615" s="2" t="str">
        <f t="shared" si="86"/>
        <v>Error?</v>
      </c>
    </row>
    <row r="5616" spans="1:4" x14ac:dyDescent="0.2">
      <c r="A5616" s="10">
        <v>5555</v>
      </c>
      <c r="D5616" s="2" t="str">
        <f t="shared" si="86"/>
        <v>OK</v>
      </c>
    </row>
    <row r="5617" spans="1:5" x14ac:dyDescent="0.2">
      <c r="A5617" s="5">
        <v>5556</v>
      </c>
      <c r="B5617" s="138">
        <f>'Revenues 9-14'!F153</f>
        <v>0</v>
      </c>
      <c r="D5617" s="2" t="str">
        <f t="shared" si="86"/>
        <v>Error?</v>
      </c>
    </row>
    <row r="5618" spans="1:5" x14ac:dyDescent="0.2">
      <c r="A5618" s="5">
        <v>5557</v>
      </c>
      <c r="B5618" s="138">
        <f>'Revenues 9-14'!F155</f>
        <v>0</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1915</v>
      </c>
    </row>
    <row r="5631" spans="1:5" x14ac:dyDescent="0.2">
      <c r="A5631" s="10">
        <v>5570</v>
      </c>
      <c r="D5631" s="2" t="str">
        <f t="shared" ref="D5631:D5694" si="87">IF(ISBLANK(B5631),"OK",IF(A5631-B5631=0,"OK","Error?"))</f>
        <v>OK</v>
      </c>
      <c r="E5631" s="4" t="s">
        <v>1915</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0</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0</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1915</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1915</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0</v>
      </c>
      <c r="C5720" s="2" t="s">
        <v>573</v>
      </c>
      <c r="D5720" s="2" t="str">
        <f t="shared" si="88"/>
        <v>Error?</v>
      </c>
    </row>
    <row r="5721" spans="1:4" x14ac:dyDescent="0.2">
      <c r="A5721" s="5">
        <v>5660</v>
      </c>
      <c r="B5721" s="138">
        <f>'Revenues 9-14'!G5</f>
        <v>0</v>
      </c>
      <c r="D5721" s="2" t="str">
        <f t="shared" si="88"/>
        <v>Error?</v>
      </c>
    </row>
    <row r="5722" spans="1:4" x14ac:dyDescent="0.2">
      <c r="A5722" s="5">
        <v>5661</v>
      </c>
      <c r="B5722" s="138">
        <f>'Revenues 9-14'!G7</f>
        <v>0</v>
      </c>
      <c r="D5722" s="2" t="str">
        <f t="shared" si="88"/>
        <v>Error?</v>
      </c>
    </row>
    <row r="5723" spans="1:4" x14ac:dyDescent="0.2">
      <c r="A5723" s="5">
        <v>5662</v>
      </c>
      <c r="B5723" s="138">
        <f>'Revenues 9-14'!G8</f>
        <v>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0</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1915</v>
      </c>
    </row>
    <row r="5768" spans="1:5" x14ac:dyDescent="0.2">
      <c r="A5768" s="10">
        <v>5707</v>
      </c>
      <c r="D5768" s="2" t="str">
        <f t="shared" si="89"/>
        <v>OK</v>
      </c>
      <c r="E5768" s="4" t="s">
        <v>1915</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1915</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1915</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0</v>
      </c>
      <c r="C5870" s="2" t="s">
        <v>573</v>
      </c>
      <c r="D5870" s="2" t="str">
        <f t="shared" si="90"/>
        <v>Error?</v>
      </c>
    </row>
    <row r="5871" spans="1:4" x14ac:dyDescent="0.2">
      <c r="A5871" s="5">
        <v>5810</v>
      </c>
      <c r="B5871" s="138">
        <f>'Revenues 9-14'!H5</f>
        <v>10132959</v>
      </c>
      <c r="D5871" s="2" t="str">
        <f t="shared" si="90"/>
        <v>Error?</v>
      </c>
    </row>
    <row r="5872" spans="1:4" x14ac:dyDescent="0.2">
      <c r="A5872" s="5">
        <v>5811</v>
      </c>
      <c r="B5872" s="138">
        <f>'Revenues 9-14'!H11</f>
        <v>0</v>
      </c>
      <c r="D5872" s="2" t="str">
        <f t="shared" si="90"/>
        <v>Error?</v>
      </c>
    </row>
    <row r="5873" spans="1:4" x14ac:dyDescent="0.2">
      <c r="A5873" s="5">
        <v>5812</v>
      </c>
      <c r="B5873" s="138">
        <f>'Revenues 9-14'!H12</f>
        <v>10132959</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2052809</v>
      </c>
      <c r="D5879" s="2" t="str">
        <f t="shared" si="90"/>
        <v>Error?</v>
      </c>
    </row>
    <row r="5880" spans="1:4" x14ac:dyDescent="0.2">
      <c r="A5880" s="5">
        <v>5819</v>
      </c>
      <c r="B5880" s="138">
        <f>'Revenues 9-14'!H66</f>
        <v>14838178</v>
      </c>
      <c r="D5880" s="2" t="str">
        <f t="shared" si="90"/>
        <v>Error?</v>
      </c>
    </row>
    <row r="5881" spans="1:4" x14ac:dyDescent="0.2">
      <c r="A5881" s="5">
        <v>5820</v>
      </c>
      <c r="B5881" s="138">
        <f>'Revenues 9-14'!H67</f>
        <v>16890987</v>
      </c>
      <c r="C5881" s="2" t="s">
        <v>573</v>
      </c>
      <c r="D5881" s="2" t="str">
        <f t="shared" si="90"/>
        <v>Error?</v>
      </c>
    </row>
    <row r="5882" spans="1:4" x14ac:dyDescent="0.2">
      <c r="A5882" s="5">
        <v>5821</v>
      </c>
      <c r="B5882" s="138">
        <f>'Revenues 9-14'!H96</f>
        <v>79098</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35780337</v>
      </c>
      <c r="D5885" s="2" t="str">
        <f t="shared" si="90"/>
        <v>Error?</v>
      </c>
    </row>
    <row r="5886" spans="1:4" x14ac:dyDescent="0.2">
      <c r="A5886" s="5">
        <v>5825</v>
      </c>
      <c r="B5886" s="138">
        <f>'Revenues 9-14'!H108</f>
        <v>35859435</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13515104</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13515104</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76398485</v>
      </c>
      <c r="C5915" s="2" t="s">
        <v>573</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0</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0</v>
      </c>
      <c r="C6023" s="2" t="s">
        <v>573</v>
      </c>
      <c r="D6023" s="2" t="str">
        <f t="shared" si="93"/>
        <v>Error?</v>
      </c>
    </row>
    <row r="6024" spans="1:5" x14ac:dyDescent="0.2">
      <c r="A6024" s="5">
        <v>5963</v>
      </c>
      <c r="B6024" s="138">
        <f>'Revenues 9-14'!G109</f>
        <v>0</v>
      </c>
      <c r="C6024" s="2" t="s">
        <v>573</v>
      </c>
      <c r="D6024" s="2" t="str">
        <f t="shared" si="93"/>
        <v>Error?</v>
      </c>
    </row>
    <row r="6025" spans="1:5" x14ac:dyDescent="0.2">
      <c r="A6025" s="5">
        <v>5964</v>
      </c>
      <c r="B6025" s="138">
        <f>'Revenues 9-14'!H109</f>
        <v>62883381</v>
      </c>
      <c r="C6025" s="2" t="s">
        <v>573</v>
      </c>
      <c r="D6025" s="2" t="str">
        <f t="shared" si="93"/>
        <v>Error?</v>
      </c>
    </row>
    <row r="6026" spans="1:5" x14ac:dyDescent="0.2">
      <c r="A6026" s="5">
        <v>5965</v>
      </c>
      <c r="B6026" s="138">
        <f>'Revenues 9-14'!I109</f>
        <v>0</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2321954</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12847939</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328091.09999999998</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65113621</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344596817</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65636179</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16142354</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1</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36267608</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185581</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9776689</v>
      </c>
      <c r="D6130" s="2" t="str">
        <f t="shared" si="94"/>
        <v>Error?</v>
      </c>
      <c r="E6130" s="2" t="s">
        <v>190</v>
      </c>
    </row>
    <row r="6131" spans="1:5" x14ac:dyDescent="0.2">
      <c r="A6131">
        <v>6070</v>
      </c>
      <c r="B6131" s="138">
        <f>'Assets-Liab 5-6'!J25</f>
        <v>55151351</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982576</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526512</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635390512</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1072361</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70652936</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903</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157881656</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792973</v>
      </c>
      <c r="D6181" s="2" t="str">
        <f t="shared" si="95"/>
        <v>Error?</v>
      </c>
      <c r="E6181" s="2" t="s">
        <v>190</v>
      </c>
    </row>
    <row r="6182" spans="1:5" x14ac:dyDescent="0.2">
      <c r="A6182">
        <v>6121</v>
      </c>
      <c r="B6182" s="138">
        <f>'Assets-Liab 5-6'!C33</f>
        <v>52238159</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27083860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55945227</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-19677619</v>
      </c>
      <c r="D6215" s="2" t="str">
        <f t="shared" si="96"/>
        <v>Error?</v>
      </c>
      <c r="E6215" s="2" t="s">
        <v>190</v>
      </c>
    </row>
    <row r="6216" spans="1:5" x14ac:dyDescent="0.2">
      <c r="A6216">
        <v>6155</v>
      </c>
      <c r="B6216" s="138">
        <f>'Assets-Liab 5-6'!J41</f>
        <v>36267608</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36267607</v>
      </c>
      <c r="D6219" s="2" t="str">
        <f t="shared" si="96"/>
        <v>Error?</v>
      </c>
      <c r="E6219" s="2" t="s">
        <v>190</v>
      </c>
    </row>
    <row r="6220" spans="1:5" x14ac:dyDescent="0.2">
      <c r="A6220">
        <v>6159</v>
      </c>
      <c r="B6220" s="138">
        <f>'Acct Summary 7-8'!J4</f>
        <v>76465878</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76465878</v>
      </c>
      <c r="D6223" s="2" t="str">
        <f t="shared" si="96"/>
        <v>Error?</v>
      </c>
      <c r="E6223" s="2" t="s">
        <v>190</v>
      </c>
    </row>
    <row r="6224" spans="1:5" x14ac:dyDescent="0.2">
      <c r="A6224">
        <v>6163</v>
      </c>
      <c r="B6224" s="138">
        <f>'Acct Summary 7-8'!J9</f>
        <v>9675198</v>
      </c>
      <c r="D6224" s="2" t="str">
        <f t="shared" si="96"/>
        <v>Error?</v>
      </c>
      <c r="E6224" s="2" t="s">
        <v>190</v>
      </c>
    </row>
    <row r="6225" spans="1:5" x14ac:dyDescent="0.2">
      <c r="A6225">
        <v>6164</v>
      </c>
      <c r="B6225" s="138">
        <f>'Acct Summary 7-8'!J10</f>
        <v>86141076</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78311452</v>
      </c>
      <c r="D6227" s="2" t="str">
        <f t="shared" si="96"/>
        <v>Error?</v>
      </c>
      <c r="E6227" s="2" t="s">
        <v>190</v>
      </c>
    </row>
    <row r="6228" spans="1:5" x14ac:dyDescent="0.2">
      <c r="A6228">
        <v>6167</v>
      </c>
      <c r="B6228" s="138">
        <f>'Acct Summary 7-8'!J18</f>
        <v>9675198</v>
      </c>
      <c r="D6228" s="2" t="str">
        <f t="shared" si="96"/>
        <v>Error?</v>
      </c>
      <c r="E6228" s="2" t="s">
        <v>190</v>
      </c>
    </row>
    <row r="6229" spans="1:5" x14ac:dyDescent="0.2">
      <c r="A6229">
        <v>6168</v>
      </c>
      <c r="B6229" s="138">
        <f>'Acct Summary 7-8'!J19</f>
        <v>87986650</v>
      </c>
      <c r="D6229" s="2" t="str">
        <f t="shared" si="96"/>
        <v>Error?</v>
      </c>
      <c r="E6229" s="2" t="s">
        <v>190</v>
      </c>
    </row>
    <row r="6230" spans="1:5" x14ac:dyDescent="0.2">
      <c r="A6230">
        <v>6169</v>
      </c>
      <c r="B6230" s="138">
        <f>'Acct Summary 7-8'!J20</f>
        <v>-1845574</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-1845574</v>
      </c>
      <c r="D6263" s="2" t="str">
        <f t="shared" si="96"/>
        <v>Error?</v>
      </c>
      <c r="E6263" s="2" t="s">
        <v>190</v>
      </c>
    </row>
    <row r="6264" spans="1:5" x14ac:dyDescent="0.2">
      <c r="A6264">
        <v>6203</v>
      </c>
      <c r="B6264" s="138">
        <f>'Acct Summary 7-8'!J79</f>
        <v>-17832045</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-19677619</v>
      </c>
      <c r="D6266" s="2" t="str">
        <f t="shared" si="96"/>
        <v>Error?</v>
      </c>
      <c r="E6266" s="2" t="s">
        <v>190</v>
      </c>
    </row>
    <row r="6267" spans="1:5" x14ac:dyDescent="0.2">
      <c r="A6267">
        <v>6206</v>
      </c>
      <c r="B6267" s="138">
        <f>'Acct Summary 7-8'!C82</f>
        <v>149846681</v>
      </c>
      <c r="D6267" s="2" t="str">
        <f t="shared" si="96"/>
        <v>Error?</v>
      </c>
      <c r="E6267" s="2" t="s">
        <v>190</v>
      </c>
    </row>
    <row r="6268" spans="1:5" x14ac:dyDescent="0.2">
      <c r="A6268">
        <v>6207</v>
      </c>
      <c r="B6268" s="138">
        <f>'Acct Summary 7-8'!D82</f>
        <v>0</v>
      </c>
      <c r="D6268" s="2" t="str">
        <f t="shared" si="96"/>
        <v>Error?</v>
      </c>
      <c r="E6268" s="2" t="s">
        <v>190</v>
      </c>
    </row>
    <row r="6269" spans="1:5" x14ac:dyDescent="0.2">
      <c r="A6269">
        <v>6208</v>
      </c>
      <c r="B6269" s="138">
        <f>'Acct Summary 7-8'!E82</f>
        <v>-11475309</v>
      </c>
      <c r="D6269" s="2" t="str">
        <f t="shared" si="96"/>
        <v>Error?</v>
      </c>
      <c r="E6269" s="2" t="s">
        <v>190</v>
      </c>
    </row>
    <row r="6270" spans="1:5" x14ac:dyDescent="0.2">
      <c r="A6270">
        <v>6209</v>
      </c>
      <c r="B6270" s="138">
        <f>'Acct Summary 7-8'!F82</f>
        <v>0</v>
      </c>
      <c r="D6270" s="2" t="str">
        <f t="shared" si="96"/>
        <v>Error?</v>
      </c>
      <c r="E6270" s="2" t="s">
        <v>190</v>
      </c>
    </row>
    <row r="6271" spans="1:5" x14ac:dyDescent="0.2">
      <c r="A6271">
        <v>6210</v>
      </c>
      <c r="B6271" s="138">
        <f>'Acct Summary 7-8'!G82</f>
        <v>0</v>
      </c>
      <c r="D6271" s="2" t="str">
        <f t="shared" ref="D6271:D6334" si="97">IF(ISBLANK(B6271),"OK",IF(A6271-B6271=0,"OK","Error?"))</f>
        <v>Error?</v>
      </c>
      <c r="E6271" s="2" t="s">
        <v>190</v>
      </c>
    </row>
    <row r="6272" spans="1:5" x14ac:dyDescent="0.2">
      <c r="A6272">
        <v>6211</v>
      </c>
      <c r="B6272" s="138">
        <f>'Acct Summary 7-8'!H82</f>
        <v>-178364476</v>
      </c>
      <c r="D6272" s="2" t="str">
        <f t="shared" si="97"/>
        <v>Error?</v>
      </c>
      <c r="E6272" s="2" t="s">
        <v>190</v>
      </c>
    </row>
    <row r="6273" spans="1:5" x14ac:dyDescent="0.2">
      <c r="A6273">
        <v>6212</v>
      </c>
      <c r="B6273" s="138">
        <f>'Acct Summary 7-8'!I82</f>
        <v>0</v>
      </c>
      <c r="D6273" s="2" t="str">
        <f t="shared" si="97"/>
        <v>Error?</v>
      </c>
      <c r="E6273" s="2" t="s">
        <v>190</v>
      </c>
    </row>
    <row r="6274" spans="1:5" x14ac:dyDescent="0.2">
      <c r="A6274">
        <v>6213</v>
      </c>
      <c r="B6274" s="138">
        <f>'Acct Summary 7-8'!J82</f>
        <v>-1845574</v>
      </c>
      <c r="D6274" s="2" t="str">
        <f t="shared" si="97"/>
        <v>Error?</v>
      </c>
      <c r="E6274" s="2" t="s">
        <v>190</v>
      </c>
    </row>
    <row r="6275" spans="1:5" x14ac:dyDescent="0.2">
      <c r="A6275">
        <v>6214</v>
      </c>
      <c r="B6275" s="138">
        <f>'Acct Summary 7-8'!K82</f>
        <v>0</v>
      </c>
      <c r="D6275" s="2" t="str">
        <f t="shared" si="97"/>
        <v>Error?</v>
      </c>
      <c r="E6275" s="2" t="s">
        <v>190</v>
      </c>
    </row>
    <row r="6276" spans="1:5" x14ac:dyDescent="0.2">
      <c r="A6276">
        <v>6215</v>
      </c>
      <c r="B6276" s="138">
        <f>'Acct Summary 7-8'!C83</f>
        <v>0.30491140726452248</v>
      </c>
      <c r="D6276" s="2" t="str">
        <f t="shared" si="97"/>
        <v>Error?</v>
      </c>
      <c r="E6276" s="2" t="s">
        <v>190</v>
      </c>
    </row>
    <row r="6277" spans="1:5" x14ac:dyDescent="0.2">
      <c r="A6277">
        <v>6216</v>
      </c>
      <c r="B6277" s="138" t="e">
        <f>'Acct Summary 7-8'!D83</f>
        <v>#DIV/0!</v>
      </c>
      <c r="D6277" s="2" t="e">
        <f t="shared" si="97"/>
        <v>#DIV/0!</v>
      </c>
      <c r="E6277" s="2" t="s">
        <v>190</v>
      </c>
    </row>
    <row r="6278" spans="1:5" x14ac:dyDescent="0.2">
      <c r="A6278">
        <v>6217</v>
      </c>
      <c r="B6278" s="138">
        <f>'Acct Summary 7-8'!E83</f>
        <v>-1.4825179083631637E-2</v>
      </c>
      <c r="D6278" s="2" t="str">
        <f t="shared" si="97"/>
        <v>Error?</v>
      </c>
      <c r="E6278" s="2" t="s">
        <v>190</v>
      </c>
    </row>
    <row r="6279" spans="1:5" x14ac:dyDescent="0.2">
      <c r="A6279">
        <v>6218</v>
      </c>
      <c r="B6279" s="138" t="e">
        <f>'Acct Summary 7-8'!F83</f>
        <v>#DIV/0!</v>
      </c>
      <c r="D6279" s="2" t="e">
        <f t="shared" si="97"/>
        <v>#DIV/0!</v>
      </c>
      <c r="E6279" s="2" t="s">
        <v>190</v>
      </c>
    </row>
    <row r="6280" spans="1:5" x14ac:dyDescent="0.2">
      <c r="A6280">
        <v>6219</v>
      </c>
      <c r="B6280" s="138" t="e">
        <f>'Acct Summary 7-8'!G83</f>
        <v>#DIV/0!</v>
      </c>
      <c r="D6280" s="2" t="e">
        <f t="shared" si="97"/>
        <v>#DIV/0!</v>
      </c>
      <c r="E6280" s="2" t="s">
        <v>190</v>
      </c>
    </row>
    <row r="6281" spans="1:5" x14ac:dyDescent="0.2">
      <c r="A6281">
        <v>6220</v>
      </c>
      <c r="B6281" s="138">
        <f>'Acct Summary 7-8'!H83</f>
        <v>-0.24885291500260398</v>
      </c>
      <c r="D6281" s="2" t="str">
        <f t="shared" si="97"/>
        <v>Error?</v>
      </c>
      <c r="E6281" s="2" t="s">
        <v>190</v>
      </c>
    </row>
    <row r="6282" spans="1:5" x14ac:dyDescent="0.2">
      <c r="A6282">
        <v>6221</v>
      </c>
      <c r="B6282" s="138" t="e">
        <f>'Acct Summary 7-8'!I83</f>
        <v>#DIV/0!</v>
      </c>
      <c r="D6282" s="2" t="e">
        <f t="shared" si="97"/>
        <v>#DIV/0!</v>
      </c>
      <c r="E6282" s="2" t="s">
        <v>190</v>
      </c>
    </row>
    <row r="6283" spans="1:5" x14ac:dyDescent="0.2">
      <c r="A6283">
        <v>6222</v>
      </c>
      <c r="B6283" s="138">
        <f>'Acct Summary 7-8'!J83</f>
        <v>9.3790513984440896E-2</v>
      </c>
      <c r="D6283" s="2" t="str">
        <f t="shared" si="97"/>
        <v>Error?</v>
      </c>
      <c r="E6283" s="2" t="s">
        <v>190</v>
      </c>
    </row>
    <row r="6284" spans="1:5" x14ac:dyDescent="0.2">
      <c r="A6284">
        <v>6223</v>
      </c>
      <c r="B6284" s="138" t="e">
        <f>'Acct Summary 7-8'!K83</f>
        <v>#DIV/0!</v>
      </c>
      <c r="D6284" s="2" t="e">
        <f t="shared" si="97"/>
        <v>#DIV/0!</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76451096</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76451096</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14782</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14782</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93766775</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734063</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76465878</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111715</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1914</v>
      </c>
    </row>
    <row r="6383" spans="1:6" x14ac:dyDescent="0.2">
      <c r="A6383" s="129">
        <v>6322</v>
      </c>
      <c r="D6383" s="2" t="str">
        <f t="shared" si="98"/>
        <v>OK</v>
      </c>
      <c r="E6383" s="2" t="s">
        <v>190</v>
      </c>
      <c r="F6383" s="1" t="s">
        <v>1914</v>
      </c>
    </row>
    <row r="6384" spans="1:6" x14ac:dyDescent="0.2">
      <c r="A6384" s="129">
        <v>6323</v>
      </c>
      <c r="D6384" s="2" t="str">
        <f t="shared" si="98"/>
        <v>OK</v>
      </c>
      <c r="E6384" s="2" t="s">
        <v>190</v>
      </c>
      <c r="F6384" s="1" t="s">
        <v>1914</v>
      </c>
    </row>
    <row r="6385" spans="1:6" x14ac:dyDescent="0.2">
      <c r="A6385" s="129">
        <v>6324</v>
      </c>
      <c r="D6385" s="2" t="str">
        <f t="shared" si="98"/>
        <v>OK</v>
      </c>
      <c r="E6385" s="2" t="s">
        <v>190</v>
      </c>
      <c r="F6385" s="1" t="s">
        <v>1914</v>
      </c>
    </row>
    <row r="6386" spans="1:6" x14ac:dyDescent="0.2">
      <c r="A6386" s="129">
        <v>6325</v>
      </c>
      <c r="D6386" s="2" t="str">
        <f t="shared" si="98"/>
        <v>OK</v>
      </c>
      <c r="E6386" s="2" t="s">
        <v>190</v>
      </c>
      <c r="F6386" s="1" t="s">
        <v>1914</v>
      </c>
    </row>
    <row r="6387" spans="1:6" x14ac:dyDescent="0.2">
      <c r="A6387" s="129">
        <v>6326</v>
      </c>
      <c r="D6387" s="2" t="str">
        <f t="shared" si="98"/>
        <v>OK</v>
      </c>
      <c r="E6387" s="2" t="s">
        <v>190</v>
      </c>
      <c r="F6387" s="1" t="s">
        <v>1914</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1914</v>
      </c>
    </row>
    <row r="6411" spans="1:6" x14ac:dyDescent="0.2">
      <c r="A6411" s="129">
        <v>6350</v>
      </c>
      <c r="D6411" s="2" t="str">
        <f t="shared" si="99"/>
        <v>OK</v>
      </c>
      <c r="E6411" s="2" t="s">
        <v>190</v>
      </c>
      <c r="F6411" s="1" t="s">
        <v>1914</v>
      </c>
    </row>
    <row r="6412" spans="1:6" x14ac:dyDescent="0.2">
      <c r="A6412" s="129">
        <v>6351</v>
      </c>
      <c r="D6412" s="2" t="str">
        <f t="shared" si="99"/>
        <v>OK</v>
      </c>
      <c r="E6412" s="2" t="s">
        <v>190</v>
      </c>
      <c r="F6412" s="1" t="s">
        <v>1914</v>
      </c>
    </row>
    <row r="6413" spans="1:6" x14ac:dyDescent="0.2">
      <c r="A6413" s="129">
        <v>6352</v>
      </c>
      <c r="D6413" s="2" t="str">
        <f t="shared" si="99"/>
        <v>OK</v>
      </c>
      <c r="E6413" s="2" t="s">
        <v>190</v>
      </c>
      <c r="F6413" s="1" t="s">
        <v>1914</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90104236</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24886885</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24886885</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1914</v>
      </c>
    </row>
    <row r="6842" spans="1:5" x14ac:dyDescent="0.2">
      <c r="A6842" s="129">
        <v>6781</v>
      </c>
      <c r="D6842" s="2" t="str">
        <f t="shared" si="105"/>
        <v>OK</v>
      </c>
      <c r="E6842" s="1" t="s">
        <v>1914</v>
      </c>
    </row>
    <row r="6843" spans="1:5" x14ac:dyDescent="0.2">
      <c r="A6843" s="129">
        <v>6782</v>
      </c>
      <c r="D6843" s="2" t="str">
        <f t="shared" si="105"/>
        <v>OK</v>
      </c>
      <c r="E6843" s="1" t="s">
        <v>1914</v>
      </c>
    </row>
    <row r="6844" spans="1:5" x14ac:dyDescent="0.2">
      <c r="A6844">
        <v>6783</v>
      </c>
      <c r="B6844" s="138">
        <f>'Expenditures 15-22'!I5</f>
        <v>22272873</v>
      </c>
      <c r="D6844" s="2" t="str">
        <f t="shared" si="105"/>
        <v>Error?</v>
      </c>
    </row>
    <row r="6845" spans="1:5" x14ac:dyDescent="0.2">
      <c r="A6845">
        <v>6784</v>
      </c>
      <c r="B6845" s="138">
        <f>'Expenditures 15-22'!J5</f>
        <v>11803239</v>
      </c>
      <c r="D6845" s="2" t="str">
        <f t="shared" si="105"/>
        <v>Error?</v>
      </c>
    </row>
    <row r="6846" spans="1:5" x14ac:dyDescent="0.2">
      <c r="A6846">
        <v>6785</v>
      </c>
      <c r="B6846" s="138">
        <f>'Expenditures 15-22'!I7</f>
        <v>4848636</v>
      </c>
      <c r="D6846" s="2" t="str">
        <f t="shared" si="105"/>
        <v>Error?</v>
      </c>
    </row>
    <row r="6847" spans="1:5" x14ac:dyDescent="0.2">
      <c r="A6847">
        <v>6786</v>
      </c>
      <c r="B6847" s="138">
        <f>'Expenditures 15-22'!J7</f>
        <v>128116</v>
      </c>
      <c r="D6847" s="2" t="str">
        <f t="shared" ref="D6847:D6910" si="106">IF(ISBLANK(B6847),"OK",IF(A6847-B6847=0,"OK","Error?"))</f>
        <v>Error?</v>
      </c>
    </row>
    <row r="6848" spans="1:5" x14ac:dyDescent="0.2">
      <c r="A6848">
        <v>6787</v>
      </c>
      <c r="B6848" s="138">
        <f>'Expenditures 15-22'!K7</f>
        <v>132840939</v>
      </c>
      <c r="D6848" s="2" t="str">
        <f t="shared" si="106"/>
        <v>Error?</v>
      </c>
    </row>
    <row r="6849" spans="1:4" x14ac:dyDescent="0.2">
      <c r="A6849">
        <v>6788</v>
      </c>
      <c r="B6849" s="138">
        <f>'Expenditures 15-22'!I8</f>
        <v>551650</v>
      </c>
      <c r="D6849" s="2" t="str">
        <f t="shared" si="106"/>
        <v>Error?</v>
      </c>
    </row>
    <row r="6850" spans="1:4" x14ac:dyDescent="0.2">
      <c r="A6850">
        <v>6789</v>
      </c>
      <c r="B6850" s="138">
        <f>'Expenditures 15-22'!J8</f>
        <v>3995482</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106287</v>
      </c>
      <c r="D6852" s="2" t="str">
        <f t="shared" si="106"/>
        <v>Error?</v>
      </c>
    </row>
    <row r="6853" spans="1:4" x14ac:dyDescent="0.2">
      <c r="A6853">
        <v>6792</v>
      </c>
      <c r="B6853" s="138">
        <f>'Expenditures 15-22'!K9</f>
        <v>36024884</v>
      </c>
      <c r="D6853" s="2" t="str">
        <f t="shared" si="106"/>
        <v>Error?</v>
      </c>
    </row>
    <row r="6854" spans="1:4" x14ac:dyDescent="0.2">
      <c r="A6854">
        <v>6793</v>
      </c>
      <c r="B6854" s="138">
        <f>'Expenditures 15-22'!I10</f>
        <v>29187</v>
      </c>
      <c r="D6854" s="2" t="str">
        <f t="shared" si="106"/>
        <v>Error?</v>
      </c>
    </row>
    <row r="6855" spans="1:4" x14ac:dyDescent="0.2">
      <c r="A6855">
        <v>6794</v>
      </c>
      <c r="B6855" s="138">
        <f>'Expenditures 15-22'!J10</f>
        <v>4588</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1574</v>
      </c>
      <c r="D6860" s="2" t="str">
        <f t="shared" si="106"/>
        <v>Error?</v>
      </c>
    </row>
    <row r="6861" spans="1:4" x14ac:dyDescent="0.2">
      <c r="A6861">
        <v>6800</v>
      </c>
      <c r="B6861" s="138">
        <f>'Expenditures 15-22'!I13</f>
        <v>2383558</v>
      </c>
      <c r="D6861" s="2" t="str">
        <f t="shared" si="106"/>
        <v>Error?</v>
      </c>
    </row>
    <row r="6862" spans="1:4" x14ac:dyDescent="0.2">
      <c r="A6862">
        <v>6801</v>
      </c>
      <c r="B6862" s="138">
        <f>'Expenditures 15-22'!J13</f>
        <v>95642</v>
      </c>
      <c r="D6862" s="2" t="str">
        <f t="shared" si="106"/>
        <v>Error?</v>
      </c>
    </row>
    <row r="6863" spans="1:4" x14ac:dyDescent="0.2">
      <c r="A6863">
        <v>6802</v>
      </c>
      <c r="B6863" s="138">
        <f>'Expenditures 15-22'!I14</f>
        <v>246476</v>
      </c>
      <c r="D6863" s="2" t="str">
        <f t="shared" si="106"/>
        <v>Error?</v>
      </c>
    </row>
    <row r="6864" spans="1:4" x14ac:dyDescent="0.2">
      <c r="A6864">
        <v>6803</v>
      </c>
      <c r="B6864" s="138">
        <f>'Expenditures 15-22'!J14</f>
        <v>20919</v>
      </c>
      <c r="D6864" s="2" t="str">
        <f t="shared" si="106"/>
        <v>Error?</v>
      </c>
    </row>
    <row r="6865" spans="1:4" x14ac:dyDescent="0.2">
      <c r="A6865">
        <v>6804</v>
      </c>
      <c r="B6865" s="138">
        <f>'Expenditures 15-22'!I15</f>
        <v>4004</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1375</v>
      </c>
      <c r="D6869" s="2" t="str">
        <f t="shared" si="106"/>
        <v>Error?</v>
      </c>
    </row>
    <row r="6870" spans="1:4" x14ac:dyDescent="0.2">
      <c r="A6870">
        <v>6809</v>
      </c>
      <c r="B6870" s="138">
        <f>'Expenditures 15-22'!J17</f>
        <v>1338</v>
      </c>
      <c r="D6870" s="2" t="str">
        <f t="shared" si="106"/>
        <v>Error?</v>
      </c>
    </row>
    <row r="6871" spans="1:4" x14ac:dyDescent="0.2">
      <c r="A6871">
        <v>6810</v>
      </c>
      <c r="B6871" s="138">
        <f>'Expenditures 15-22'!K17</f>
        <v>3264019</v>
      </c>
      <c r="D6871" s="2" t="str">
        <f t="shared" si="106"/>
        <v>Error?</v>
      </c>
    </row>
    <row r="6872" spans="1:4" x14ac:dyDescent="0.2">
      <c r="A6872">
        <v>6811</v>
      </c>
      <c r="B6872" s="138">
        <f>'Expenditures 15-22'!I18</f>
        <v>5734</v>
      </c>
      <c r="D6872" s="2" t="str">
        <f t="shared" si="106"/>
        <v>Error?</v>
      </c>
    </row>
    <row r="6873" spans="1:4" x14ac:dyDescent="0.2">
      <c r="A6873">
        <v>6812</v>
      </c>
      <c r="B6873" s="138">
        <f>'Expenditures 15-22'!J18</f>
        <v>364630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53664369</v>
      </c>
      <c r="D6880" s="2" t="str">
        <f t="shared" si="106"/>
        <v>Error?</v>
      </c>
    </row>
    <row r="6881" spans="1:4" x14ac:dyDescent="0.2">
      <c r="A6881">
        <v>6820</v>
      </c>
      <c r="B6881" s="138">
        <f>'Expenditures 15-22'!K22</f>
        <v>53664369</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30343493</v>
      </c>
      <c r="D6902" s="2" t="str">
        <f t="shared" si="106"/>
        <v>Error?</v>
      </c>
    </row>
    <row r="6903" spans="1:4" x14ac:dyDescent="0.2">
      <c r="A6903">
        <v>6842</v>
      </c>
      <c r="B6903" s="138">
        <f>'Expenditures 15-22'!J33</f>
        <v>16521815</v>
      </c>
      <c r="D6903" s="2" t="str">
        <f t="shared" si="106"/>
        <v>Error?</v>
      </c>
    </row>
    <row r="6904" spans="1:4" x14ac:dyDescent="0.2">
      <c r="A6904">
        <v>6843</v>
      </c>
      <c r="B6904" s="138">
        <f>'Expenditures 15-22'!I36</f>
        <v>213880</v>
      </c>
      <c r="D6904" s="2" t="str">
        <f t="shared" si="106"/>
        <v>Error?</v>
      </c>
    </row>
    <row r="6905" spans="1:4" x14ac:dyDescent="0.2">
      <c r="A6905">
        <v>6844</v>
      </c>
      <c r="B6905" s="138">
        <f>'Expenditures 15-22'!J36</f>
        <v>362411</v>
      </c>
      <c r="D6905" s="2" t="str">
        <f t="shared" si="106"/>
        <v>Error?</v>
      </c>
    </row>
    <row r="6906" spans="1:4" x14ac:dyDescent="0.2">
      <c r="A6906">
        <v>6845</v>
      </c>
      <c r="B6906" s="138">
        <f>'Expenditures 15-22'!I37</f>
        <v>117161</v>
      </c>
      <c r="D6906" s="2" t="str">
        <f t="shared" si="106"/>
        <v>Error?</v>
      </c>
    </row>
    <row r="6907" spans="1:4" x14ac:dyDescent="0.2">
      <c r="A6907">
        <v>6846</v>
      </c>
      <c r="B6907" s="138">
        <f>'Expenditures 15-22'!J37</f>
        <v>753900</v>
      </c>
      <c r="D6907" s="2" t="str">
        <f t="shared" si="106"/>
        <v>Error?</v>
      </c>
    </row>
    <row r="6908" spans="1:4" x14ac:dyDescent="0.2">
      <c r="A6908">
        <v>6847</v>
      </c>
      <c r="B6908" s="138">
        <f>'Expenditures 15-22'!I38</f>
        <v>15246</v>
      </c>
      <c r="D6908" s="2" t="str">
        <f t="shared" si="106"/>
        <v>Error?</v>
      </c>
    </row>
    <row r="6909" spans="1:4" x14ac:dyDescent="0.2">
      <c r="A6909">
        <v>6848</v>
      </c>
      <c r="B6909" s="138">
        <f>'Expenditures 15-22'!J38</f>
        <v>225292</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163913</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218567</v>
      </c>
      <c r="D6913" s="2" t="str">
        <f t="shared" si="107"/>
        <v>Error?</v>
      </c>
    </row>
    <row r="6914" spans="1:4" x14ac:dyDescent="0.2">
      <c r="A6914">
        <v>6853</v>
      </c>
      <c r="B6914" s="138">
        <f>'Expenditures 15-22'!I41</f>
        <v>8857</v>
      </c>
      <c r="D6914" s="2" t="str">
        <f t="shared" si="107"/>
        <v>Error?</v>
      </c>
    </row>
    <row r="6915" spans="1:4" x14ac:dyDescent="0.2">
      <c r="A6915">
        <v>6854</v>
      </c>
      <c r="B6915" s="138">
        <f>'Expenditures 15-22'!J41</f>
        <v>108709</v>
      </c>
      <c r="D6915" s="2" t="str">
        <f t="shared" si="107"/>
        <v>Error?</v>
      </c>
    </row>
    <row r="6916" spans="1:4" x14ac:dyDescent="0.2">
      <c r="A6916">
        <v>6855</v>
      </c>
      <c r="B6916" s="138">
        <f>'Expenditures 15-22'!I42</f>
        <v>355144</v>
      </c>
      <c r="D6916" s="2" t="str">
        <f t="shared" si="107"/>
        <v>Error?</v>
      </c>
    </row>
    <row r="6917" spans="1:4" x14ac:dyDescent="0.2">
      <c r="A6917">
        <v>6856</v>
      </c>
      <c r="B6917" s="138">
        <f>'Expenditures 15-22'!J42</f>
        <v>1832792</v>
      </c>
      <c r="D6917" s="2" t="str">
        <f t="shared" si="107"/>
        <v>Error?</v>
      </c>
    </row>
    <row r="6918" spans="1:4" x14ac:dyDescent="0.2">
      <c r="A6918">
        <v>6857</v>
      </c>
      <c r="B6918" s="138">
        <f>'Expenditures 15-22'!I44</f>
        <v>474292</v>
      </c>
      <c r="D6918" s="2" t="str">
        <f t="shared" si="107"/>
        <v>Error?</v>
      </c>
    </row>
    <row r="6919" spans="1:4" x14ac:dyDescent="0.2">
      <c r="A6919">
        <v>6858</v>
      </c>
      <c r="B6919" s="138">
        <f>'Expenditures 15-22'!J44</f>
        <v>343441</v>
      </c>
      <c r="D6919" s="2" t="str">
        <f t="shared" si="107"/>
        <v>Error?</v>
      </c>
    </row>
    <row r="6920" spans="1:4" x14ac:dyDescent="0.2">
      <c r="A6920">
        <v>6859</v>
      </c>
      <c r="B6920" s="138">
        <f>'Expenditures 15-22'!I45</f>
        <v>8745783</v>
      </c>
      <c r="D6920" s="2" t="str">
        <f t="shared" si="107"/>
        <v>Error?</v>
      </c>
    </row>
    <row r="6921" spans="1:4" x14ac:dyDescent="0.2">
      <c r="A6921">
        <v>6860</v>
      </c>
      <c r="B6921" s="138">
        <f>'Expenditures 15-22'!J45</f>
        <v>205251</v>
      </c>
      <c r="D6921" s="2" t="str">
        <f t="shared" si="107"/>
        <v>Error?</v>
      </c>
    </row>
    <row r="6922" spans="1:4" x14ac:dyDescent="0.2">
      <c r="A6922">
        <v>6861</v>
      </c>
      <c r="B6922" s="138">
        <f>'Expenditures 15-22'!I46</f>
        <v>4405</v>
      </c>
      <c r="D6922" s="2" t="str">
        <f t="shared" si="107"/>
        <v>Error?</v>
      </c>
    </row>
    <row r="6923" spans="1:4" x14ac:dyDescent="0.2">
      <c r="A6923">
        <v>6862</v>
      </c>
      <c r="B6923" s="138">
        <f>'Expenditures 15-22'!J46</f>
        <v>13924</v>
      </c>
      <c r="D6923" s="2" t="str">
        <f t="shared" si="107"/>
        <v>Error?</v>
      </c>
    </row>
    <row r="6924" spans="1:4" x14ac:dyDescent="0.2">
      <c r="A6924">
        <v>6863</v>
      </c>
      <c r="B6924" s="138">
        <f>'Expenditures 15-22'!I47</f>
        <v>9224480</v>
      </c>
      <c r="D6924" s="2" t="str">
        <f t="shared" si="107"/>
        <v>Error?</v>
      </c>
    </row>
    <row r="6925" spans="1:4" x14ac:dyDescent="0.2">
      <c r="A6925">
        <v>6864</v>
      </c>
      <c r="B6925" s="138">
        <f>'Expenditures 15-22'!J47</f>
        <v>562616</v>
      </c>
      <c r="D6925" s="2" t="str">
        <f t="shared" si="107"/>
        <v>Error?</v>
      </c>
    </row>
    <row r="6926" spans="1:4" x14ac:dyDescent="0.2">
      <c r="A6926">
        <v>6865</v>
      </c>
      <c r="B6926" s="138">
        <f>'Expenditures 15-22'!I49</f>
        <v>25814</v>
      </c>
      <c r="D6926" s="2" t="str">
        <f t="shared" si="107"/>
        <v>Error?</v>
      </c>
    </row>
    <row r="6927" spans="1:4" x14ac:dyDescent="0.2">
      <c r="A6927">
        <v>6866</v>
      </c>
      <c r="B6927" s="138">
        <f>'Expenditures 15-22'!J49</f>
        <v>249232</v>
      </c>
      <c r="D6927" s="2" t="str">
        <f t="shared" si="107"/>
        <v>Error?</v>
      </c>
    </row>
    <row r="6928" spans="1:4" x14ac:dyDescent="0.2">
      <c r="A6928">
        <v>6867</v>
      </c>
      <c r="B6928" s="138">
        <f>'Expenditures 15-22'!I50</f>
        <v>643</v>
      </c>
      <c r="D6928" s="2" t="str">
        <f t="shared" si="107"/>
        <v>Error?</v>
      </c>
    </row>
    <row r="6929" spans="1:4" x14ac:dyDescent="0.2">
      <c r="A6929">
        <v>6868</v>
      </c>
      <c r="B6929" s="138">
        <f>'Expenditures 15-22'!J50</f>
        <v>38940</v>
      </c>
      <c r="D6929" s="2" t="str">
        <f t="shared" si="107"/>
        <v>Error?</v>
      </c>
    </row>
    <row r="6930" spans="1:4" x14ac:dyDescent="0.2">
      <c r="A6930">
        <v>6869</v>
      </c>
      <c r="B6930" s="138">
        <f>'Expenditures 15-22'!I51</f>
        <v>252515</v>
      </c>
      <c r="D6930" s="2" t="str">
        <f t="shared" si="107"/>
        <v>Error?</v>
      </c>
    </row>
    <row r="6931" spans="1:4" x14ac:dyDescent="0.2">
      <c r="A6931">
        <v>6870</v>
      </c>
      <c r="B6931" s="138">
        <f>'Expenditures 15-22'!J51</f>
        <v>56883</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278972</v>
      </c>
      <c r="D6942" s="2" t="str">
        <f t="shared" si="107"/>
        <v>Error?</v>
      </c>
    </row>
    <row r="6943" spans="1:4" x14ac:dyDescent="0.2">
      <c r="A6943">
        <v>6882</v>
      </c>
      <c r="B6943" s="138">
        <f>'Expenditures 15-22'!J53</f>
        <v>345055</v>
      </c>
      <c r="D6943" s="2" t="str">
        <f t="shared" si="107"/>
        <v>Error?</v>
      </c>
    </row>
    <row r="6944" spans="1:4" x14ac:dyDescent="0.2">
      <c r="A6944">
        <v>6883</v>
      </c>
      <c r="B6944" s="138">
        <f>'Expenditures 15-22'!I55</f>
        <v>2170922</v>
      </c>
      <c r="D6944" s="2" t="str">
        <f t="shared" si="107"/>
        <v>Error?</v>
      </c>
    </row>
    <row r="6945" spans="1:4" x14ac:dyDescent="0.2">
      <c r="A6945">
        <v>6884</v>
      </c>
      <c r="B6945" s="138">
        <f>'Expenditures 15-22'!J55</f>
        <v>1700769</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6624</v>
      </c>
      <c r="D6947" s="2" t="str">
        <f t="shared" si="107"/>
        <v>Error?</v>
      </c>
    </row>
    <row r="6948" spans="1:4" x14ac:dyDescent="0.2">
      <c r="A6948">
        <v>6887</v>
      </c>
      <c r="B6948" s="138">
        <f>'Expenditures 15-22'!I57</f>
        <v>2170922</v>
      </c>
      <c r="D6948" s="2" t="str">
        <f t="shared" si="107"/>
        <v>Error?</v>
      </c>
    </row>
    <row r="6949" spans="1:4" x14ac:dyDescent="0.2">
      <c r="A6949">
        <v>6888</v>
      </c>
      <c r="B6949" s="138">
        <f>'Expenditures 15-22'!J57</f>
        <v>1707393</v>
      </c>
      <c r="D6949" s="2" t="str">
        <f t="shared" si="107"/>
        <v>Error?</v>
      </c>
    </row>
    <row r="6950" spans="1:4" x14ac:dyDescent="0.2">
      <c r="A6950">
        <v>6889</v>
      </c>
      <c r="B6950" s="138">
        <f>'Expenditures 15-22'!I59</f>
        <v>6595</v>
      </c>
      <c r="D6950" s="2" t="str">
        <f t="shared" si="107"/>
        <v>Error?</v>
      </c>
    </row>
    <row r="6951" spans="1:4" x14ac:dyDescent="0.2">
      <c r="A6951">
        <v>6890</v>
      </c>
      <c r="B6951" s="138">
        <f>'Expenditures 15-22'!J59</f>
        <v>61301</v>
      </c>
      <c r="D6951" s="2" t="str">
        <f t="shared" si="107"/>
        <v>Error?</v>
      </c>
    </row>
    <row r="6952" spans="1:4" x14ac:dyDescent="0.2">
      <c r="A6952">
        <v>6891</v>
      </c>
      <c r="B6952" s="138">
        <f>'Expenditures 15-22'!I60</f>
        <v>2681</v>
      </c>
      <c r="D6952" s="2" t="str">
        <f t="shared" si="107"/>
        <v>Error?</v>
      </c>
    </row>
    <row r="6953" spans="1:4" x14ac:dyDescent="0.2">
      <c r="A6953">
        <v>6892</v>
      </c>
      <c r="B6953" s="138">
        <f>'Expenditures 15-22'!J60</f>
        <v>159801</v>
      </c>
      <c r="D6953" s="2" t="str">
        <f t="shared" si="107"/>
        <v>Error?</v>
      </c>
    </row>
    <row r="6954" spans="1:4" x14ac:dyDescent="0.2">
      <c r="A6954">
        <v>6893</v>
      </c>
      <c r="B6954" s="138">
        <f>'Expenditures 15-22'!I61</f>
        <v>1472888</v>
      </c>
      <c r="D6954" s="2" t="str">
        <f t="shared" si="107"/>
        <v>Error?</v>
      </c>
    </row>
    <row r="6955" spans="1:4" x14ac:dyDescent="0.2">
      <c r="A6955">
        <v>6894</v>
      </c>
      <c r="B6955" s="138">
        <f>'Expenditures 15-22'!J61</f>
        <v>169885</v>
      </c>
      <c r="D6955" s="2" t="str">
        <f t="shared" si="107"/>
        <v>Error?</v>
      </c>
    </row>
    <row r="6956" spans="1:4" x14ac:dyDescent="0.2">
      <c r="A6956">
        <v>6895</v>
      </c>
      <c r="B6956" s="138">
        <f>'Expenditures 15-22'!I62</f>
        <v>200521</v>
      </c>
      <c r="D6956" s="2" t="str">
        <f t="shared" si="107"/>
        <v>Error?</v>
      </c>
    </row>
    <row r="6957" spans="1:4" x14ac:dyDescent="0.2">
      <c r="A6957">
        <v>6896</v>
      </c>
      <c r="B6957" s="138">
        <f>'Expenditures 15-22'!J62</f>
        <v>262376</v>
      </c>
      <c r="D6957" s="2" t="str">
        <f t="shared" si="107"/>
        <v>Error?</v>
      </c>
    </row>
    <row r="6958" spans="1:4" x14ac:dyDescent="0.2">
      <c r="A6958">
        <v>6897</v>
      </c>
      <c r="B6958" s="138">
        <f>'Expenditures 15-22'!I63</f>
        <v>4001574</v>
      </c>
      <c r="D6958" s="2" t="str">
        <f t="shared" si="107"/>
        <v>Error?</v>
      </c>
    </row>
    <row r="6959" spans="1:4" x14ac:dyDescent="0.2">
      <c r="A6959">
        <v>6898</v>
      </c>
      <c r="B6959" s="138">
        <f>'Expenditures 15-22'!J63</f>
        <v>941951</v>
      </c>
      <c r="D6959" s="2" t="str">
        <f t="shared" si="107"/>
        <v>Error?</v>
      </c>
    </row>
    <row r="6960" spans="1:4" x14ac:dyDescent="0.2">
      <c r="A6960">
        <v>6899</v>
      </c>
      <c r="B6960" s="138">
        <f>'Expenditures 15-22'!J64</f>
        <v>48019</v>
      </c>
      <c r="D6960" s="2" t="str">
        <f t="shared" si="107"/>
        <v>Error?</v>
      </c>
    </row>
    <row r="6961" spans="1:4" x14ac:dyDescent="0.2">
      <c r="A6961">
        <v>6900</v>
      </c>
      <c r="B6961" s="138">
        <f>'Expenditures 15-22'!I65</f>
        <v>5684259</v>
      </c>
      <c r="D6961" s="2" t="str">
        <f t="shared" si="107"/>
        <v>Error?</v>
      </c>
    </row>
    <row r="6962" spans="1:4" x14ac:dyDescent="0.2">
      <c r="A6962">
        <v>6901</v>
      </c>
      <c r="B6962" s="138">
        <f>'Expenditures 15-22'!J65</f>
        <v>1643333</v>
      </c>
      <c r="D6962" s="2" t="str">
        <f t="shared" si="107"/>
        <v>Error?</v>
      </c>
    </row>
    <row r="6963" spans="1:4" x14ac:dyDescent="0.2">
      <c r="A6963">
        <v>6902</v>
      </c>
      <c r="B6963" s="138">
        <f>'Expenditures 15-22'!I67</f>
        <v>50990</v>
      </c>
      <c r="D6963" s="2" t="str">
        <f t="shared" si="107"/>
        <v>Error?</v>
      </c>
    </row>
    <row r="6964" spans="1:4" x14ac:dyDescent="0.2">
      <c r="A6964">
        <v>6903</v>
      </c>
      <c r="B6964" s="138">
        <f>'Expenditures 15-22'!J67</f>
        <v>72819</v>
      </c>
      <c r="D6964" s="2" t="str">
        <f t="shared" si="107"/>
        <v>Error?</v>
      </c>
    </row>
    <row r="6965" spans="1:4" x14ac:dyDescent="0.2">
      <c r="A6965">
        <v>6904</v>
      </c>
      <c r="B6965" s="138">
        <f>'Expenditures 15-22'!I68</f>
        <v>1856</v>
      </c>
      <c r="D6965" s="2" t="str">
        <f t="shared" si="107"/>
        <v>Error?</v>
      </c>
    </row>
    <row r="6966" spans="1:4" x14ac:dyDescent="0.2">
      <c r="A6966">
        <v>6905</v>
      </c>
      <c r="B6966" s="138">
        <f>'Expenditures 15-22'!J68</f>
        <v>52230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644</v>
      </c>
      <c r="D6968" s="2" t="str">
        <f t="shared" si="107"/>
        <v>Error?</v>
      </c>
    </row>
    <row r="6969" spans="1:4" x14ac:dyDescent="0.2">
      <c r="A6969">
        <v>6908</v>
      </c>
      <c r="B6969" s="138">
        <f>'Expenditures 15-22'!I70</f>
        <v>1733</v>
      </c>
      <c r="D6969" s="2" t="str">
        <f t="shared" si="107"/>
        <v>Error?</v>
      </c>
    </row>
    <row r="6970" spans="1:4" x14ac:dyDescent="0.2">
      <c r="A6970">
        <v>6909</v>
      </c>
      <c r="B6970" s="138">
        <f>'Expenditures 15-22'!J70</f>
        <v>95601</v>
      </c>
      <c r="D6970" s="2" t="str">
        <f t="shared" si="107"/>
        <v>Error?</v>
      </c>
    </row>
    <row r="6971" spans="1:4" x14ac:dyDescent="0.2">
      <c r="A6971">
        <v>6910</v>
      </c>
      <c r="B6971" s="138">
        <f>'Expenditures 15-22'!I71</f>
        <v>1086317</v>
      </c>
      <c r="D6971" s="2" t="str">
        <f t="shared" si="107"/>
        <v>Error?</v>
      </c>
    </row>
    <row r="6972" spans="1:4" x14ac:dyDescent="0.2">
      <c r="A6972">
        <v>6911</v>
      </c>
      <c r="B6972" s="138">
        <f>'Expenditures 15-22'!J71</f>
        <v>110922</v>
      </c>
      <c r="D6972" s="2" t="str">
        <f t="shared" si="107"/>
        <v>Error?</v>
      </c>
    </row>
    <row r="6973" spans="1:4" x14ac:dyDescent="0.2">
      <c r="A6973">
        <v>6912</v>
      </c>
      <c r="B6973" s="138">
        <f>'Expenditures 15-22'!I72</f>
        <v>1140896</v>
      </c>
      <c r="D6973" s="2" t="str">
        <f t="shared" si="107"/>
        <v>Error?</v>
      </c>
    </row>
    <row r="6974" spans="1:4" x14ac:dyDescent="0.2">
      <c r="A6974">
        <v>6913</v>
      </c>
      <c r="B6974" s="138">
        <f>'Expenditures 15-22'!J72</f>
        <v>332216</v>
      </c>
      <c r="D6974" s="2" t="str">
        <f t="shared" si="107"/>
        <v>Error?</v>
      </c>
    </row>
    <row r="6975" spans="1:4" x14ac:dyDescent="0.2">
      <c r="A6975">
        <v>6914</v>
      </c>
      <c r="B6975" s="138">
        <f>'Expenditures 15-22'!I73</f>
        <v>1376</v>
      </c>
      <c r="D6975" s="2" t="str">
        <f t="shared" ref="D6975:D7038" si="108">IF(ISBLANK(B6975),"OK",IF(A6975-B6975=0,"OK","Error?"))</f>
        <v>Error?</v>
      </c>
    </row>
    <row r="6976" spans="1:4" x14ac:dyDescent="0.2">
      <c r="A6976">
        <v>6915</v>
      </c>
      <c r="B6976" s="138">
        <f>'Expenditures 15-22'!J73</f>
        <v>43477</v>
      </c>
      <c r="D6976" s="2" t="str">
        <f t="shared" si="108"/>
        <v>Error?</v>
      </c>
    </row>
    <row r="6977" spans="1:4" x14ac:dyDescent="0.2">
      <c r="A6977">
        <v>6916</v>
      </c>
      <c r="B6977" s="138">
        <f>'Expenditures 15-22'!I74</f>
        <v>18856049</v>
      </c>
      <c r="D6977" s="2" t="str">
        <f t="shared" si="108"/>
        <v>Error?</v>
      </c>
    </row>
    <row r="6978" spans="1:4" x14ac:dyDescent="0.2">
      <c r="A6978">
        <v>6917</v>
      </c>
      <c r="B6978" s="138">
        <f>'Expenditures 15-22'!J74</f>
        <v>6466882</v>
      </c>
      <c r="D6978" s="2" t="str">
        <f t="shared" si="108"/>
        <v>Error?</v>
      </c>
    </row>
    <row r="6979" spans="1:4" x14ac:dyDescent="0.2">
      <c r="A6979">
        <v>6918</v>
      </c>
      <c r="B6979" s="138">
        <f>'Expenditures 15-22'!I75</f>
        <v>912952</v>
      </c>
      <c r="D6979" s="2" t="str">
        <f t="shared" si="108"/>
        <v>Error?</v>
      </c>
    </row>
    <row r="6980" spans="1:4" x14ac:dyDescent="0.2">
      <c r="A6980">
        <v>6919</v>
      </c>
      <c r="B6980" s="138">
        <f>'Expenditures 15-22'!J75</f>
        <v>72217</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6659083</v>
      </c>
      <c r="D7018" s="2" t="str">
        <f t="shared" si="108"/>
        <v>Error?</v>
      </c>
    </row>
    <row r="7019" spans="1:4" x14ac:dyDescent="0.2">
      <c r="A7019">
        <v>6958</v>
      </c>
      <c r="B7019" s="138">
        <f>'Expenditures 15-22'!K112</f>
        <v>6659083</v>
      </c>
      <c r="D7019" s="2" t="str">
        <f t="shared" si="108"/>
        <v>Error?</v>
      </c>
    </row>
    <row r="7020" spans="1:4" x14ac:dyDescent="0.2">
      <c r="A7020">
        <v>6959</v>
      </c>
      <c r="B7020" s="138">
        <f>'Expenditures 15-22'!I114</f>
        <v>50112494</v>
      </c>
      <c r="D7020" s="2" t="str">
        <f t="shared" si="108"/>
        <v>Error?</v>
      </c>
    </row>
    <row r="7021" spans="1:4" x14ac:dyDescent="0.2">
      <c r="A7021">
        <v>6960</v>
      </c>
      <c r="B7021" s="138">
        <f>'Expenditures 15-22'!J114</f>
        <v>23060914</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11751</v>
      </c>
      <c r="D7025" s="2" t="str">
        <f t="shared" si="108"/>
        <v>Error?</v>
      </c>
    </row>
    <row r="7026" spans="1:4" x14ac:dyDescent="0.2">
      <c r="A7026">
        <v>6965</v>
      </c>
      <c r="B7026" s="138">
        <f>'Expenditures 15-22'!I123</f>
        <v>348780</v>
      </c>
      <c r="D7026" s="2" t="str">
        <f t="shared" si="108"/>
        <v>Error?</v>
      </c>
    </row>
    <row r="7027" spans="1:4" x14ac:dyDescent="0.2">
      <c r="A7027">
        <v>6966</v>
      </c>
      <c r="B7027" s="138">
        <f>'Expenditures 15-22'!J123</f>
        <v>4553</v>
      </c>
      <c r="D7027" s="2" t="str">
        <f t="shared" si="108"/>
        <v>Error?</v>
      </c>
    </row>
    <row r="7028" spans="1:4" x14ac:dyDescent="0.2">
      <c r="A7028">
        <v>6967</v>
      </c>
      <c r="B7028" s="138">
        <f>'Expenditures 15-22'!I124</f>
        <v>89011</v>
      </c>
      <c r="D7028" s="2" t="str">
        <f t="shared" si="108"/>
        <v>Error?</v>
      </c>
    </row>
    <row r="7029" spans="1:4" x14ac:dyDescent="0.2">
      <c r="A7029">
        <v>6968</v>
      </c>
      <c r="B7029" s="138">
        <f>'Expenditures 15-22'!J124</f>
        <v>508824</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437791</v>
      </c>
      <c r="D7033" s="2" t="str">
        <f t="shared" si="108"/>
        <v>Error?</v>
      </c>
    </row>
    <row r="7034" spans="1:4" x14ac:dyDescent="0.2">
      <c r="A7034">
        <v>6973</v>
      </c>
      <c r="B7034" s="138">
        <f>'Expenditures 15-22'!J127</f>
        <v>525128</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437791</v>
      </c>
      <c r="D7037" s="2" t="str">
        <f t="shared" si="108"/>
        <v>Error?</v>
      </c>
    </row>
    <row r="7038" spans="1:4" x14ac:dyDescent="0.2">
      <c r="A7038">
        <v>6977</v>
      </c>
      <c r="B7038" s="138">
        <f>'Expenditures 15-22'!J129</f>
        <v>525128</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78311452</v>
      </c>
      <c r="D7042" s="2" t="str">
        <f t="shared" si="109"/>
        <v>Error?</v>
      </c>
    </row>
    <row r="7043" spans="1:5" x14ac:dyDescent="0.2">
      <c r="A7043">
        <v>6982</v>
      </c>
      <c r="B7043" s="138">
        <f>'Revenues 9-14'!H9</f>
        <v>0</v>
      </c>
      <c r="D7043" s="2" t="str">
        <f t="shared" si="109"/>
        <v>Error?</v>
      </c>
    </row>
    <row r="7044" spans="1:5" x14ac:dyDescent="0.2">
      <c r="A7044">
        <v>6983</v>
      </c>
      <c r="B7044" s="138">
        <f>'Revenues 9-14'!D106</f>
        <v>8030483</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437791</v>
      </c>
      <c r="D7051" s="2" t="str">
        <f t="shared" si="109"/>
        <v>Error?</v>
      </c>
    </row>
    <row r="7052" spans="1:5" x14ac:dyDescent="0.2">
      <c r="A7052">
        <v>6991</v>
      </c>
      <c r="B7052" s="138">
        <f>'Expenditures 15-22'!J151</f>
        <v>525128</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76465878</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44660</v>
      </c>
      <c r="D7099" s="2" t="str">
        <f t="shared" si="109"/>
        <v>Error?</v>
      </c>
    </row>
    <row r="7100" spans="1:4" x14ac:dyDescent="0.2">
      <c r="A7100">
        <v>7039</v>
      </c>
      <c r="B7100" s="138">
        <f>'Expenditures 15-22'!J301</f>
        <v>17293</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44660</v>
      </c>
      <c r="D7103" s="2" t="str">
        <f t="shared" ref="D7103:D7166" si="110">IF(ISBLANK(B7103),"OK",IF(A7103-B7103=0,"OK","Error?"))</f>
        <v>Error?</v>
      </c>
    </row>
    <row r="7104" spans="1:4" x14ac:dyDescent="0.2">
      <c r="A7104">
        <v>7043</v>
      </c>
      <c r="B7104" s="138">
        <f>'Expenditures 15-22'!J303</f>
        <v>17293</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44660</v>
      </c>
      <c r="D7116" s="2" t="str">
        <f t="shared" si="110"/>
        <v>Error?</v>
      </c>
    </row>
    <row r="7117" spans="1:4" x14ac:dyDescent="0.2">
      <c r="A7117">
        <v>7056</v>
      </c>
      <c r="B7117" s="138">
        <f>'Expenditures 15-22'!J312</f>
        <v>17293</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1954698</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1954698</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100000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100000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47244687</v>
      </c>
      <c r="D7172" s="2" t="str">
        <f t="shared" si="111"/>
        <v>Error?</v>
      </c>
    </row>
    <row r="7173" spans="1:4" x14ac:dyDescent="0.2">
      <c r="A7173">
        <v>7112</v>
      </c>
      <c r="B7173" s="138">
        <f>'Expenditures 15-22'!D325</f>
        <v>14396545</v>
      </c>
      <c r="D7173" s="2" t="str">
        <f t="shared" si="111"/>
        <v>Error?</v>
      </c>
    </row>
    <row r="7174" spans="1:4" x14ac:dyDescent="0.2">
      <c r="A7174">
        <v>7113</v>
      </c>
      <c r="B7174" s="138">
        <f>'Expenditures 15-22'!E325</f>
        <v>11760016</v>
      </c>
      <c r="D7174" s="2" t="str">
        <f t="shared" si="111"/>
        <v>Error?</v>
      </c>
    </row>
    <row r="7175" spans="1:4" x14ac:dyDescent="0.2">
      <c r="A7175">
        <v>7114</v>
      </c>
      <c r="B7175" s="138">
        <f>'Expenditures 15-22'!F325</f>
        <v>69090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-2200</v>
      </c>
      <c r="D7177" s="2" t="str">
        <f t="shared" si="111"/>
        <v>Error?</v>
      </c>
    </row>
    <row r="7178" spans="1:4" x14ac:dyDescent="0.2">
      <c r="A7178">
        <v>7117</v>
      </c>
      <c r="B7178" s="138">
        <f>'Expenditures 15-22'!I325</f>
        <v>19674</v>
      </c>
      <c r="D7178" s="2" t="str">
        <f t="shared" si="111"/>
        <v>Error?</v>
      </c>
    </row>
    <row r="7179" spans="1:4" x14ac:dyDescent="0.2">
      <c r="A7179">
        <v>7118</v>
      </c>
      <c r="B7179" s="138">
        <f>'Expenditures 15-22'!J325</f>
        <v>694261</v>
      </c>
      <c r="D7179" s="2" t="str">
        <f t="shared" si="111"/>
        <v>Error?</v>
      </c>
    </row>
    <row r="7180" spans="1:4" x14ac:dyDescent="0.2">
      <c r="A7180">
        <v>7119</v>
      </c>
      <c r="B7180" s="138">
        <f>'Expenditures 15-22'!K325</f>
        <v>74182073</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47244687</v>
      </c>
      <c r="D7199" s="2" t="str">
        <f t="shared" si="111"/>
        <v>Error?</v>
      </c>
    </row>
    <row r="7200" spans="1:4" x14ac:dyDescent="0.2">
      <c r="A7200">
        <v>7139</v>
      </c>
      <c r="B7200" s="138">
        <f>'Expenditures 15-22'!D330</f>
        <v>14396545</v>
      </c>
      <c r="D7200" s="2" t="str">
        <f t="shared" si="111"/>
        <v>Error?</v>
      </c>
    </row>
    <row r="7201" spans="1:4" x14ac:dyDescent="0.2">
      <c r="A7201">
        <v>7140</v>
      </c>
      <c r="B7201" s="138">
        <f>'Expenditures 15-22'!E330</f>
        <v>15889395</v>
      </c>
      <c r="D7201" s="2" t="str">
        <f t="shared" si="111"/>
        <v>Error?</v>
      </c>
    </row>
    <row r="7202" spans="1:4" x14ac:dyDescent="0.2">
      <c r="A7202">
        <v>7141</v>
      </c>
      <c r="B7202" s="138">
        <f>'Expenditures 15-22'!F330</f>
        <v>69090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-2200</v>
      </c>
      <c r="D7204" s="2" t="str">
        <f t="shared" si="111"/>
        <v>Error?</v>
      </c>
    </row>
    <row r="7205" spans="1:4" x14ac:dyDescent="0.2">
      <c r="A7205">
        <v>7144</v>
      </c>
      <c r="B7205" s="138">
        <f>'Expenditures 15-22'!I330</f>
        <v>19674</v>
      </c>
      <c r="D7205" s="2" t="str">
        <f t="shared" si="111"/>
        <v>Error?</v>
      </c>
    </row>
    <row r="7206" spans="1:4" x14ac:dyDescent="0.2">
      <c r="A7206">
        <v>7145</v>
      </c>
      <c r="B7206" s="138">
        <f>'Expenditures 15-22'!J330</f>
        <v>694261</v>
      </c>
      <c r="D7206" s="2" t="str">
        <f t="shared" si="111"/>
        <v>Error?</v>
      </c>
    </row>
    <row r="7207" spans="1:4" x14ac:dyDescent="0.2">
      <c r="A7207">
        <v>7146</v>
      </c>
      <c r="B7207" s="138">
        <f>'Expenditures 15-22'!K330</f>
        <v>78311452</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47244687</v>
      </c>
      <c r="D7216" s="2" t="str">
        <f t="shared" si="111"/>
        <v>Error?</v>
      </c>
    </row>
    <row r="7217" spans="1:4" x14ac:dyDescent="0.2">
      <c r="A7217">
        <v>7156</v>
      </c>
      <c r="B7217" s="138">
        <f>'Expenditures 15-22'!D342</f>
        <v>14396545</v>
      </c>
      <c r="D7217" s="2" t="str">
        <f t="shared" si="111"/>
        <v>Error?</v>
      </c>
    </row>
    <row r="7218" spans="1:4" x14ac:dyDescent="0.2">
      <c r="A7218">
        <v>7157</v>
      </c>
      <c r="B7218" s="138">
        <f>'Expenditures 15-22'!E342</f>
        <v>15889395</v>
      </c>
      <c r="D7218" s="2" t="str">
        <f t="shared" si="111"/>
        <v>Error?</v>
      </c>
    </row>
    <row r="7219" spans="1:4" x14ac:dyDescent="0.2">
      <c r="A7219">
        <v>7158</v>
      </c>
      <c r="B7219" s="138">
        <f>'Expenditures 15-22'!F342</f>
        <v>69090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-2200</v>
      </c>
      <c r="D7221" s="2" t="str">
        <f t="shared" si="111"/>
        <v>Error?</v>
      </c>
    </row>
    <row r="7222" spans="1:4" x14ac:dyDescent="0.2">
      <c r="A7222">
        <v>7161</v>
      </c>
      <c r="B7222" s="138">
        <f>'Expenditures 15-22'!I342</f>
        <v>19674</v>
      </c>
      <c r="D7222" s="2" t="str">
        <f t="shared" si="111"/>
        <v>Error?</v>
      </c>
    </row>
    <row r="7223" spans="1:4" x14ac:dyDescent="0.2">
      <c r="A7223">
        <v>7162</v>
      </c>
      <c r="B7223" s="138">
        <f>'Expenditures 15-22'!J342</f>
        <v>694261</v>
      </c>
      <c r="D7223" s="2" t="str">
        <f t="shared" si="111"/>
        <v>Error?</v>
      </c>
    </row>
    <row r="7224" spans="1:4" x14ac:dyDescent="0.2">
      <c r="A7224">
        <v>7163</v>
      </c>
      <c r="B7224" s="138">
        <f>'Expenditures 15-22'!K342</f>
        <v>78311452</v>
      </c>
      <c r="D7224" s="2" t="str">
        <f t="shared" si="111"/>
        <v>Error?</v>
      </c>
    </row>
    <row r="7225" spans="1:4" x14ac:dyDescent="0.2">
      <c r="A7225">
        <v>7164</v>
      </c>
      <c r="B7225" s="138">
        <f>'Expenditures 15-22'!K343</f>
        <v>-1845574</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32204229</v>
      </c>
      <c r="D7246" s="2" t="str">
        <f t="shared" si="112"/>
        <v>Error?</v>
      </c>
    </row>
    <row r="7247" spans="1:4" x14ac:dyDescent="0.2">
      <c r="A7247">
        <f t="shared" si="113"/>
        <v>7186</v>
      </c>
      <c r="B7247" s="138">
        <f>'Expenditures 15-22'!E7</f>
        <v>215703</v>
      </c>
      <c r="D7247" s="2" t="str">
        <f t="shared" si="112"/>
        <v>Error?</v>
      </c>
    </row>
    <row r="7248" spans="1:4" x14ac:dyDescent="0.2">
      <c r="A7248">
        <f t="shared" si="113"/>
        <v>7187</v>
      </c>
      <c r="B7248" s="138">
        <f>'Expenditures 15-22'!F7</f>
        <v>5340019</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27759187</v>
      </c>
      <c r="D7251" s="2" t="str">
        <f t="shared" si="112"/>
        <v>Error?</v>
      </c>
    </row>
    <row r="7252" spans="1:4" x14ac:dyDescent="0.2">
      <c r="A7252">
        <f t="shared" si="113"/>
        <v>7191</v>
      </c>
      <c r="B7252" s="138">
        <f>'Expenditures 15-22'!D9</f>
        <v>8117659</v>
      </c>
      <c r="D7252" s="2" t="str">
        <f t="shared" si="112"/>
        <v>Error?</v>
      </c>
    </row>
    <row r="7253" spans="1:4" x14ac:dyDescent="0.2">
      <c r="A7253">
        <f t="shared" si="113"/>
        <v>7192</v>
      </c>
      <c r="B7253" s="138">
        <f>'Expenditures 15-22'!E9</f>
        <v>25653</v>
      </c>
      <c r="D7253" s="2" t="str">
        <f t="shared" si="112"/>
        <v>Error?</v>
      </c>
    </row>
    <row r="7254" spans="1:4" x14ac:dyDescent="0.2">
      <c r="A7254">
        <f t="shared" si="113"/>
        <v>7193</v>
      </c>
      <c r="B7254" s="138">
        <f>'Expenditures 15-22'!F9</f>
        <v>16098</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2459257</v>
      </c>
      <c r="D7263" s="2" t="str">
        <f t="shared" si="112"/>
        <v>Error?</v>
      </c>
    </row>
    <row r="7264" spans="1:4" x14ac:dyDescent="0.2">
      <c r="A7264">
        <f t="shared" si="113"/>
        <v>7203</v>
      </c>
      <c r="B7264" s="138">
        <f>'Expenditures 15-22'!D17</f>
        <v>70062</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682037</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49950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7759961</v>
      </c>
      <c r="D7615" s="2" t="str">
        <f t="shared" ref="D7615:D7678" si="124">IF(ISBLANK(B7615),"OK",IF(A7615-B7615=0,"OK","Error?"))</f>
        <v>Error?</v>
      </c>
      <c r="E7615" s="2" t="s">
        <v>19</v>
      </c>
    </row>
    <row r="7616" spans="1:5" x14ac:dyDescent="0.2">
      <c r="A7616">
        <f t="shared" si="123"/>
        <v>7555</v>
      </c>
      <c r="B7616" s="138">
        <f>'Cap Outlay Deprec 26'!D14</f>
        <v>167908</v>
      </c>
      <c r="D7616" s="2" t="str">
        <f t="shared" si="124"/>
        <v>Error?</v>
      </c>
      <c r="E7616" s="2" t="s">
        <v>19</v>
      </c>
    </row>
    <row r="7617" spans="1:5" x14ac:dyDescent="0.2">
      <c r="A7617">
        <f t="shared" si="123"/>
        <v>7556</v>
      </c>
      <c r="B7617" s="138">
        <f>'Cap Outlay Deprec 26'!E14</f>
        <v>4119786</v>
      </c>
      <c r="D7617" s="2" t="str">
        <f t="shared" si="124"/>
        <v>Error?</v>
      </c>
      <c r="E7617" s="2" t="s">
        <v>19</v>
      </c>
    </row>
    <row r="7618" spans="1:5" x14ac:dyDescent="0.2">
      <c r="A7618">
        <f t="shared" si="123"/>
        <v>7557</v>
      </c>
      <c r="B7618" s="138">
        <f>'Cap Outlay Deprec 26'!F14</f>
        <v>3808083</v>
      </c>
      <c r="D7618" s="2" t="str">
        <f t="shared" si="124"/>
        <v>Error?</v>
      </c>
      <c r="E7618" s="2" t="s">
        <v>19</v>
      </c>
    </row>
    <row r="7619" spans="1:5" x14ac:dyDescent="0.2">
      <c r="A7619">
        <f t="shared" si="123"/>
        <v>7558</v>
      </c>
      <c r="B7619" s="138">
        <f>'Cap Outlay Deprec 26'!H14</f>
        <v>5864891</v>
      </c>
      <c r="D7619" s="2" t="str">
        <f t="shared" si="124"/>
        <v>Error?</v>
      </c>
      <c r="E7619" s="2" t="s">
        <v>19</v>
      </c>
    </row>
    <row r="7620" spans="1:5" x14ac:dyDescent="0.2">
      <c r="A7620">
        <f t="shared" si="123"/>
        <v>7559</v>
      </c>
      <c r="B7620" s="138">
        <f>'Cap Outlay Deprec 26'!I14</f>
        <v>764157</v>
      </c>
      <c r="D7620" s="2" t="str">
        <f t="shared" si="124"/>
        <v>Error?</v>
      </c>
      <c r="E7620" s="2" t="s">
        <v>19</v>
      </c>
    </row>
    <row r="7621" spans="1:5" x14ac:dyDescent="0.2">
      <c r="A7621">
        <f t="shared" si="123"/>
        <v>7560</v>
      </c>
      <c r="B7621" s="138">
        <f>'Cap Outlay Deprec 26'!J14</f>
        <v>4119786</v>
      </c>
      <c r="D7621" s="2" t="str">
        <f t="shared" si="124"/>
        <v>Error?</v>
      </c>
      <c r="E7621" s="2" t="s">
        <v>19</v>
      </c>
    </row>
    <row r="7622" spans="1:5" x14ac:dyDescent="0.2">
      <c r="A7622">
        <f t="shared" si="123"/>
        <v>7561</v>
      </c>
      <c r="B7622" s="138">
        <f>'Cap Outlay Deprec 26'!K14</f>
        <v>2509262</v>
      </c>
      <c r="D7622" s="2" t="str">
        <f t="shared" si="124"/>
        <v>Error?</v>
      </c>
      <c r="E7622" s="2" t="s">
        <v>19</v>
      </c>
    </row>
    <row r="7623" spans="1:5" x14ac:dyDescent="0.2">
      <c r="A7623">
        <f t="shared" si="123"/>
        <v>7562</v>
      </c>
      <c r="B7623" s="138">
        <f>'Cap Outlay Deprec 26'!L14</f>
        <v>1298821</v>
      </c>
      <c r="D7623" s="2" t="str">
        <f t="shared" si="124"/>
        <v>Error?</v>
      </c>
      <c r="E7623" s="2" t="s">
        <v>19</v>
      </c>
    </row>
    <row r="7624" spans="1:5" x14ac:dyDescent="0.2">
      <c r="A7624">
        <f t="shared" si="123"/>
        <v>7563</v>
      </c>
      <c r="B7624" s="138">
        <f>'Cap Outlay Deprec 26'!F17</f>
        <v>50614619</v>
      </c>
      <c r="D7624" s="2" t="str">
        <f t="shared" si="124"/>
        <v>Error?</v>
      </c>
      <c r="E7624" s="2" t="s">
        <v>19</v>
      </c>
    </row>
    <row r="7625" spans="1:5" x14ac:dyDescent="0.2">
      <c r="A7625">
        <f t="shared" si="123"/>
        <v>7564</v>
      </c>
      <c r="B7625" s="138">
        <f>'Cap Outlay Deprec 26'!I17</f>
        <v>5061461.9000000004</v>
      </c>
      <c r="D7625" s="2" t="str">
        <f t="shared" si="124"/>
        <v>Error?</v>
      </c>
      <c r="E7625" s="2" t="s">
        <v>19</v>
      </c>
    </row>
    <row r="7626" spans="1:5" x14ac:dyDescent="0.2">
      <c r="A7626">
        <f t="shared" si="123"/>
        <v>7565</v>
      </c>
      <c r="D7626" s="2" t="str">
        <f t="shared" si="124"/>
        <v>OK</v>
      </c>
      <c r="E7626" s="4" t="s">
        <v>1329</v>
      </c>
    </row>
    <row r="7627" spans="1:5" x14ac:dyDescent="0.2">
      <c r="A7627">
        <f t="shared" si="123"/>
        <v>7566</v>
      </c>
      <c r="D7627" s="2" t="str">
        <f t="shared" si="124"/>
        <v>OK</v>
      </c>
      <c r="E7627" s="4" t="s">
        <v>1329</v>
      </c>
    </row>
    <row r="7628" spans="1:5" x14ac:dyDescent="0.2">
      <c r="A7628">
        <f t="shared" si="123"/>
        <v>7567</v>
      </c>
      <c r="D7628" s="2" t="str">
        <f t="shared" si="124"/>
        <v>OK</v>
      </c>
      <c r="E7628" s="2" t="s">
        <v>19</v>
      </c>
    </row>
    <row r="7629" spans="1:5" x14ac:dyDescent="0.2">
      <c r="A7629">
        <f t="shared" si="123"/>
        <v>7568</v>
      </c>
      <c r="D7629" s="2" t="str">
        <f t="shared" si="124"/>
        <v>OK</v>
      </c>
      <c r="E7629" s="4" t="s">
        <v>1329</v>
      </c>
    </row>
    <row r="7630" spans="1:5" x14ac:dyDescent="0.2">
      <c r="A7630">
        <f t="shared" ref="A7630:A7650" si="125">A7629+1</f>
        <v>7569</v>
      </c>
      <c r="D7630" s="2" t="str">
        <f t="shared" si="124"/>
        <v>OK</v>
      </c>
      <c r="E7630" s="4" t="s">
        <v>1329</v>
      </c>
    </row>
    <row r="7631" spans="1:5" x14ac:dyDescent="0.2">
      <c r="A7631">
        <f t="shared" si="125"/>
        <v>7570</v>
      </c>
      <c r="B7631" s="138">
        <f>'Cap Outlay Deprec 26'!I18</f>
        <v>305368918.89999998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1329</v>
      </c>
    </row>
    <row r="7634" spans="1:6" x14ac:dyDescent="0.2">
      <c r="A7634">
        <f t="shared" si="125"/>
        <v>7573</v>
      </c>
      <c r="D7634" s="2" t="str">
        <f t="shared" si="124"/>
        <v>OK</v>
      </c>
      <c r="E7634" s="4" t="s">
        <v>1329</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1740780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2074681</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2074681</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4214218</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734063</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2704910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3438973</v>
      </c>
      <c r="D7719" s="2" t="str">
        <f t="shared" si="126"/>
        <v>Error?</v>
      </c>
      <c r="E7719" s="2" t="s">
        <v>827</v>
      </c>
    </row>
    <row r="7720" spans="1:6" x14ac:dyDescent="0.2">
      <c r="A7720">
        <v>7659</v>
      </c>
      <c r="B7720" s="138">
        <f>'Rest Tax Levies-Tort Im 25'!H14</f>
        <v>0</v>
      </c>
      <c r="D7720" s="2" t="str">
        <f t="shared" si="126"/>
        <v>Error?</v>
      </c>
      <c r="E7720" s="2" t="s">
        <v>827</v>
      </c>
    </row>
    <row r="7721" spans="1:6" x14ac:dyDescent="0.2">
      <c r="A7721">
        <v>7660</v>
      </c>
      <c r="B7721" s="138">
        <f>'Rest Tax Levies-Tort Im 25'!K14</f>
        <v>3301151</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4352040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4352040</v>
      </c>
      <c r="D7743" s="2" t="str">
        <f t="shared" ref="D7743:D7806" si="127">IF(ISBLANK(B7743),"OK",IF(A7743-B7743=0,"OK","Error?"))</f>
        <v>Error?</v>
      </c>
      <c r="E7743" s="2" t="s">
        <v>827</v>
      </c>
    </row>
    <row r="7744" spans="1:6" x14ac:dyDescent="0.2">
      <c r="A7744">
        <v>7683</v>
      </c>
      <c r="D7744" s="2" t="str">
        <f t="shared" si="127"/>
        <v>OK</v>
      </c>
      <c r="E7744" s="4" t="s">
        <v>1329</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24886885</v>
      </c>
      <c r="D7747" s="2" t="str">
        <f t="shared" si="127"/>
        <v>Error?</v>
      </c>
      <c r="E7747" s="2" t="s">
        <v>827</v>
      </c>
      <c r="F7747" s="2" t="s">
        <v>828</v>
      </c>
    </row>
    <row r="7748" spans="1:6" x14ac:dyDescent="0.2">
      <c r="A7748">
        <v>7687</v>
      </c>
      <c r="B7748" s="138">
        <f>'Acct Summary 7-8'!C25</f>
        <v>0</v>
      </c>
      <c r="D7748" s="2" t="str">
        <f t="shared" si="127"/>
        <v>Error?</v>
      </c>
      <c r="E7748" s="4" t="s">
        <v>1328</v>
      </c>
    </row>
    <row r="7749" spans="1:6" x14ac:dyDescent="0.2">
      <c r="A7749">
        <v>7688</v>
      </c>
      <c r="B7749" s="138">
        <f>'Acct Summary 7-8'!D25</f>
        <v>0</v>
      </c>
      <c r="D7749" s="2" t="str">
        <f t="shared" si="127"/>
        <v>Error?</v>
      </c>
      <c r="E7749" s="4" t="s">
        <v>1328</v>
      </c>
    </row>
    <row r="7750" spans="1:6" x14ac:dyDescent="0.2">
      <c r="A7750">
        <v>7689</v>
      </c>
      <c r="B7750" s="138">
        <f>'Acct Summary 7-8'!E25</f>
        <v>0</v>
      </c>
      <c r="D7750" s="2" t="str">
        <f t="shared" si="127"/>
        <v>Error?</v>
      </c>
      <c r="E7750" s="4" t="s">
        <v>1328</v>
      </c>
    </row>
    <row r="7751" spans="1:6" x14ac:dyDescent="0.2">
      <c r="A7751">
        <v>7690</v>
      </c>
      <c r="B7751" s="138">
        <f>'Acct Summary 7-8'!F25</f>
        <v>0</v>
      </c>
      <c r="D7751" s="2" t="str">
        <f t="shared" si="127"/>
        <v>Error?</v>
      </c>
      <c r="E7751" s="4" t="s">
        <v>1328</v>
      </c>
    </row>
    <row r="7752" spans="1:6" x14ac:dyDescent="0.2">
      <c r="A7752">
        <v>7691</v>
      </c>
      <c r="B7752" s="138">
        <f>'Acct Summary 7-8'!G25</f>
        <v>0</v>
      </c>
      <c r="D7752" s="2" t="str">
        <f t="shared" si="127"/>
        <v>Error?</v>
      </c>
      <c r="E7752" s="4" t="s">
        <v>1328</v>
      </c>
    </row>
    <row r="7753" spans="1:6" x14ac:dyDescent="0.2">
      <c r="A7753">
        <v>7692</v>
      </c>
      <c r="B7753" s="138">
        <f>'Acct Summary 7-8'!H25</f>
        <v>0</v>
      </c>
      <c r="D7753" s="2" t="str">
        <f t="shared" si="127"/>
        <v>Error?</v>
      </c>
      <c r="E7753" s="4" t="s">
        <v>1328</v>
      </c>
    </row>
    <row r="7754" spans="1:6" x14ac:dyDescent="0.2">
      <c r="A7754">
        <v>7693</v>
      </c>
      <c r="B7754" s="138">
        <f>'Acct Summary 7-8'!J25</f>
        <v>0</v>
      </c>
      <c r="D7754" s="2" t="str">
        <f t="shared" si="127"/>
        <v>Error?</v>
      </c>
      <c r="E7754" s="4" t="s">
        <v>1328</v>
      </c>
    </row>
    <row r="7755" spans="1:6" x14ac:dyDescent="0.2">
      <c r="A7755">
        <v>7694</v>
      </c>
      <c r="B7755" s="138">
        <f>'Acct Summary 7-8'!K25</f>
        <v>0</v>
      </c>
      <c r="D7755" s="2" t="str">
        <f t="shared" si="127"/>
        <v>Error?</v>
      </c>
      <c r="E7755" s="4" t="s">
        <v>1328</v>
      </c>
    </row>
    <row r="7756" spans="1:6" x14ac:dyDescent="0.2">
      <c r="A7756">
        <v>7695</v>
      </c>
      <c r="B7756" s="138">
        <f>'Aud Quest 2'!E85</f>
        <v>5690066</v>
      </c>
      <c r="D7756" s="2" t="str">
        <f t="shared" si="127"/>
        <v>Error?</v>
      </c>
      <c r="E7756" s="4" t="s">
        <v>1328</v>
      </c>
      <c r="F7756" t="s">
        <v>1440</v>
      </c>
    </row>
    <row r="7757" spans="1:6" x14ac:dyDescent="0.2">
      <c r="A7757">
        <v>7696</v>
      </c>
      <c r="B7757" s="138">
        <f>'Aud Quest 2'!E87</f>
        <v>0</v>
      </c>
      <c r="D7757" s="2" t="str">
        <f t="shared" si="127"/>
        <v>Error?</v>
      </c>
      <c r="E7757" s="4" t="s">
        <v>1328</v>
      </c>
      <c r="F7757" t="s">
        <v>1440</v>
      </c>
    </row>
    <row r="7758" spans="1:6" x14ac:dyDescent="0.2">
      <c r="A7758">
        <v>7697</v>
      </c>
      <c r="B7758" s="138">
        <f>'Aud Quest 2'!J85</f>
        <v>26270586</v>
      </c>
      <c r="D7758" s="2" t="str">
        <f t="shared" si="127"/>
        <v>Error?</v>
      </c>
      <c r="E7758" s="4" t="s">
        <v>1328</v>
      </c>
    </row>
    <row r="7759" spans="1:6" x14ac:dyDescent="0.2">
      <c r="A7759">
        <v>7698</v>
      </c>
      <c r="B7759" s="138">
        <f>'Aud Quest 2'!J88</f>
        <v>0</v>
      </c>
      <c r="D7759" s="2" t="str">
        <f t="shared" si="127"/>
        <v>Error?</v>
      </c>
      <c r="E7759" s="4" t="s">
        <v>1328</v>
      </c>
    </row>
    <row r="7760" spans="1:6" x14ac:dyDescent="0.2">
      <c r="A7760">
        <v>7699</v>
      </c>
      <c r="B7760" s="138">
        <f>'Aud Quest 2'!J90</f>
        <v>26270586</v>
      </c>
      <c r="D7760" s="2" t="str">
        <f t="shared" si="127"/>
        <v>Error?</v>
      </c>
      <c r="E7760" s="4" t="s">
        <v>1328</v>
      </c>
    </row>
    <row r="7761" spans="1:5" x14ac:dyDescent="0.2">
      <c r="A7761">
        <v>7700</v>
      </c>
      <c r="B7761" s="138">
        <f>'Revenues 9-14'!C253</f>
        <v>0</v>
      </c>
      <c r="D7761" s="2" t="str">
        <f t="shared" si="127"/>
        <v>Error?</v>
      </c>
      <c r="E7761" s="4" t="s">
        <v>1417</v>
      </c>
    </row>
    <row r="7762" spans="1:5" x14ac:dyDescent="0.2">
      <c r="A7762">
        <v>7701</v>
      </c>
      <c r="B7762" s="138">
        <f>'Expenditures 15-22'!E6</f>
        <v>711820662</v>
      </c>
      <c r="D7762" s="2" t="str">
        <f t="shared" si="127"/>
        <v>Error?</v>
      </c>
      <c r="E7762" s="4" t="s">
        <v>1427</v>
      </c>
    </row>
    <row r="7763" spans="1:5" x14ac:dyDescent="0.2">
      <c r="A7763">
        <v>7702</v>
      </c>
      <c r="B7763" s="138">
        <f>'Expenditures 15-22'!K6</f>
        <v>711820662</v>
      </c>
      <c r="D7763" s="2" t="str">
        <f t="shared" si="127"/>
        <v>Error?</v>
      </c>
      <c r="E7763" s="4"/>
    </row>
    <row r="7764" spans="1:5" x14ac:dyDescent="0.2">
      <c r="A7764">
        <v>7703</v>
      </c>
      <c r="B7764" s="138">
        <f>'Revenues 9-14'!F58</f>
        <v>0</v>
      </c>
      <c r="D7764" s="2" t="str">
        <f t="shared" si="127"/>
        <v>Error?</v>
      </c>
      <c r="E7764" s="4" t="s">
        <v>1455</v>
      </c>
    </row>
    <row r="7765" spans="1:5" x14ac:dyDescent="0.2">
      <c r="A7765">
        <v>7704</v>
      </c>
      <c r="B7765" s="138">
        <f>'Revenues 9-14'!C254</f>
        <v>0</v>
      </c>
      <c r="D7765" s="2" t="str">
        <f t="shared" si="127"/>
        <v>Error?</v>
      </c>
      <c r="E7765" s="4" t="s">
        <v>1459</v>
      </c>
    </row>
    <row r="7766" spans="1:5" x14ac:dyDescent="0.2">
      <c r="A7766">
        <v>7705</v>
      </c>
      <c r="B7766" s="138">
        <f>'Revenues 9-14'!D254</f>
        <v>0</v>
      </c>
      <c r="D7766" s="2" t="str">
        <f t="shared" si="127"/>
        <v>Error?</v>
      </c>
      <c r="E7766" s="4" t="s">
        <v>1459</v>
      </c>
    </row>
    <row r="7767" spans="1:5" x14ac:dyDescent="0.2">
      <c r="A7767" s="129">
        <v>7706</v>
      </c>
      <c r="E7767" s="4"/>
    </row>
    <row r="7768" spans="1:5" x14ac:dyDescent="0.2">
      <c r="A7768">
        <v>7707</v>
      </c>
      <c r="B7768" s="138">
        <f>'Revenues 9-14'!F254</f>
        <v>0</v>
      </c>
      <c r="D7768" s="2" t="str">
        <f t="shared" si="127"/>
        <v>Error?</v>
      </c>
      <c r="E7768" s="4" t="s">
        <v>1459</v>
      </c>
    </row>
    <row r="7769" spans="1:5" x14ac:dyDescent="0.2">
      <c r="A7769">
        <v>7708</v>
      </c>
      <c r="B7769" s="138">
        <f>'Revenues 9-14'!G254</f>
        <v>0</v>
      </c>
      <c r="D7769" s="2" t="str">
        <f t="shared" si="127"/>
        <v>Error?</v>
      </c>
      <c r="E7769" s="4" t="s">
        <v>1459</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1460</v>
      </c>
    </row>
    <row r="7773" spans="1:5" x14ac:dyDescent="0.2">
      <c r="A7773">
        <v>7712</v>
      </c>
      <c r="B7773" s="138">
        <f>'Rest Tax Levies-Tort Im 25'!J22</f>
        <v>0</v>
      </c>
      <c r="D7773" s="2" t="str">
        <f t="shared" si="127"/>
        <v>Error?</v>
      </c>
      <c r="E7773" s="4" t="s">
        <v>1548</v>
      </c>
    </row>
    <row r="7774" spans="1:5" x14ac:dyDescent="0.2">
      <c r="A7774">
        <v>7713</v>
      </c>
      <c r="B7774" s="138">
        <f>'Expenditures 15-22'!E133</f>
        <v>0</v>
      </c>
      <c r="D7774" s="2" t="str">
        <f t="shared" si="127"/>
        <v>Error?</v>
      </c>
      <c r="E7774" s="4" t="s">
        <v>1831</v>
      </c>
    </row>
    <row r="7775" spans="1:5" x14ac:dyDescent="0.2">
      <c r="A7775">
        <v>7714</v>
      </c>
      <c r="B7775" s="138">
        <f>'Expenditures 15-22'!H133</f>
        <v>0</v>
      </c>
      <c r="D7775" s="2" t="str">
        <f t="shared" si="127"/>
        <v>Error?</v>
      </c>
      <c r="E7775" s="4" t="s">
        <v>1831</v>
      </c>
    </row>
    <row r="7776" spans="1:5" x14ac:dyDescent="0.2">
      <c r="A7776">
        <v>7715</v>
      </c>
      <c r="B7776" s="138">
        <f>'Expenditures 15-22'!K133</f>
        <v>0</v>
      </c>
      <c r="D7776" s="2" t="str">
        <f t="shared" si="127"/>
        <v>Error?</v>
      </c>
      <c r="E7776" s="4" t="s">
        <v>1831</v>
      </c>
    </row>
    <row r="7777" spans="1:5" x14ac:dyDescent="0.2">
      <c r="A7777">
        <v>7716</v>
      </c>
      <c r="B7777" s="138">
        <f>'Expenditures 15-22'!H157</f>
        <v>0</v>
      </c>
      <c r="D7777" s="2" t="str">
        <f t="shared" si="127"/>
        <v>Error?</v>
      </c>
      <c r="E7777" s="4" t="s">
        <v>1831</v>
      </c>
    </row>
    <row r="7778" spans="1:5" x14ac:dyDescent="0.2">
      <c r="A7778">
        <v>7717</v>
      </c>
      <c r="B7778" s="138">
        <f>'Expenditures 15-22'!K157</f>
        <v>0</v>
      </c>
      <c r="D7778" s="2" t="str">
        <f t="shared" si="127"/>
        <v>Error?</v>
      </c>
      <c r="E7778" s="4" t="s">
        <v>1831</v>
      </c>
    </row>
    <row r="7779" spans="1:5" x14ac:dyDescent="0.2">
      <c r="A7779">
        <v>7718</v>
      </c>
      <c r="B7779" s="138">
        <f>'Expenditures 15-22'!H158</f>
        <v>0</v>
      </c>
      <c r="D7779" s="2" t="str">
        <f t="shared" si="127"/>
        <v>Error?</v>
      </c>
      <c r="E7779" s="4" t="s">
        <v>1831</v>
      </c>
    </row>
    <row r="7780" spans="1:5" x14ac:dyDescent="0.2">
      <c r="A7780">
        <v>7719</v>
      </c>
      <c r="B7780" s="138">
        <f>'Expenditures 15-22'!K158</f>
        <v>0</v>
      </c>
      <c r="D7780" s="2" t="str">
        <f t="shared" si="127"/>
        <v>Error?</v>
      </c>
      <c r="E7780" s="4" t="s">
        <v>1831</v>
      </c>
    </row>
    <row r="7781" spans="1:5" x14ac:dyDescent="0.2">
      <c r="A7781">
        <v>7720</v>
      </c>
      <c r="B7781" s="138">
        <f>'Expenditures 15-22'!H159</f>
        <v>0</v>
      </c>
      <c r="D7781" s="2" t="str">
        <f t="shared" si="127"/>
        <v>Error?</v>
      </c>
      <c r="E7781" s="4" t="s">
        <v>1831</v>
      </c>
    </row>
    <row r="7782" spans="1:5" x14ac:dyDescent="0.2">
      <c r="A7782">
        <v>7721</v>
      </c>
      <c r="B7782" s="138">
        <f>'Expenditures 15-22'!K159</f>
        <v>0</v>
      </c>
      <c r="D7782" s="2" t="str">
        <f t="shared" si="127"/>
        <v>Error?</v>
      </c>
      <c r="E7782" s="4" t="s">
        <v>1831</v>
      </c>
    </row>
    <row r="7783" spans="1:5" x14ac:dyDescent="0.2">
      <c r="A7783">
        <v>7722</v>
      </c>
      <c r="B7783" s="138">
        <f>'Expenditures 15-22'!D282</f>
        <v>0</v>
      </c>
      <c r="D7783" s="2" t="str">
        <f t="shared" si="127"/>
        <v>Error?</v>
      </c>
      <c r="E7783" s="4" t="s">
        <v>1831</v>
      </c>
    </row>
    <row r="7784" spans="1:5" x14ac:dyDescent="0.2">
      <c r="A7784">
        <v>7723</v>
      </c>
      <c r="B7784" s="138">
        <f>'Expenditures 15-22'!K282</f>
        <v>0</v>
      </c>
      <c r="D7784" s="2" t="str">
        <f t="shared" si="127"/>
        <v>Error?</v>
      </c>
      <c r="E7784" s="4" t="s">
        <v>1831</v>
      </c>
    </row>
    <row r="7785" spans="1:5" x14ac:dyDescent="0.2">
      <c r="A7785">
        <v>7724</v>
      </c>
      <c r="B7785" s="138">
        <f>'Expenditures 15-22'!H332</f>
        <v>0</v>
      </c>
      <c r="D7785" s="2" t="str">
        <f t="shared" si="127"/>
        <v>Error?</v>
      </c>
      <c r="E7785" s="4" t="s">
        <v>1831</v>
      </c>
    </row>
    <row r="7786" spans="1:5" x14ac:dyDescent="0.2">
      <c r="A7786">
        <v>7725</v>
      </c>
      <c r="B7786" s="138">
        <f>'Expenditures 15-22'!K332</f>
        <v>0</v>
      </c>
      <c r="D7786" s="2" t="str">
        <f t="shared" si="127"/>
        <v>Error?</v>
      </c>
      <c r="E7786" s="4" t="s">
        <v>1831</v>
      </c>
    </row>
    <row r="7787" spans="1:5" x14ac:dyDescent="0.2">
      <c r="A7787">
        <v>7726</v>
      </c>
      <c r="B7787" s="138">
        <f>'Expenditures 15-22'!H333</f>
        <v>0</v>
      </c>
      <c r="D7787" s="2" t="str">
        <f t="shared" si="127"/>
        <v>Error?</v>
      </c>
      <c r="E7787" s="4" t="s">
        <v>1831</v>
      </c>
    </row>
    <row r="7788" spans="1:5" x14ac:dyDescent="0.2">
      <c r="A7788">
        <v>7727</v>
      </c>
      <c r="B7788" s="138">
        <f>'Expenditures 15-22'!K333</f>
        <v>0</v>
      </c>
      <c r="D7788" s="2" t="str">
        <f t="shared" si="127"/>
        <v>Error?</v>
      </c>
      <c r="E7788" s="4" t="s">
        <v>1831</v>
      </c>
    </row>
    <row r="7789" spans="1:5" x14ac:dyDescent="0.2">
      <c r="A7789">
        <v>7728</v>
      </c>
      <c r="B7789" s="138">
        <f>'Expenditures 15-22'!H334</f>
        <v>0</v>
      </c>
      <c r="D7789" s="2" t="str">
        <f t="shared" si="127"/>
        <v>Error?</v>
      </c>
      <c r="E7789" s="4" t="s">
        <v>1831</v>
      </c>
    </row>
    <row r="7790" spans="1:5" x14ac:dyDescent="0.2">
      <c r="A7790">
        <v>7729</v>
      </c>
      <c r="B7790" s="138">
        <f>'Expenditures 15-22'!K334</f>
        <v>0</v>
      </c>
      <c r="D7790" s="2" t="str">
        <f t="shared" si="127"/>
        <v>Error?</v>
      </c>
      <c r="E7790" s="4" t="s">
        <v>1831</v>
      </c>
    </row>
    <row r="7791" spans="1:5" x14ac:dyDescent="0.2">
      <c r="A7791">
        <v>7730</v>
      </c>
      <c r="B7791" s="138">
        <f>'Expenditures 15-22'!H354</f>
        <v>0</v>
      </c>
      <c r="D7791" s="2" t="str">
        <f t="shared" si="127"/>
        <v>Error?</v>
      </c>
      <c r="E7791" s="4" t="s">
        <v>1831</v>
      </c>
    </row>
    <row r="7792" spans="1:5" x14ac:dyDescent="0.2">
      <c r="A7792">
        <v>7731</v>
      </c>
      <c r="B7792" s="138">
        <f>'Expenditures 15-22'!K354</f>
        <v>0</v>
      </c>
      <c r="D7792" s="2" t="str">
        <f t="shared" si="127"/>
        <v>Error?</v>
      </c>
      <c r="E7792" s="4" t="s">
        <v>1831</v>
      </c>
    </row>
    <row r="7793" spans="1:5" x14ac:dyDescent="0.2">
      <c r="A7793">
        <v>7732</v>
      </c>
      <c r="B7793" s="138">
        <f>'Expenditures 15-22'!H355</f>
        <v>0</v>
      </c>
      <c r="D7793" s="2" t="str">
        <f t="shared" si="127"/>
        <v>Error?</v>
      </c>
      <c r="E7793" s="4" t="s">
        <v>1831</v>
      </c>
    </row>
    <row r="7794" spans="1:5" x14ac:dyDescent="0.2">
      <c r="A7794">
        <v>7733</v>
      </c>
      <c r="B7794" s="138">
        <f>'Expenditures 15-22'!K355</f>
        <v>0</v>
      </c>
      <c r="D7794" s="2" t="str">
        <f t="shared" si="127"/>
        <v>Error?</v>
      </c>
      <c r="E7794" s="4" t="s">
        <v>1831</v>
      </c>
    </row>
    <row r="7795" spans="1:5" x14ac:dyDescent="0.2">
      <c r="A7795">
        <v>7734</v>
      </c>
      <c r="B7795" s="138">
        <f>'Expenditures 15-22'!E138</f>
        <v>0</v>
      </c>
      <c r="D7795" s="2" t="str">
        <f t="shared" si="127"/>
        <v>Error?</v>
      </c>
      <c r="E7795" s="4" t="s">
        <v>1831</v>
      </c>
    </row>
    <row r="7796" spans="1:5" x14ac:dyDescent="0.2">
      <c r="A7796">
        <v>7735</v>
      </c>
      <c r="B7796" s="138">
        <f>'Acct Summary 7-8'!J15</f>
        <v>0</v>
      </c>
      <c r="D7796" s="2" t="str">
        <f t="shared" si="127"/>
        <v>Error?</v>
      </c>
      <c r="E7796" s="4" t="s">
        <v>1831</v>
      </c>
    </row>
    <row r="7797" spans="1:5" x14ac:dyDescent="0.2">
      <c r="A7797">
        <v>7736</v>
      </c>
      <c r="B7797" s="138">
        <f>'Contracts Paid in CY 29'!D136</f>
        <v>705638558</v>
      </c>
      <c r="D7797" s="2" t="str">
        <f t="shared" si="127"/>
        <v>Error?</v>
      </c>
      <c r="E7797" s="4" t="s">
        <v>1880</v>
      </c>
    </row>
    <row r="7798" spans="1:5" x14ac:dyDescent="0.2">
      <c r="A7798">
        <v>7737</v>
      </c>
      <c r="B7798" s="138">
        <f>'Contracts Paid in CY 29'!F136</f>
        <v>9775000</v>
      </c>
      <c r="D7798" s="2" t="str">
        <f t="shared" si="127"/>
        <v>Error?</v>
      </c>
      <c r="E7798" s="4" t="s">
        <v>1880</v>
      </c>
    </row>
    <row r="7799" spans="1:5" x14ac:dyDescent="0.2">
      <c r="A7799">
        <v>7738</v>
      </c>
      <c r="B7799" s="138">
        <f>'Contracts Paid in CY 29'!G136</f>
        <v>695863558</v>
      </c>
      <c r="D7799" s="2" t="str">
        <f t="shared" si="127"/>
        <v>Error?</v>
      </c>
      <c r="E7799" s="4" t="s">
        <v>1880</v>
      </c>
    </row>
    <row r="7800" spans="1:5" x14ac:dyDescent="0.2">
      <c r="A7800">
        <v>7739</v>
      </c>
      <c r="D7800" s="2" t="str">
        <f t="shared" si="127"/>
        <v>OK</v>
      </c>
    </row>
    <row r="7801" spans="1:5" x14ac:dyDescent="0.2">
      <c r="A7801">
        <v>7740</v>
      </c>
      <c r="B7801" s="138">
        <f>'Revenues 9-14'!C120</f>
        <v>0</v>
      </c>
      <c r="D7801" s="2" t="str">
        <f t="shared" si="127"/>
        <v>Error?</v>
      </c>
      <c r="E7801" s="4" t="s">
        <v>1916</v>
      </c>
    </row>
    <row r="7802" spans="1:5" x14ac:dyDescent="0.2">
      <c r="A7802">
        <v>7741</v>
      </c>
      <c r="B7802" s="138">
        <f>'Revenues 9-14'!D120</f>
        <v>0</v>
      </c>
      <c r="D7802" s="2" t="str">
        <f t="shared" si="127"/>
        <v>Error?</v>
      </c>
      <c r="E7802" s="4" t="s">
        <v>1916</v>
      </c>
    </row>
    <row r="7803" spans="1:5" x14ac:dyDescent="0.2">
      <c r="A7803">
        <v>7742</v>
      </c>
      <c r="B7803" s="138">
        <f>'Revenues 9-14'!E120</f>
        <v>0</v>
      </c>
      <c r="D7803" s="2" t="str">
        <f t="shared" si="127"/>
        <v>Error?</v>
      </c>
      <c r="E7803" s="4" t="s">
        <v>1916</v>
      </c>
    </row>
    <row r="7804" spans="1:5" x14ac:dyDescent="0.2">
      <c r="A7804">
        <v>7743</v>
      </c>
      <c r="B7804" s="138">
        <f>'Revenues 9-14'!F120</f>
        <v>0</v>
      </c>
      <c r="D7804" s="2" t="str">
        <f t="shared" si="127"/>
        <v>Error?</v>
      </c>
      <c r="E7804" s="4" t="s">
        <v>1916</v>
      </c>
    </row>
    <row r="7805" spans="1:5" x14ac:dyDescent="0.2">
      <c r="A7805">
        <v>7744</v>
      </c>
      <c r="B7805" s="138">
        <f>'Revenues 9-14'!G120</f>
        <v>0</v>
      </c>
      <c r="D7805" s="2" t="str">
        <f t="shared" si="127"/>
        <v>Error?</v>
      </c>
      <c r="E7805" s="4" t="s">
        <v>1916</v>
      </c>
    </row>
    <row r="7806" spans="1:5" x14ac:dyDescent="0.2">
      <c r="A7806">
        <v>7745</v>
      </c>
      <c r="B7806" s="138">
        <f>'Revenues 9-14'!H120</f>
        <v>0</v>
      </c>
      <c r="D7806" s="2" t="str">
        <f t="shared" si="127"/>
        <v>Error?</v>
      </c>
      <c r="E7806" s="4" t="s">
        <v>1916</v>
      </c>
    </row>
    <row r="7807" spans="1:5" x14ac:dyDescent="0.2">
      <c r="A7807">
        <v>7746</v>
      </c>
      <c r="B7807" s="138">
        <f>'Revenues 9-14'!J120</f>
        <v>0</v>
      </c>
      <c r="D7807" s="2" t="str">
        <f t="shared" ref="D7807:D7816" si="128">IF(ISBLANK(B7807),"OK",IF(A7807-B7807=0,"OK","Error?"))</f>
        <v>Error?</v>
      </c>
      <c r="E7807" s="4" t="s">
        <v>1916</v>
      </c>
    </row>
    <row r="7808" spans="1:5" x14ac:dyDescent="0.2">
      <c r="A7808">
        <v>7747</v>
      </c>
      <c r="B7808" s="138">
        <f>'Revenues 9-14'!K120</f>
        <v>0</v>
      </c>
      <c r="D7808" s="2" t="str">
        <f t="shared" si="128"/>
        <v>Error?</v>
      </c>
      <c r="E7808" s="4" t="s">
        <v>1916</v>
      </c>
    </row>
    <row r="7809" spans="1:5" x14ac:dyDescent="0.2">
      <c r="A7809">
        <v>7748</v>
      </c>
      <c r="B7809" s="138">
        <f>'Revenues 9-14'!C261</f>
        <v>0</v>
      </c>
      <c r="D7809" s="2" t="str">
        <f t="shared" si="128"/>
        <v>Error?</v>
      </c>
      <c r="E7809" s="4" t="s">
        <v>1917</v>
      </c>
    </row>
    <row r="7810" spans="1:5" x14ac:dyDescent="0.2">
      <c r="A7810">
        <v>7749</v>
      </c>
      <c r="B7810" s="138">
        <f>'Revenues 9-14'!D261</f>
        <v>0</v>
      </c>
      <c r="D7810" s="2" t="str">
        <f t="shared" si="128"/>
        <v>Error?</v>
      </c>
      <c r="E7810" s="4" t="s">
        <v>1917</v>
      </c>
    </row>
    <row r="7811" spans="1:5" x14ac:dyDescent="0.2">
      <c r="A7811">
        <v>7750</v>
      </c>
      <c r="B7811" s="138">
        <f>'Revenues 9-14'!F261</f>
        <v>0</v>
      </c>
      <c r="D7811" s="2" t="str">
        <f t="shared" si="128"/>
        <v>Error?</v>
      </c>
      <c r="E7811" s="4" t="s">
        <v>1917</v>
      </c>
    </row>
    <row r="7812" spans="1:5" x14ac:dyDescent="0.2">
      <c r="A7812">
        <v>7751</v>
      </c>
      <c r="B7812" s="138">
        <f>'Revenues 9-14'!G261</f>
        <v>0</v>
      </c>
      <c r="D7812" s="2" t="str">
        <f t="shared" si="128"/>
        <v>Error?</v>
      </c>
      <c r="E7812" s="4" t="s">
        <v>1917</v>
      </c>
    </row>
    <row r="7813" spans="1:5" x14ac:dyDescent="0.2">
      <c r="A7813">
        <v>7752</v>
      </c>
      <c r="B7813" s="138">
        <f>'Revenues 9-14'!C262</f>
        <v>0</v>
      </c>
      <c r="D7813" s="2" t="str">
        <f t="shared" si="128"/>
        <v>Error?</v>
      </c>
      <c r="E7813" s="4" t="s">
        <v>1918</v>
      </c>
    </row>
    <row r="7814" spans="1:5" x14ac:dyDescent="0.2">
      <c r="A7814">
        <v>7753</v>
      </c>
      <c r="B7814" s="138">
        <f>'Revenues 9-14'!D262</f>
        <v>0</v>
      </c>
      <c r="D7814" s="2" t="str">
        <f t="shared" si="128"/>
        <v>Error?</v>
      </c>
      <c r="E7814" s="4" t="s">
        <v>1918</v>
      </c>
    </row>
    <row r="7815" spans="1:5" x14ac:dyDescent="0.2">
      <c r="A7815">
        <v>7754</v>
      </c>
      <c r="B7815" s="138">
        <f>'Revenues 9-14'!F262</f>
        <v>0</v>
      </c>
      <c r="D7815" s="2" t="str">
        <f t="shared" si="128"/>
        <v>Error?</v>
      </c>
      <c r="E7815" s="4" t="s">
        <v>1918</v>
      </c>
    </row>
    <row r="7816" spans="1:5" x14ac:dyDescent="0.2">
      <c r="A7816">
        <v>7755</v>
      </c>
      <c r="B7816" s="138">
        <f>'Revenues 9-14'!G262</f>
        <v>0</v>
      </c>
      <c r="D7816" s="2" t="str">
        <f t="shared" si="128"/>
        <v>Error?</v>
      </c>
      <c r="E7816" s="4" t="s">
        <v>1918</v>
      </c>
    </row>
  </sheetData>
  <sheetProtection password="F60E" sheet="1" objects="1" scenarios="1"/>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92D050"/>
    <pageSetUpPr fitToPage="1"/>
  </sheetPr>
  <dimension ref="A1:AC59"/>
  <sheetViews>
    <sheetView showGridLines="0" showZeros="0" topLeftCell="A10" zoomScale="110" zoomScaleNormal="110" workbookViewId="0">
      <selection activeCell="Q50" sqref="Q50"/>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18" t="s">
        <v>1191</v>
      </c>
      <c r="B2" s="2418"/>
      <c r="C2" s="2418"/>
      <c r="D2" s="2418"/>
      <c r="E2" s="2418"/>
      <c r="F2" s="2418"/>
      <c r="G2" s="2418"/>
      <c r="H2" s="2418"/>
      <c r="I2" s="2418"/>
      <c r="J2" s="2418"/>
      <c r="K2" s="2418"/>
      <c r="L2" s="2418"/>
    </row>
    <row r="3" spans="1:29" ht="13.5" customHeight="1" x14ac:dyDescent="0.2">
      <c r="A3" s="2449" t="s">
        <v>1190</v>
      </c>
      <c r="B3" s="2449"/>
      <c r="C3" s="2449"/>
      <c r="D3" s="2449"/>
      <c r="E3" s="2449"/>
      <c r="F3" s="2449"/>
      <c r="G3" s="2449"/>
      <c r="H3" s="2449"/>
      <c r="I3" s="2449"/>
      <c r="J3" s="2449"/>
      <c r="K3" s="2449"/>
      <c r="L3" s="2449"/>
    </row>
    <row r="4" spans="1:29" ht="13.5" customHeight="1" x14ac:dyDescent="0.2">
      <c r="A4" s="2418" t="s">
        <v>1964</v>
      </c>
      <c r="B4" s="2439"/>
      <c r="C4" s="2439"/>
      <c r="D4" s="2439"/>
      <c r="E4" s="2439"/>
      <c r="F4" s="2439"/>
      <c r="G4" s="2439"/>
      <c r="H4" s="2439"/>
      <c r="I4" s="2439"/>
      <c r="J4" s="2439"/>
      <c r="K4" s="2439"/>
      <c r="L4" s="2439"/>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40" t="str">
        <f>COVER!A17</f>
        <v>City of Chicago SD 299</v>
      </c>
      <c r="B7" s="2441"/>
      <c r="C7" s="2441"/>
      <c r="D7" s="2442"/>
      <c r="E7" s="2443">
        <f>COVER!A13</f>
        <v>15016299025</v>
      </c>
      <c r="F7" s="2444"/>
      <c r="G7" s="2450" t="str">
        <f>COVER!T23</f>
        <v>066-004260</v>
      </c>
      <c r="H7" s="2451"/>
      <c r="I7" s="2451"/>
      <c r="J7" s="2451"/>
      <c r="K7" s="2451"/>
      <c r="L7" s="2452"/>
    </row>
    <row r="8" spans="1:29" ht="13.5" customHeight="1" x14ac:dyDescent="0.2">
      <c r="A8" s="1184" t="s">
        <v>1512</v>
      </c>
      <c r="B8" s="1185"/>
      <c r="C8" s="1186"/>
      <c r="D8" s="1186"/>
      <c r="E8" s="1191"/>
      <c r="F8" s="1190"/>
      <c r="G8" s="1192" t="s">
        <v>1186</v>
      </c>
      <c r="H8" s="1193"/>
      <c r="I8" s="1193"/>
      <c r="J8" s="1193"/>
      <c r="K8" s="1193"/>
      <c r="L8" s="1194"/>
    </row>
    <row r="9" spans="1:29" ht="13.5" customHeight="1" x14ac:dyDescent="0.2">
      <c r="A9" s="2453"/>
      <c r="B9" s="2454"/>
      <c r="C9" s="2454"/>
      <c r="D9" s="2454"/>
      <c r="E9" s="2454"/>
      <c r="F9" s="2455"/>
      <c r="G9" s="2424" t="str">
        <f>COVER!T13</f>
        <v>BAKER TILLY VIRCHOW KRAUSE, LLP</v>
      </c>
      <c r="H9" s="2456"/>
      <c r="I9" s="2456"/>
      <c r="J9" s="2456"/>
      <c r="K9" s="2456"/>
      <c r="L9" s="2457"/>
    </row>
    <row r="10" spans="1:29" ht="13.5" customHeight="1" x14ac:dyDescent="0.2">
      <c r="A10" s="2430" t="str">
        <f>COVER!A38</f>
        <v>Lenny Moore, Controller</v>
      </c>
      <c r="B10" s="2431"/>
      <c r="C10" s="2431"/>
      <c r="D10" s="2431"/>
      <c r="E10" s="2431"/>
      <c r="F10" s="2432"/>
      <c r="G10" s="2424" t="str">
        <f>COVER!T17</f>
        <v>205 NORTH MICHIGAN AVENUE</v>
      </c>
      <c r="H10" s="2425"/>
      <c r="I10" s="2425"/>
      <c r="J10" s="2425"/>
      <c r="K10" s="2425"/>
      <c r="L10" s="2426"/>
    </row>
    <row r="11" spans="1:29" ht="13.5" customHeight="1" x14ac:dyDescent="0.2">
      <c r="A11" s="1184" t="s">
        <v>1514</v>
      </c>
      <c r="B11" s="1185"/>
      <c r="C11" s="1186"/>
      <c r="D11" s="1191"/>
      <c r="E11" s="1186"/>
      <c r="F11" s="1190"/>
      <c r="G11" s="2424" t="str">
        <f>COVER!T19</f>
        <v>CHICAGO</v>
      </c>
      <c r="H11" s="2425"/>
      <c r="I11" s="2425"/>
      <c r="J11" s="2425"/>
      <c r="K11" s="2425"/>
      <c r="L11" s="2426"/>
    </row>
    <row r="12" spans="1:29" ht="13.5" customHeight="1" x14ac:dyDescent="0.2">
      <c r="A12" s="2433" t="s">
        <v>1513</v>
      </c>
      <c r="B12" s="2434"/>
      <c r="C12" s="2434"/>
      <c r="D12" s="2434"/>
      <c r="E12" s="2434"/>
      <c r="F12" s="2435"/>
      <c r="G12" s="2427"/>
      <c r="H12" s="2428"/>
      <c r="I12" s="2428"/>
      <c r="J12" s="2428"/>
      <c r="K12" s="2428"/>
      <c r="L12" s="2429"/>
    </row>
    <row r="13" spans="1:29" ht="13.5" customHeight="1" x14ac:dyDescent="0.2">
      <c r="A13" s="2424"/>
      <c r="B13" s="2425"/>
      <c r="C13" s="2425"/>
      <c r="D13" s="2425"/>
      <c r="E13" s="2425"/>
      <c r="F13" s="2426"/>
      <c r="G13" s="2419" t="s">
        <v>1515</v>
      </c>
      <c r="H13" s="2420"/>
      <c r="I13" s="2436" t="str">
        <f>COVER!T25</f>
        <v>JASON.COYLE@BAKERTILLY.COM</v>
      </c>
      <c r="J13" s="2437"/>
      <c r="K13" s="2437"/>
      <c r="L13" s="2438"/>
    </row>
    <row r="14" spans="1:29" ht="13.5" customHeight="1" x14ac:dyDescent="0.2">
      <c r="A14" s="2424" t="str">
        <f>COVER!A19</f>
        <v>42 WEST MADISON STREET</v>
      </c>
      <c r="B14" s="2425"/>
      <c r="C14" s="2425"/>
      <c r="D14" s="2425"/>
      <c r="E14" s="2425"/>
      <c r="F14" s="2426"/>
      <c r="G14" s="1195" t="s">
        <v>1185</v>
      </c>
      <c r="H14" s="1193"/>
      <c r="I14" s="1193"/>
      <c r="J14" s="1193"/>
      <c r="K14" s="1193"/>
      <c r="L14" s="1194"/>
    </row>
    <row r="15" spans="1:29" ht="13.5" customHeight="1" x14ac:dyDescent="0.2">
      <c r="A15" s="2424" t="str">
        <f>COVER!A21</f>
        <v>CHICAGO</v>
      </c>
      <c r="B15" s="2425"/>
      <c r="C15" s="2425"/>
      <c r="D15" s="2425"/>
      <c r="E15" s="2425"/>
      <c r="F15" s="2426"/>
      <c r="G15" s="2421" t="str">
        <f>COVER!T15</f>
        <v>JASON COYLE</v>
      </c>
      <c r="H15" s="2422"/>
      <c r="I15" s="2422"/>
      <c r="J15" s="2422"/>
      <c r="K15" s="2422"/>
      <c r="L15" s="2423"/>
    </row>
    <row r="16" spans="1:29" ht="12.2" customHeight="1" x14ac:dyDescent="0.2">
      <c r="A16" s="2446">
        <f>COVER!A25</f>
        <v>60602</v>
      </c>
      <c r="B16" s="2447"/>
      <c r="C16" s="2447"/>
      <c r="D16" s="2447"/>
      <c r="E16" s="2447"/>
      <c r="F16" s="2448"/>
      <c r="G16" s="2458"/>
      <c r="H16" s="2459"/>
      <c r="I16" s="2459"/>
      <c r="J16" s="2459"/>
      <c r="K16" s="2459"/>
      <c r="L16" s="2460"/>
    </row>
    <row r="17" spans="1:13" ht="12.2" customHeight="1" x14ac:dyDescent="0.2">
      <c r="A17" s="2461"/>
      <c r="B17" s="2447"/>
      <c r="C17" s="2447"/>
      <c r="D17" s="2447"/>
      <c r="E17" s="2447"/>
      <c r="F17" s="2448"/>
      <c r="G17" s="1195" t="s">
        <v>1184</v>
      </c>
      <c r="H17" s="1193"/>
      <c r="I17" s="1193"/>
      <c r="J17" s="1193"/>
      <c r="K17" s="1197" t="s">
        <v>1183</v>
      </c>
      <c r="L17" s="1190"/>
      <c r="M17" s="1183"/>
    </row>
    <row r="18" spans="1:13" ht="12.2" customHeight="1" x14ac:dyDescent="0.2">
      <c r="A18" s="2430"/>
      <c r="B18" s="2431"/>
      <c r="C18" s="2431"/>
      <c r="D18" s="2431"/>
      <c r="E18" s="2431"/>
      <c r="F18" s="2432"/>
      <c r="G18" s="2440" t="str">
        <f>COVER!T21</f>
        <v>630.645.6205</v>
      </c>
      <c r="H18" s="2441"/>
      <c r="I18" s="2441"/>
      <c r="J18" s="2441"/>
      <c r="K18" s="2440">
        <f>COVER!X21</f>
        <v>0</v>
      </c>
      <c r="L18" s="2445"/>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1687</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1688</v>
      </c>
    </row>
    <row r="27" spans="1:13" s="1198" customFormat="1" ht="9" customHeight="1" x14ac:dyDescent="0.2">
      <c r="B27" s="1203"/>
      <c r="C27" s="1202"/>
    </row>
    <row r="28" spans="1:13" s="1198" customFormat="1" ht="12.2" customHeight="1" x14ac:dyDescent="0.2">
      <c r="A28" s="1205"/>
      <c r="B28" s="1201"/>
      <c r="C28" s="1202" t="s">
        <v>1689</v>
      </c>
    </row>
    <row r="29" spans="1:13" s="1198" customFormat="1" ht="9" customHeight="1" x14ac:dyDescent="0.2">
      <c r="A29" s="1205"/>
      <c r="B29" s="1203"/>
      <c r="C29" s="1202"/>
    </row>
    <row r="30" spans="1:13" s="1198" customFormat="1" ht="12.2" customHeight="1" x14ac:dyDescent="0.2">
      <c r="B30" s="1201"/>
      <c r="C30" s="1202" t="s">
        <v>1557</v>
      </c>
      <c r="D30" s="1196"/>
      <c r="E30" s="1196"/>
    </row>
    <row r="31" spans="1:13" s="1198" customFormat="1" ht="9" customHeight="1" x14ac:dyDescent="0.2">
      <c r="B31" s="1203"/>
      <c r="C31" s="1202"/>
      <c r="D31" s="1196"/>
      <c r="E31" s="1196"/>
    </row>
    <row r="32" spans="1:13" s="1198" customFormat="1" ht="12.2" customHeight="1" x14ac:dyDescent="0.2">
      <c r="B32" s="1201"/>
      <c r="C32" s="1202" t="s">
        <v>1558</v>
      </c>
      <c r="D32" s="1196"/>
      <c r="E32" s="1196"/>
    </row>
    <row r="33" spans="1:8" s="1198" customFormat="1" ht="10.9" customHeight="1" x14ac:dyDescent="0.2">
      <c r="B33" s="1203"/>
      <c r="C33" s="1206" t="s">
        <v>1690</v>
      </c>
      <c r="D33" s="1196"/>
      <c r="E33" s="1196"/>
    </row>
    <row r="34" spans="1:8" ht="9" customHeight="1" x14ac:dyDescent="0.2">
      <c r="B34" s="1203"/>
      <c r="C34" s="1206"/>
    </row>
    <row r="35" spans="1:8" s="1198" customFormat="1" ht="13.5" customHeight="1" x14ac:dyDescent="0.2">
      <c r="B35" s="1201"/>
      <c r="C35" s="1202" t="s">
        <v>1559</v>
      </c>
    </row>
    <row r="36" spans="1:8" s="1198" customFormat="1" ht="10.9" customHeight="1" x14ac:dyDescent="0.2">
      <c r="B36" s="1203"/>
      <c r="C36" s="1206" t="s">
        <v>1560</v>
      </c>
    </row>
    <row r="37" spans="1:8" ht="9" customHeight="1" x14ac:dyDescent="0.2">
      <c r="B37" s="1203"/>
      <c r="C37" s="1206"/>
    </row>
    <row r="38" spans="1:8" s="1198" customFormat="1" ht="12.2" customHeight="1" x14ac:dyDescent="0.2">
      <c r="B38" s="1201"/>
      <c r="C38" s="1202" t="s">
        <v>1561</v>
      </c>
    </row>
    <row r="39" spans="1:8" ht="9" customHeight="1" x14ac:dyDescent="0.2">
      <c r="B39" s="1203"/>
      <c r="C39" s="1206"/>
    </row>
    <row r="40" spans="1:8" s="1198" customFormat="1" ht="13.5" customHeight="1" x14ac:dyDescent="0.2">
      <c r="B40" s="1201"/>
      <c r="C40" s="1202" t="s">
        <v>1562</v>
      </c>
    </row>
    <row r="41" spans="1:8" ht="9" customHeight="1" x14ac:dyDescent="0.2">
      <c r="A41" s="1207"/>
      <c r="B41" s="1203"/>
      <c r="C41" s="1206"/>
    </row>
    <row r="42" spans="1:8" s="1198" customFormat="1" ht="13.5" customHeight="1" x14ac:dyDescent="0.2">
      <c r="B42" s="1201"/>
      <c r="C42" s="1202" t="s">
        <v>1814</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1563</v>
      </c>
      <c r="D46" s="1196"/>
      <c r="E46" s="1196"/>
      <c r="F46" s="1196"/>
      <c r="G46" s="1196"/>
      <c r="H46" s="1196"/>
    </row>
    <row r="47" spans="1:8" ht="9" customHeight="1" x14ac:dyDescent="0.2"/>
    <row r="48" spans="1:8" ht="12.2" customHeight="1" x14ac:dyDescent="0.2">
      <c r="B48" s="1865"/>
      <c r="C48" s="1210" t="s">
        <v>1564</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92D050"/>
    <pageSetUpPr fitToPage="1"/>
  </sheetPr>
  <dimension ref="A1:K127"/>
  <sheetViews>
    <sheetView showGridLines="0" topLeftCell="A76" zoomScale="125" zoomScaleNormal="125" workbookViewId="0">
      <selection activeCell="H127" sqref="H127"/>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62" t="str">
        <f>'Single Audit Cover'!A7</f>
        <v>City of Chicago SD 299</v>
      </c>
      <c r="B1" s="2439"/>
      <c r="C1" s="2439"/>
      <c r="D1" s="2439"/>
    </row>
    <row r="2" spans="1:11" s="1212" customFormat="1" ht="12.75" x14ac:dyDescent="0.2">
      <c r="A2" s="2463">
        <f>'Single Audit Cover'!E7</f>
        <v>15016299025</v>
      </c>
      <c r="B2" s="2464"/>
      <c r="C2" s="2464"/>
      <c r="D2" s="2464"/>
    </row>
    <row r="3" spans="1:11" s="1212" customFormat="1" ht="12.75" x14ac:dyDescent="0.2">
      <c r="A3" s="2462" t="s">
        <v>1508</v>
      </c>
      <c r="B3" s="2439"/>
      <c r="C3" s="2439"/>
      <c r="D3" s="2439"/>
    </row>
    <row r="4" spans="1:11" s="1212" customFormat="1" ht="4.5" customHeight="1" x14ac:dyDescent="0.2">
      <c r="A4" s="1213"/>
      <c r="B4" s="1214"/>
      <c r="C4" s="1214"/>
      <c r="D4" s="1214"/>
    </row>
    <row r="5" spans="1:11" x14ac:dyDescent="0.2">
      <c r="B5" s="1216" t="s">
        <v>1509</v>
      </c>
      <c r="C5" s="1217"/>
      <c r="D5" s="1218"/>
    </row>
    <row r="6" spans="1:11" x14ac:dyDescent="0.2">
      <c r="B6" s="1216" t="s">
        <v>1225</v>
      </c>
      <c r="C6" s="1217"/>
      <c r="D6" s="1218"/>
    </row>
    <row r="7" spans="1:11" x14ac:dyDescent="0.2">
      <c r="B7" s="1216" t="s">
        <v>1510</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1691</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1692</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1693</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1694</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1715</v>
      </c>
      <c r="E24" s="1225"/>
      <c r="F24" s="1225"/>
      <c r="G24" s="1225"/>
      <c r="H24" s="1225"/>
      <c r="I24" s="1225"/>
      <c r="J24" s="1225"/>
      <c r="K24" s="1225"/>
    </row>
    <row r="25" spans="1:11" x14ac:dyDescent="0.2">
      <c r="A25" s="1219"/>
      <c r="B25" s="1228"/>
      <c r="D25" s="1227" t="s">
        <v>1695</v>
      </c>
      <c r="E25" s="1225"/>
      <c r="F25" s="1225"/>
      <c r="G25" s="1225"/>
      <c r="H25" s="1225"/>
      <c r="I25" s="1225"/>
      <c r="J25" s="1225"/>
      <c r="K25" s="1225"/>
    </row>
    <row r="26" spans="1:11" x14ac:dyDescent="0.2">
      <c r="A26" s="1219"/>
      <c r="B26" s="1228"/>
      <c r="D26" s="1232" t="s">
        <v>1696</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1565</v>
      </c>
      <c r="E28" s="1225"/>
      <c r="F28" s="1225"/>
      <c r="G28" s="1225"/>
      <c r="H28" s="1225"/>
      <c r="I28" s="1225"/>
      <c r="J28" s="1225"/>
      <c r="K28" s="1225"/>
    </row>
    <row r="29" spans="1:11" ht="10.5" customHeight="1" x14ac:dyDescent="0.2">
      <c r="A29" s="1219"/>
      <c r="D29" s="1233" t="s">
        <v>1566</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1567</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1567</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1568</v>
      </c>
    </row>
    <row r="41" spans="1:5" ht="3" customHeight="1" x14ac:dyDescent="0.2">
      <c r="A41" s="1219"/>
      <c r="B41" s="1236"/>
      <c r="C41" s="1237"/>
      <c r="D41" s="1218"/>
    </row>
    <row r="42" spans="1:5" ht="10.5" customHeight="1" x14ac:dyDescent="0.2">
      <c r="A42" s="1219"/>
      <c r="B42" s="1238"/>
      <c r="C42" s="1229">
        <v>11</v>
      </c>
      <c r="D42" s="1240" t="s">
        <v>1569</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1570</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1697</v>
      </c>
    </row>
    <row r="57" spans="1:4" ht="10.5" customHeight="1" x14ac:dyDescent="0.2">
      <c r="A57" s="1219"/>
      <c r="D57" s="1234" t="s">
        <v>1698</v>
      </c>
    </row>
    <row r="58" spans="1:4" x14ac:dyDescent="0.2">
      <c r="A58" s="1219"/>
      <c r="C58" s="1241"/>
      <c r="D58" s="1234" t="s">
        <v>1699</v>
      </c>
    </row>
    <row r="59" spans="1:4" ht="10.5" customHeight="1" x14ac:dyDescent="0.2">
      <c r="A59" s="1219"/>
      <c r="D59" s="1218" t="s">
        <v>1209</v>
      </c>
    </row>
    <row r="60" spans="1:4" ht="10.5" customHeight="1" x14ac:dyDescent="0.2">
      <c r="A60" s="1219"/>
      <c r="D60" s="1242" t="s">
        <v>1588</v>
      </c>
    </row>
    <row r="61" spans="1:4" ht="10.5" customHeight="1" x14ac:dyDescent="0.2">
      <c r="A61" s="1219"/>
      <c r="C61" s="1241"/>
      <c r="D61" s="1234" t="s">
        <v>1700</v>
      </c>
    </row>
    <row r="62" spans="1:4" ht="10.5" customHeight="1" x14ac:dyDescent="0.2">
      <c r="A62" s="1219"/>
      <c r="D62" s="1243" t="s">
        <v>1208</v>
      </c>
    </row>
    <row r="63" spans="1:4" ht="10.5" customHeight="1" x14ac:dyDescent="0.2">
      <c r="A63" s="1219"/>
      <c r="D63" s="1218" t="s">
        <v>1571</v>
      </c>
    </row>
    <row r="64" spans="1:4" ht="10.5" customHeight="1" x14ac:dyDescent="0.2">
      <c r="A64" s="1219"/>
      <c r="D64" s="1242" t="s">
        <v>1587</v>
      </c>
    </row>
    <row r="65" spans="1:4" x14ac:dyDescent="0.2">
      <c r="A65" s="1219"/>
      <c r="C65" s="1241"/>
      <c r="D65" s="1234" t="s">
        <v>1701</v>
      </c>
    </row>
    <row r="66" spans="1:4" ht="10.5" customHeight="1" x14ac:dyDescent="0.2">
      <c r="A66" s="1219"/>
      <c r="D66" s="1244" t="s">
        <v>1207</v>
      </c>
    </row>
    <row r="67" spans="1:4" ht="10.5" customHeight="1" x14ac:dyDescent="0.2">
      <c r="A67" s="1219"/>
      <c r="D67" s="1218" t="s">
        <v>1572</v>
      </c>
    </row>
    <row r="68" spans="1:4" ht="10.5" customHeight="1" x14ac:dyDescent="0.2">
      <c r="A68" s="1219"/>
      <c r="D68" s="1242" t="s">
        <v>1587</v>
      </c>
    </row>
    <row r="69" spans="1:4" ht="10.5" customHeight="1" x14ac:dyDescent="0.2">
      <c r="A69" s="1219"/>
      <c r="C69" s="1241"/>
      <c r="D69" s="1234" t="s">
        <v>1702</v>
      </c>
    </row>
    <row r="70" spans="1:4" x14ac:dyDescent="0.2">
      <c r="A70" s="1219"/>
      <c r="D70" s="1243" t="s">
        <v>1206</v>
      </c>
    </row>
    <row r="71" spans="1:4" ht="3" customHeight="1" x14ac:dyDescent="0.2">
      <c r="A71" s="1219"/>
      <c r="D71" s="1218"/>
    </row>
    <row r="72" spans="1:4" x14ac:dyDescent="0.2">
      <c r="A72" s="1219"/>
      <c r="B72" s="1222"/>
      <c r="C72" s="1223">
        <f>C56+1</f>
        <v>18</v>
      </c>
      <c r="D72" s="1244" t="s">
        <v>1703</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1704</v>
      </c>
    </row>
    <row r="77" spans="1:4" ht="3" customHeight="1" x14ac:dyDescent="0.2">
      <c r="A77" s="1219"/>
      <c r="B77" s="1226"/>
      <c r="C77" s="1223"/>
      <c r="D77" s="1245"/>
    </row>
    <row r="78" spans="1:4" x14ac:dyDescent="0.2">
      <c r="A78" s="1219"/>
      <c r="B78" s="1222"/>
      <c r="C78" s="1223">
        <f>C76+1</f>
        <v>21</v>
      </c>
      <c r="D78" s="1218" t="s">
        <v>1705</v>
      </c>
    </row>
    <row r="79" spans="1:4" ht="3" customHeight="1" x14ac:dyDescent="0.2">
      <c r="A79" s="1219"/>
      <c r="B79" s="1226"/>
      <c r="C79" s="1223"/>
      <c r="D79" s="1218"/>
    </row>
    <row r="80" spans="1:4" x14ac:dyDescent="0.2">
      <c r="A80" s="1219"/>
      <c r="B80" s="1222"/>
      <c r="C80" s="1223">
        <f>C78+1</f>
        <v>22</v>
      </c>
      <c r="D80" s="1246" t="s">
        <v>1706</v>
      </c>
    </row>
    <row r="81" spans="1:4" ht="3" customHeight="1" x14ac:dyDescent="0.2">
      <c r="A81" s="1219"/>
      <c r="B81" s="1226"/>
      <c r="C81" s="1223"/>
      <c r="D81" s="1246"/>
    </row>
    <row r="82" spans="1:4" x14ac:dyDescent="0.2">
      <c r="A82" s="1219"/>
      <c r="B82" s="1222"/>
      <c r="C82" s="1223">
        <f>C80+1</f>
        <v>23</v>
      </c>
      <c r="D82" s="1245" t="s">
        <v>1707</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1708</v>
      </c>
    </row>
    <row r="92" spans="1:4" x14ac:dyDescent="0.2">
      <c r="A92" s="1219"/>
      <c r="B92" s="1247"/>
      <c r="C92" s="1241"/>
      <c r="D92" s="1234" t="s">
        <v>1200</v>
      </c>
    </row>
    <row r="93" spans="1:4" ht="4.5" customHeight="1" x14ac:dyDescent="0.2">
      <c r="A93" s="1219"/>
      <c r="D93" s="1218"/>
    </row>
    <row r="94" spans="1:4" x14ac:dyDescent="0.2">
      <c r="A94" s="1219"/>
      <c r="B94" s="1220" t="s">
        <v>1573</v>
      </c>
      <c r="C94" s="1221"/>
      <c r="D94" s="1218"/>
    </row>
    <row r="95" spans="1:4" ht="4.5" customHeight="1" x14ac:dyDescent="0.2">
      <c r="A95" s="1219"/>
      <c r="B95" s="1220"/>
      <c r="C95" s="1221"/>
      <c r="D95" s="1218"/>
    </row>
    <row r="96" spans="1:4" x14ac:dyDescent="0.2">
      <c r="A96" s="1219"/>
      <c r="B96" s="1222"/>
      <c r="C96" s="1223">
        <f>C91+1</f>
        <v>28</v>
      </c>
      <c r="D96" s="1234" t="s">
        <v>1709</v>
      </c>
    </row>
    <row r="97" spans="1:4" ht="3" customHeight="1" x14ac:dyDescent="0.2">
      <c r="A97" s="1219"/>
      <c r="B97" s="1226"/>
      <c r="C97" s="1223"/>
      <c r="D97" s="1234"/>
    </row>
    <row r="98" spans="1:4" x14ac:dyDescent="0.2">
      <c r="A98" s="1219"/>
      <c r="B98" s="1222"/>
      <c r="C98" s="1223">
        <f>C96+1</f>
        <v>29</v>
      </c>
      <c r="D98" s="1248" t="s">
        <v>1710</v>
      </c>
    </row>
    <row r="99" spans="1:4" ht="3" customHeight="1" x14ac:dyDescent="0.2">
      <c r="A99" s="1219"/>
      <c r="B99" s="1226"/>
      <c r="C99" s="1223"/>
      <c r="D99" s="1248"/>
    </row>
    <row r="100" spans="1:4" x14ac:dyDescent="0.2">
      <c r="A100" s="1219"/>
      <c r="B100" s="1222"/>
      <c r="C100" s="1223">
        <f>C98+1</f>
        <v>30</v>
      </c>
      <c r="D100" s="1234" t="s">
        <v>1711</v>
      </c>
    </row>
    <row r="101" spans="1:4" ht="3" customHeight="1" x14ac:dyDescent="0.2">
      <c r="A101" s="1219"/>
      <c r="B101" s="1226"/>
      <c r="C101" s="1223"/>
      <c r="D101" s="1249"/>
    </row>
    <row r="102" spans="1:4" x14ac:dyDescent="0.2">
      <c r="A102" s="1219"/>
      <c r="B102" s="1222"/>
      <c r="C102" s="1223">
        <f>C100+1</f>
        <v>31</v>
      </c>
      <c r="D102" s="1234" t="s">
        <v>1574</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1575</v>
      </c>
    </row>
    <row r="107" spans="1:4" ht="3" customHeight="1" x14ac:dyDescent="0.2">
      <c r="A107" s="1219"/>
      <c r="B107" s="1226"/>
      <c r="C107" s="1223"/>
      <c r="D107" s="1218"/>
    </row>
    <row r="108" spans="1:4" x14ac:dyDescent="0.2">
      <c r="A108" s="1219"/>
      <c r="B108" s="1222"/>
      <c r="C108" s="1223">
        <v>33</v>
      </c>
      <c r="D108" s="1218" t="s">
        <v>1712</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1713</v>
      </c>
    </row>
    <row r="118" spans="1:4" ht="3" customHeight="1" x14ac:dyDescent="0.2">
      <c r="A118" s="1219"/>
      <c r="B118" s="1226"/>
      <c r="C118" s="1223"/>
      <c r="D118" s="1234"/>
    </row>
    <row r="119" spans="1:4" x14ac:dyDescent="0.2">
      <c r="A119" s="1219"/>
      <c r="B119" s="1222"/>
      <c r="C119" s="1223">
        <f>C117+1</f>
        <v>38</v>
      </c>
      <c r="D119" s="1234" t="s">
        <v>1714</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1815</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92D050"/>
  </sheetPr>
  <dimension ref="A1:E49"/>
  <sheetViews>
    <sheetView showGridLines="0" zoomScale="110" zoomScaleNormal="110" zoomScaleSheetLayoutView="100" workbookViewId="0">
      <selection activeCell="E20" sqref="E20"/>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66" t="str">
        <f>'Single Audit Cover'!A7</f>
        <v>City of Chicago SD 299</v>
      </c>
      <c r="B1" s="2466"/>
      <c r="C1" s="2466"/>
      <c r="D1" s="2466"/>
      <c r="E1" s="2466"/>
    </row>
    <row r="2" spans="1:5" x14ac:dyDescent="0.2">
      <c r="A2" s="2467">
        <f>'Single Audit Cover'!E7</f>
        <v>15016299025</v>
      </c>
      <c r="B2" s="2467"/>
      <c r="C2" s="2467"/>
      <c r="D2" s="2467"/>
      <c r="E2" s="2467"/>
    </row>
    <row r="3" spans="1:5" ht="4.5" customHeight="1" x14ac:dyDescent="0.2"/>
    <row r="4" spans="1:5" x14ac:dyDescent="0.2">
      <c r="A4" s="2466" t="s">
        <v>1245</v>
      </c>
      <c r="B4" s="2466"/>
      <c r="C4" s="2466"/>
      <c r="D4" s="2466"/>
      <c r="E4" s="2466"/>
    </row>
    <row r="5" spans="1:5" x14ac:dyDescent="0.2">
      <c r="A5" s="2469" t="str">
        <f>'Single Audit Cover'!A4</f>
        <v>Year Ending June 30, 2019</v>
      </c>
      <c r="B5" s="2469"/>
      <c r="C5" s="2469"/>
      <c r="D5" s="2469"/>
      <c r="E5" s="2469"/>
    </row>
    <row r="6" spans="1:5" x14ac:dyDescent="0.2">
      <c r="A6" s="2466" t="s">
        <v>1244</v>
      </c>
      <c r="B6" s="2466"/>
      <c r="C6" s="2466"/>
      <c r="D6" s="2466"/>
      <c r="E6" s="2466"/>
    </row>
    <row r="8" spans="1:5" x14ac:dyDescent="0.2">
      <c r="A8" s="1257" t="s">
        <v>1243</v>
      </c>
    </row>
    <row r="10" spans="1:5" x14ac:dyDescent="0.2">
      <c r="A10" s="1258" t="s">
        <v>1242</v>
      </c>
      <c r="B10" s="1259" t="s">
        <v>1241</v>
      </c>
      <c r="C10" s="1259"/>
      <c r="D10" s="1260">
        <f>SUM('Acct Summary 7-8'!C7:K7)</f>
        <v>691325884</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1716</v>
      </c>
      <c r="B14" s="1259"/>
      <c r="C14" s="1259"/>
      <c r="D14" s="1261">
        <f>'ICR Computation 30'!E11</f>
        <v>12847939</v>
      </c>
    </row>
    <row r="15" spans="1:5" x14ac:dyDescent="0.2">
      <c r="A15" s="1258"/>
      <c r="B15" s="1259"/>
      <c r="C15" s="1259"/>
    </row>
    <row r="16" spans="1:5" x14ac:dyDescent="0.2">
      <c r="A16" s="1258" t="s">
        <v>1820</v>
      </c>
      <c r="B16" s="1259"/>
      <c r="C16" s="1259"/>
    </row>
    <row r="17" spans="1:4" x14ac:dyDescent="0.2">
      <c r="A17" s="1258" t="s">
        <v>2036</v>
      </c>
      <c r="B17" s="1259" t="s">
        <v>1236</v>
      </c>
      <c r="C17" s="1259"/>
      <c r="D17" s="1261">
        <f>-SUM('Revenues 9-14'!C264:D264,'Revenues 9-14'!F264:G264)</f>
        <v>-27014979</v>
      </c>
    </row>
    <row r="19" spans="1:4" ht="13.5" thickBot="1" x14ac:dyDescent="0.25">
      <c r="A19" s="1262" t="s">
        <v>1235</v>
      </c>
      <c r="D19" s="1263">
        <f>SUM(D10:D17)</f>
        <v>677158844</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68" t="s">
        <v>2141</v>
      </c>
      <c r="B24" s="2468"/>
      <c r="D24" s="1265">
        <f>-D14</f>
        <v>-12847939</v>
      </c>
    </row>
    <row r="25" spans="1:4" x14ac:dyDescent="0.2">
      <c r="A25" s="2465" t="s">
        <v>2142</v>
      </c>
      <c r="B25" s="2465"/>
      <c r="D25" s="1265">
        <v>-24887809</v>
      </c>
    </row>
    <row r="26" spans="1:4" x14ac:dyDescent="0.2">
      <c r="A26" s="2465" t="s">
        <v>2143</v>
      </c>
      <c r="B26" s="2465"/>
      <c r="D26" s="1265">
        <v>-3954202</v>
      </c>
    </row>
    <row r="27" spans="1:4" x14ac:dyDescent="0.2">
      <c r="A27" s="2465" t="s">
        <v>2144</v>
      </c>
      <c r="B27" s="2465"/>
      <c r="D27" s="1265">
        <v>36467008</v>
      </c>
    </row>
    <row r="28" spans="1:4" x14ac:dyDescent="0.2">
      <c r="A28" s="2465"/>
      <c r="B28" s="2465"/>
      <c r="D28" s="1265"/>
    </row>
    <row r="29" spans="1:4" x14ac:dyDescent="0.2">
      <c r="A29" s="2465"/>
      <c r="B29" s="2465"/>
      <c r="D29" s="1265"/>
    </row>
    <row r="30" spans="1:4" x14ac:dyDescent="0.2">
      <c r="A30" s="2465"/>
      <c r="B30" s="2465"/>
      <c r="D30" s="1265"/>
    </row>
    <row r="32" spans="1:4" x14ac:dyDescent="0.2">
      <c r="A32" s="1257" t="s">
        <v>1233</v>
      </c>
      <c r="D32" s="1260">
        <f>SUM(D19:D30)</f>
        <v>671935902</v>
      </c>
    </row>
    <row r="33" spans="1:4" x14ac:dyDescent="0.2">
      <c r="D33" s="1266"/>
    </row>
    <row r="34" spans="1:4" x14ac:dyDescent="0.2">
      <c r="A34" s="317" t="s">
        <v>1232</v>
      </c>
    </row>
    <row r="35" spans="1:4" x14ac:dyDescent="0.2">
      <c r="A35" s="317" t="s">
        <v>1231</v>
      </c>
      <c r="B35" s="1255" t="s">
        <v>1230</v>
      </c>
      <c r="D35" s="1267">
        <f>SEFA!F245</f>
        <v>671935902</v>
      </c>
    </row>
    <row r="37" spans="1:4" x14ac:dyDescent="0.2">
      <c r="A37" s="1257" t="s">
        <v>1229</v>
      </c>
    </row>
    <row r="39" spans="1:4" ht="13.35" customHeight="1" x14ac:dyDescent="0.2">
      <c r="A39" s="1264" t="s">
        <v>1228</v>
      </c>
    </row>
    <row r="40" spans="1:4" x14ac:dyDescent="0.2">
      <c r="A40" s="2465"/>
      <c r="B40" s="2465"/>
      <c r="D40" s="1265"/>
    </row>
    <row r="41" spans="1:4" x14ac:dyDescent="0.2">
      <c r="A41" s="2465"/>
      <c r="B41" s="2465"/>
      <c r="D41" s="1268"/>
    </row>
    <row r="42" spans="1:4" x14ac:dyDescent="0.2">
      <c r="A42" s="2465"/>
      <c r="B42" s="2465"/>
      <c r="D42" s="1268"/>
    </row>
    <row r="43" spans="1:4" x14ac:dyDescent="0.2">
      <c r="A43" s="2465"/>
      <c r="B43" s="2465"/>
      <c r="D43" s="1268"/>
    </row>
    <row r="44" spans="1:4" x14ac:dyDescent="0.2">
      <c r="A44" s="2465"/>
      <c r="B44" s="2465"/>
      <c r="D44" s="1268"/>
    </row>
    <row r="45" spans="1:4" x14ac:dyDescent="0.2">
      <c r="A45" s="2465"/>
      <c r="B45" s="2465"/>
      <c r="D45" s="1268"/>
    </row>
    <row r="47" spans="1:4" x14ac:dyDescent="0.2">
      <c r="B47" s="1269" t="s">
        <v>1227</v>
      </c>
      <c r="C47" s="1269"/>
      <c r="D47" s="1270">
        <f>SUM(D35:D45)</f>
        <v>671935902</v>
      </c>
    </row>
    <row r="49" spans="2:4" x14ac:dyDescent="0.2">
      <c r="B49" s="1269" t="s">
        <v>1226</v>
      </c>
      <c r="C49" s="1269"/>
      <c r="D49" s="1270">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92D050"/>
  </sheetPr>
  <dimension ref="A1:M793"/>
  <sheetViews>
    <sheetView zoomScaleNormal="100" workbookViewId="0">
      <pane xSplit="2" ySplit="9" topLeftCell="C241" activePane="bottomRight" state="frozen"/>
      <selection pane="topRight" activeCell="D1" sqref="D1"/>
      <selection pane="bottomLeft" activeCell="A12" sqref="A12"/>
      <selection pane="bottomRight" activeCell="K276" sqref="K276"/>
    </sheetView>
  </sheetViews>
  <sheetFormatPr defaultColWidth="17.28515625" defaultRowHeight="11.25" x14ac:dyDescent="0.2"/>
  <cols>
    <col min="1" max="1" width="1.85546875" style="1905" customWidth="1"/>
    <col min="2" max="2" width="69.85546875" style="1905" customWidth="1"/>
    <col min="3" max="3" width="10.85546875" style="1907" bestFit="1" customWidth="1"/>
    <col min="4" max="4" width="23" style="1905" bestFit="1" customWidth="1"/>
    <col min="5" max="7" width="13.42578125" style="1905" bestFit="1" customWidth="1"/>
    <col min="8" max="8" width="20.85546875" style="1905" bestFit="1" customWidth="1"/>
    <col min="9" max="9" width="13.42578125" style="1905" bestFit="1" customWidth="1"/>
    <col min="10" max="10" width="20.85546875" style="1905" bestFit="1" customWidth="1"/>
    <col min="11" max="11" width="14.42578125" style="1905" bestFit="1" customWidth="1"/>
    <col min="12" max="12" width="15" style="1905" bestFit="1" customWidth="1"/>
    <col min="13" max="13" width="19.140625" style="1905" bestFit="1" customWidth="1"/>
    <col min="14" max="16384" width="17.28515625" style="1905"/>
  </cols>
  <sheetData>
    <row r="1" spans="1:13" x14ac:dyDescent="0.2">
      <c r="A1" s="1901"/>
      <c r="B1" s="1902" t="s">
        <v>2045</v>
      </c>
      <c r="C1" s="1903"/>
      <c r="D1" s="1903"/>
      <c r="E1" s="1903"/>
      <c r="F1" s="1904"/>
      <c r="G1" s="1904"/>
      <c r="H1" s="1904"/>
      <c r="I1" s="1904"/>
      <c r="J1" s="1904"/>
      <c r="K1" s="1904"/>
      <c r="L1" s="1904"/>
      <c r="M1" s="1904"/>
    </row>
    <row r="2" spans="1:13" x14ac:dyDescent="0.2">
      <c r="A2" s="1901"/>
      <c r="B2" s="1902" t="s">
        <v>2043</v>
      </c>
      <c r="C2" s="1903"/>
      <c r="D2" s="1903"/>
      <c r="E2" s="1903"/>
      <c r="F2" s="1904"/>
      <c r="G2" s="1904"/>
      <c r="H2" s="1904"/>
      <c r="I2" s="1904"/>
      <c r="J2" s="1904"/>
      <c r="K2" s="1904"/>
      <c r="L2" s="1904"/>
      <c r="M2" s="1904"/>
    </row>
    <row r="3" spans="1:13" x14ac:dyDescent="0.2">
      <c r="A3" s="1901"/>
      <c r="B3" s="1902" t="s">
        <v>1219</v>
      </c>
      <c r="C3" s="1903"/>
      <c r="D3" s="1903"/>
      <c r="E3" s="1903"/>
      <c r="F3" s="1904"/>
      <c r="G3" s="1904"/>
      <c r="H3" s="1904"/>
      <c r="I3" s="1904"/>
      <c r="J3" s="1906"/>
      <c r="K3" s="1904"/>
      <c r="L3" s="1904"/>
      <c r="M3" s="1904"/>
    </row>
    <row r="4" spans="1:13" x14ac:dyDescent="0.2">
      <c r="A4" s="1901"/>
      <c r="B4" s="1902" t="s">
        <v>2145</v>
      </c>
      <c r="C4" s="1903"/>
      <c r="D4" s="1903"/>
      <c r="E4" s="1903"/>
      <c r="F4" s="1906"/>
      <c r="G4" s="1906"/>
      <c r="H4" s="1906"/>
      <c r="I4" s="1906"/>
      <c r="J4" s="1906"/>
      <c r="K4" s="1906"/>
      <c r="L4" s="1906"/>
      <c r="M4" s="1904"/>
    </row>
    <row r="5" spans="1:13" x14ac:dyDescent="0.2">
      <c r="A5" s="1901"/>
      <c r="B5" s="1902"/>
      <c r="D5" s="1907"/>
      <c r="E5" s="1907"/>
      <c r="F5" s="1908"/>
      <c r="G5" s="1908"/>
      <c r="H5" s="1909"/>
      <c r="J5" s="1908"/>
      <c r="K5" s="1908"/>
      <c r="L5" s="1906"/>
      <c r="M5" s="1909"/>
    </row>
    <row r="6" spans="1:13" x14ac:dyDescent="0.2">
      <c r="A6" s="1901"/>
      <c r="B6" s="1902"/>
      <c r="D6" s="1910" t="s">
        <v>1260</v>
      </c>
      <c r="E6" s="2470" t="s">
        <v>527</v>
      </c>
      <c r="F6" s="2471"/>
      <c r="G6" s="2470" t="s">
        <v>2146</v>
      </c>
      <c r="H6" s="2472"/>
      <c r="I6" s="2472"/>
      <c r="J6" s="2471"/>
      <c r="K6" s="1911"/>
      <c r="L6" s="1912"/>
      <c r="M6" s="1904"/>
    </row>
    <row r="7" spans="1:13" x14ac:dyDescent="0.2">
      <c r="A7" s="1901"/>
      <c r="B7" s="1913" t="s">
        <v>2147</v>
      </c>
      <c r="C7" s="1914" t="s">
        <v>1259</v>
      </c>
      <c r="D7" s="1910" t="s">
        <v>1258</v>
      </c>
      <c r="E7" s="1911" t="s">
        <v>1257</v>
      </c>
      <c r="F7" s="1911" t="s">
        <v>1257</v>
      </c>
      <c r="G7" s="1911" t="s">
        <v>1257</v>
      </c>
      <c r="H7" s="1911" t="s">
        <v>1257</v>
      </c>
      <c r="I7" s="1911" t="s">
        <v>1257</v>
      </c>
      <c r="J7" s="1911" t="s">
        <v>1257</v>
      </c>
      <c r="K7" s="1911" t="s">
        <v>1256</v>
      </c>
      <c r="L7" s="1911" t="s">
        <v>2148</v>
      </c>
      <c r="M7" s="1904"/>
    </row>
    <row r="8" spans="1:13" x14ac:dyDescent="0.2">
      <c r="A8" s="1915"/>
      <c r="B8" s="1913" t="s">
        <v>1255</v>
      </c>
      <c r="C8" s="1914" t="s">
        <v>2149</v>
      </c>
      <c r="D8" s="1910" t="s">
        <v>2150</v>
      </c>
      <c r="E8" s="1916" t="s">
        <v>1817</v>
      </c>
      <c r="F8" s="1916" t="s">
        <v>1965</v>
      </c>
      <c r="G8" s="1916" t="s">
        <v>1817</v>
      </c>
      <c r="H8" s="1916" t="s">
        <v>1817</v>
      </c>
      <c r="I8" s="1916" t="s">
        <v>1965</v>
      </c>
      <c r="J8" s="1916" t="s">
        <v>1965</v>
      </c>
      <c r="K8" s="1903" t="s">
        <v>2151</v>
      </c>
      <c r="L8" s="1903" t="s">
        <v>2152</v>
      </c>
      <c r="M8" s="1911" t="s">
        <v>30</v>
      </c>
    </row>
    <row r="9" spans="1:13" x14ac:dyDescent="0.2">
      <c r="A9" s="1915"/>
      <c r="B9" s="1913" t="s">
        <v>2153</v>
      </c>
      <c r="C9" s="1917" t="s">
        <v>1254</v>
      </c>
      <c r="D9" s="1917" t="s">
        <v>1253</v>
      </c>
      <c r="E9" s="1918" t="s">
        <v>1252</v>
      </c>
      <c r="F9" s="1918" t="s">
        <v>1251</v>
      </c>
      <c r="G9" s="1918" t="s">
        <v>1250</v>
      </c>
      <c r="H9" s="1919" t="s">
        <v>2154</v>
      </c>
      <c r="I9" s="1918" t="s">
        <v>1249</v>
      </c>
      <c r="J9" s="1919" t="s">
        <v>2154</v>
      </c>
      <c r="K9" s="1919" t="s">
        <v>1248</v>
      </c>
      <c r="L9" s="1919" t="s">
        <v>1247</v>
      </c>
      <c r="M9" s="1919" t="s">
        <v>1246</v>
      </c>
    </row>
    <row r="10" spans="1:13" x14ac:dyDescent="0.2">
      <c r="A10" s="1915"/>
      <c r="B10" s="1920"/>
      <c r="C10" s="1914"/>
      <c r="D10" s="1914"/>
      <c r="E10" s="1914"/>
      <c r="F10" s="1921"/>
      <c r="G10" s="1921"/>
      <c r="H10" s="1903"/>
      <c r="I10" s="1921"/>
      <c r="J10" s="1921"/>
      <c r="K10" s="1921"/>
      <c r="L10" s="1921"/>
      <c r="M10" s="1912"/>
    </row>
    <row r="11" spans="1:13" x14ac:dyDescent="0.2">
      <c r="A11" s="1901"/>
      <c r="B11" s="1922" t="s">
        <v>2155</v>
      </c>
      <c r="C11" s="1923"/>
      <c r="D11" s="1923"/>
      <c r="E11" s="1923"/>
      <c r="F11" s="1924"/>
      <c r="G11" s="1924"/>
      <c r="H11" s="1924"/>
      <c r="I11" s="1924"/>
      <c r="J11" s="1924"/>
      <c r="K11" s="1924"/>
      <c r="L11" s="1924"/>
      <c r="M11" s="1924"/>
    </row>
    <row r="12" spans="1:13" x14ac:dyDescent="0.2">
      <c r="A12" s="1901"/>
      <c r="B12" s="1922" t="s">
        <v>2156</v>
      </c>
      <c r="C12" s="1925"/>
      <c r="D12" s="1926"/>
      <c r="E12" s="1926"/>
      <c r="F12" s="1927"/>
      <c r="G12" s="1927"/>
      <c r="H12" s="1927"/>
      <c r="I12" s="1927"/>
      <c r="J12" s="1927"/>
      <c r="K12" s="1927"/>
      <c r="L12" s="1927"/>
      <c r="M12" s="1927"/>
    </row>
    <row r="13" spans="1:13" x14ac:dyDescent="0.2">
      <c r="B13" s="1922" t="s">
        <v>2157</v>
      </c>
      <c r="C13" s="1925"/>
      <c r="D13" s="1926"/>
      <c r="E13" s="1926"/>
      <c r="F13" s="1927"/>
      <c r="G13" s="1927"/>
      <c r="H13" s="1927"/>
      <c r="I13" s="1927"/>
      <c r="J13" s="1927"/>
      <c r="K13" s="1927"/>
      <c r="L13" s="1927"/>
      <c r="M13" s="1927"/>
    </row>
    <row r="14" spans="1:13" x14ac:dyDescent="0.2">
      <c r="A14" s="1901"/>
      <c r="B14" s="1928" t="s">
        <v>2158</v>
      </c>
      <c r="C14" s="1925">
        <v>10.555</v>
      </c>
      <c r="D14" s="1923" t="s">
        <v>2159</v>
      </c>
      <c r="E14" s="1929">
        <v>0</v>
      </c>
      <c r="F14" s="1929">
        <v>111028229</v>
      </c>
      <c r="G14" s="1929">
        <v>0</v>
      </c>
      <c r="H14" s="1929">
        <v>0</v>
      </c>
      <c r="I14" s="1929">
        <v>111028229</v>
      </c>
      <c r="J14" s="1930">
        <v>0</v>
      </c>
      <c r="K14" s="1929">
        <v>8760741</v>
      </c>
      <c r="L14" s="1929">
        <v>111028229</v>
      </c>
      <c r="M14" s="1931" t="s">
        <v>2160</v>
      </c>
    </row>
    <row r="15" spans="1:13" x14ac:dyDescent="0.2">
      <c r="A15" s="1901"/>
      <c r="B15" s="1928"/>
      <c r="C15" s="1925">
        <v>10.555</v>
      </c>
      <c r="D15" s="1923" t="s">
        <v>2161</v>
      </c>
      <c r="E15" s="1932">
        <v>113262226</v>
      </c>
      <c r="F15" s="1933">
        <v>13841980</v>
      </c>
      <c r="G15" s="1932">
        <v>113262226</v>
      </c>
      <c r="H15" s="1933">
        <v>0</v>
      </c>
      <c r="I15" s="1933">
        <v>13841980</v>
      </c>
      <c r="J15" s="1933">
        <v>0</v>
      </c>
      <c r="K15" s="1933">
        <v>0</v>
      </c>
      <c r="L15" s="1933">
        <v>127104206</v>
      </c>
      <c r="M15" s="1931" t="s">
        <v>2160</v>
      </c>
    </row>
    <row r="16" spans="1:13" x14ac:dyDescent="0.2">
      <c r="A16" s="1901"/>
      <c r="B16" s="1928"/>
      <c r="C16" s="1925"/>
      <c r="D16" s="1923"/>
      <c r="E16" s="1932"/>
      <c r="F16" s="1933"/>
      <c r="G16" s="1932"/>
      <c r="H16" s="1933"/>
      <c r="I16" s="1933"/>
      <c r="J16" s="1933"/>
      <c r="K16" s="1933"/>
      <c r="L16" s="1933"/>
      <c r="M16" s="1931"/>
    </row>
    <row r="17" spans="1:13" x14ac:dyDescent="0.2">
      <c r="A17" s="1901"/>
      <c r="B17" s="1928" t="s">
        <v>2162</v>
      </c>
      <c r="C17" s="1925">
        <v>10.555</v>
      </c>
      <c r="D17" s="1923" t="s">
        <v>2163</v>
      </c>
      <c r="E17" s="1932">
        <v>0</v>
      </c>
      <c r="F17" s="1933">
        <v>12847939</v>
      </c>
      <c r="G17" s="1932">
        <v>0</v>
      </c>
      <c r="H17" s="1933">
        <v>0</v>
      </c>
      <c r="I17" s="1933">
        <v>12847939</v>
      </c>
      <c r="J17" s="1933">
        <v>0</v>
      </c>
      <c r="K17" s="1933">
        <v>0</v>
      </c>
      <c r="L17" s="1933">
        <v>12847939</v>
      </c>
      <c r="M17" s="1931" t="s">
        <v>2160</v>
      </c>
    </row>
    <row r="18" spans="1:13" x14ac:dyDescent="0.2">
      <c r="A18" s="1901"/>
      <c r="B18" s="1928"/>
      <c r="C18" s="1925"/>
      <c r="D18" s="1923"/>
      <c r="E18" s="1932"/>
      <c r="F18" s="1933"/>
      <c r="G18" s="1932"/>
      <c r="H18" s="1933"/>
      <c r="I18" s="1933"/>
      <c r="J18" s="1933"/>
      <c r="K18" s="1933"/>
      <c r="L18" s="1933"/>
      <c r="M18" s="1931"/>
    </row>
    <row r="19" spans="1:13" x14ac:dyDescent="0.2">
      <c r="A19" s="1901"/>
      <c r="B19" s="1928" t="s">
        <v>2164</v>
      </c>
      <c r="C19" s="1926">
        <v>10.558999999999999</v>
      </c>
      <c r="D19" s="1926" t="s">
        <v>2165</v>
      </c>
      <c r="E19" s="1932">
        <v>0</v>
      </c>
      <c r="F19" s="1933">
        <v>3035328</v>
      </c>
      <c r="G19" s="1932">
        <v>0</v>
      </c>
      <c r="H19" s="1933">
        <v>0</v>
      </c>
      <c r="I19" s="1933">
        <v>3035328</v>
      </c>
      <c r="J19" s="1933">
        <v>0</v>
      </c>
      <c r="K19" s="1933">
        <v>160918</v>
      </c>
      <c r="L19" s="1933">
        <v>3035328</v>
      </c>
      <c r="M19" s="1931" t="s">
        <v>2160</v>
      </c>
    </row>
    <row r="20" spans="1:13" x14ac:dyDescent="0.2">
      <c r="A20" s="1901"/>
      <c r="B20" s="1928"/>
      <c r="C20" s="1926"/>
      <c r="D20" s="1926"/>
      <c r="E20" s="1932"/>
      <c r="F20" s="1933"/>
      <c r="G20" s="1932"/>
      <c r="H20" s="1933"/>
      <c r="I20" s="1933"/>
      <c r="J20" s="1933"/>
      <c r="K20" s="1933"/>
      <c r="L20" s="1933"/>
      <c r="M20" s="1931"/>
    </row>
    <row r="21" spans="1:13" x14ac:dyDescent="0.2">
      <c r="A21" s="1901"/>
      <c r="B21" s="1928" t="s">
        <v>2166</v>
      </c>
      <c r="C21" s="1925">
        <v>10.553000000000001</v>
      </c>
      <c r="D21" s="1923" t="s">
        <v>2167</v>
      </c>
      <c r="E21" s="1932">
        <v>0</v>
      </c>
      <c r="F21" s="1933">
        <v>42430831</v>
      </c>
      <c r="G21" s="1932">
        <v>0</v>
      </c>
      <c r="H21" s="1933">
        <v>0</v>
      </c>
      <c r="I21" s="1933">
        <v>42430831</v>
      </c>
      <c r="J21" s="1933">
        <v>0</v>
      </c>
      <c r="K21" s="1933">
        <v>3663076</v>
      </c>
      <c r="L21" s="1933">
        <v>42430831</v>
      </c>
      <c r="M21" s="1931" t="s">
        <v>2160</v>
      </c>
    </row>
    <row r="22" spans="1:13" x14ac:dyDescent="0.2">
      <c r="A22" s="1901"/>
      <c r="B22" s="1928"/>
      <c r="C22" s="1925">
        <v>10.553000000000001</v>
      </c>
      <c r="D22" s="1923" t="s">
        <v>2168</v>
      </c>
      <c r="E22" s="1932">
        <v>41259472</v>
      </c>
      <c r="F22" s="1933">
        <v>5152242</v>
      </c>
      <c r="G22" s="1932">
        <v>41259472</v>
      </c>
      <c r="H22" s="1933">
        <v>0</v>
      </c>
      <c r="I22" s="1933">
        <v>5152242</v>
      </c>
      <c r="J22" s="1933">
        <v>0</v>
      </c>
      <c r="K22" s="1933">
        <v>0</v>
      </c>
      <c r="L22" s="1933">
        <v>46411714</v>
      </c>
      <c r="M22" s="1931" t="s">
        <v>2160</v>
      </c>
    </row>
    <row r="23" spans="1:13" x14ac:dyDescent="0.2">
      <c r="A23" s="1901"/>
      <c r="B23" s="1934"/>
      <c r="C23" s="1925"/>
      <c r="D23" s="1926"/>
      <c r="E23" s="1927"/>
      <c r="F23" s="1927"/>
      <c r="G23" s="1927"/>
      <c r="H23" s="1927"/>
      <c r="I23" s="1927"/>
      <c r="J23" s="1927"/>
      <c r="K23" s="1927"/>
      <c r="L23" s="1927"/>
      <c r="M23" s="1930"/>
    </row>
    <row r="24" spans="1:13" x14ac:dyDescent="0.2">
      <c r="A24" s="1901"/>
      <c r="B24" s="1922" t="s">
        <v>2169</v>
      </c>
      <c r="C24" s="1925"/>
      <c r="D24" s="1926"/>
      <c r="E24" s="1927"/>
      <c r="F24" s="1927"/>
      <c r="G24" s="1927"/>
      <c r="H24" s="1927"/>
      <c r="I24" s="1927"/>
      <c r="J24" s="1927"/>
      <c r="K24" s="1927"/>
      <c r="L24" s="1927"/>
      <c r="M24" s="1930"/>
    </row>
    <row r="25" spans="1:13" x14ac:dyDescent="0.2">
      <c r="A25" s="1901"/>
      <c r="B25" s="1928" t="s">
        <v>2170</v>
      </c>
      <c r="C25" s="1925">
        <v>10.558</v>
      </c>
      <c r="D25" s="1923" t="s">
        <v>2171</v>
      </c>
      <c r="E25" s="1929">
        <v>0</v>
      </c>
      <c r="F25" s="1929">
        <v>7897833</v>
      </c>
      <c r="G25" s="1929">
        <v>0</v>
      </c>
      <c r="H25" s="1929">
        <v>0</v>
      </c>
      <c r="I25" s="1929">
        <v>7897833</v>
      </c>
      <c r="J25" s="1930">
        <v>0</v>
      </c>
      <c r="K25" s="1929">
        <v>1252611</v>
      </c>
      <c r="L25" s="1929">
        <v>7897833</v>
      </c>
      <c r="M25" s="1931" t="s">
        <v>2172</v>
      </c>
    </row>
    <row r="26" spans="1:13" x14ac:dyDescent="0.2">
      <c r="A26" s="1901"/>
      <c r="B26" s="1928"/>
      <c r="C26" s="1925">
        <v>10.558</v>
      </c>
      <c r="D26" s="1926" t="s">
        <v>2173</v>
      </c>
      <c r="E26" s="1932">
        <v>7536040</v>
      </c>
      <c r="F26" s="1933">
        <v>318986</v>
      </c>
      <c r="G26" s="1932">
        <v>7536040</v>
      </c>
      <c r="H26" s="1933">
        <v>0</v>
      </c>
      <c r="I26" s="1933">
        <v>318986</v>
      </c>
      <c r="J26" s="1933">
        <v>0</v>
      </c>
      <c r="K26" s="1933">
        <v>0</v>
      </c>
      <c r="L26" s="1933">
        <v>7855026</v>
      </c>
      <c r="M26" s="1931" t="s">
        <v>2172</v>
      </c>
    </row>
    <row r="27" spans="1:13" x14ac:dyDescent="0.2">
      <c r="A27" s="1901"/>
      <c r="B27" s="1928"/>
      <c r="C27" s="1925"/>
      <c r="D27" s="1926"/>
      <c r="E27" s="1932"/>
      <c r="F27" s="1933"/>
      <c r="G27" s="1932"/>
      <c r="H27" s="1933"/>
      <c r="I27" s="1933"/>
      <c r="J27" s="1933"/>
      <c r="K27" s="1933"/>
      <c r="L27" s="1933"/>
      <c r="M27" s="1931"/>
    </row>
    <row r="28" spans="1:13" x14ac:dyDescent="0.2">
      <c r="A28" s="1901"/>
      <c r="B28" s="1928" t="s">
        <v>2174</v>
      </c>
      <c r="C28" s="1925">
        <v>10.582000000000001</v>
      </c>
      <c r="D28" s="1926" t="s">
        <v>2175</v>
      </c>
      <c r="E28" s="1932">
        <v>1808803</v>
      </c>
      <c r="F28" s="1933">
        <v>139889</v>
      </c>
      <c r="G28" s="1932">
        <v>1808803</v>
      </c>
      <c r="H28" s="1933">
        <v>0</v>
      </c>
      <c r="I28" s="1933">
        <v>139889</v>
      </c>
      <c r="J28" s="1933">
        <v>0</v>
      </c>
      <c r="K28" s="1933">
        <v>0</v>
      </c>
      <c r="L28" s="1933">
        <v>1948692</v>
      </c>
      <c r="M28" s="1931" t="s">
        <v>2172</v>
      </c>
    </row>
    <row r="29" spans="1:13" x14ac:dyDescent="0.2">
      <c r="A29" s="1901"/>
      <c r="B29" s="1928" t="s">
        <v>2174</v>
      </c>
      <c r="C29" s="1925">
        <v>10.582000000000001</v>
      </c>
      <c r="D29" s="1926" t="s">
        <v>2176</v>
      </c>
      <c r="E29" s="1932">
        <v>0</v>
      </c>
      <c r="F29" s="1933">
        <v>1600892</v>
      </c>
      <c r="G29" s="1932">
        <v>0</v>
      </c>
      <c r="H29" s="1933">
        <v>0</v>
      </c>
      <c r="I29" s="1933">
        <v>1600892</v>
      </c>
      <c r="J29" s="1933">
        <v>0</v>
      </c>
      <c r="K29" s="1933">
        <v>373603</v>
      </c>
      <c r="L29" s="1933">
        <v>1600892</v>
      </c>
      <c r="M29" s="1931" t="s">
        <v>2172</v>
      </c>
    </row>
    <row r="30" spans="1:13" x14ac:dyDescent="0.2">
      <c r="A30" s="1901"/>
      <c r="B30" s="1935"/>
      <c r="C30" s="1936"/>
      <c r="D30" s="1937"/>
      <c r="E30" s="1938"/>
      <c r="F30" s="1938"/>
      <c r="G30" s="1938"/>
      <c r="H30" s="1938"/>
      <c r="I30" s="1938"/>
      <c r="J30" s="1938"/>
      <c r="K30" s="1938"/>
      <c r="L30" s="1938"/>
      <c r="M30" s="1938"/>
    </row>
    <row r="31" spans="1:13" x14ac:dyDescent="0.2">
      <c r="A31" s="1901"/>
      <c r="B31" s="1922" t="s">
        <v>2177</v>
      </c>
      <c r="C31" s="1936"/>
      <c r="D31" s="1937"/>
      <c r="E31" s="1938"/>
      <c r="F31" s="1938"/>
      <c r="G31" s="1938"/>
      <c r="H31" s="1938"/>
      <c r="I31" s="1938"/>
      <c r="J31" s="1938"/>
      <c r="K31" s="1938"/>
      <c r="L31" s="1938"/>
      <c r="M31" s="1938"/>
    </row>
    <row r="32" spans="1:13" x14ac:dyDescent="0.2">
      <c r="A32" s="1901"/>
      <c r="B32" s="1939" t="s">
        <v>2178</v>
      </c>
      <c r="C32" s="1936"/>
      <c r="D32" s="1937"/>
      <c r="E32" s="1938"/>
      <c r="F32" s="1938"/>
      <c r="G32" s="1938"/>
      <c r="H32" s="1938"/>
      <c r="I32" s="1938"/>
      <c r="J32" s="1938"/>
      <c r="K32" s="1938"/>
      <c r="L32" s="1938"/>
      <c r="M32" s="1938"/>
    </row>
    <row r="33" spans="1:13" x14ac:dyDescent="0.2">
      <c r="A33" s="1901"/>
      <c r="B33" s="1940" t="s">
        <v>2179</v>
      </c>
      <c r="C33" s="1936">
        <v>10.561</v>
      </c>
      <c r="D33" s="1937" t="s">
        <v>2180</v>
      </c>
      <c r="E33" s="1941">
        <v>0</v>
      </c>
      <c r="F33" s="1941">
        <v>134283</v>
      </c>
      <c r="G33" s="1941">
        <v>0</v>
      </c>
      <c r="H33" s="1941">
        <v>0</v>
      </c>
      <c r="I33" s="1941">
        <v>134283</v>
      </c>
      <c r="J33" s="1930">
        <v>0</v>
      </c>
      <c r="K33" s="1941">
        <v>35399</v>
      </c>
      <c r="L33" s="1941">
        <v>134283</v>
      </c>
      <c r="M33" s="1941">
        <v>345265</v>
      </c>
    </row>
    <row r="34" spans="1:13" x14ac:dyDescent="0.2">
      <c r="A34" s="1901"/>
      <c r="B34" s="1922"/>
      <c r="C34" s="1925"/>
      <c r="D34" s="1923"/>
      <c r="E34" s="1924"/>
      <c r="F34" s="1924"/>
      <c r="G34" s="1924"/>
      <c r="H34" s="1924"/>
      <c r="I34" s="1924"/>
      <c r="J34" s="1924"/>
      <c r="K34" s="1924"/>
      <c r="L34" s="1924"/>
      <c r="M34" s="1924"/>
    </row>
    <row r="35" spans="1:13" x14ac:dyDescent="0.2">
      <c r="A35" s="1901"/>
      <c r="B35" s="1942" t="s">
        <v>2181</v>
      </c>
      <c r="C35" s="1926"/>
      <c r="D35" s="1926"/>
      <c r="E35" s="1927"/>
      <c r="F35" s="1927"/>
      <c r="G35" s="1927"/>
      <c r="H35" s="1927"/>
      <c r="I35" s="1927"/>
      <c r="J35" s="1927"/>
      <c r="K35" s="1927"/>
      <c r="L35" s="1927"/>
      <c r="M35" s="1927"/>
    </row>
    <row r="36" spans="1:13" x14ac:dyDescent="0.2">
      <c r="A36" s="1901"/>
      <c r="B36" s="1922" t="s">
        <v>2169</v>
      </c>
      <c r="C36" s="1926"/>
      <c r="D36" s="1926"/>
      <c r="E36" s="1943"/>
      <c r="F36" s="1927"/>
      <c r="G36" s="1943"/>
      <c r="H36" s="1927"/>
      <c r="I36" s="1927"/>
      <c r="J36" s="1927"/>
      <c r="K36" s="1927"/>
      <c r="L36" s="1943"/>
      <c r="M36" s="1944"/>
    </row>
    <row r="37" spans="1:13" x14ac:dyDescent="0.2">
      <c r="A37" s="1901"/>
      <c r="B37" s="1922" t="s">
        <v>2182</v>
      </c>
      <c r="C37" s="1926"/>
      <c r="D37" s="1926"/>
      <c r="E37" s="1943"/>
      <c r="F37" s="1927"/>
      <c r="G37" s="1943"/>
      <c r="H37" s="1927"/>
      <c r="I37" s="1927"/>
      <c r="J37" s="1927"/>
      <c r="K37" s="1927"/>
      <c r="L37" s="1943"/>
      <c r="M37" s="1944"/>
    </row>
    <row r="38" spans="1:13" x14ac:dyDescent="0.2">
      <c r="A38" s="1901"/>
      <c r="B38" s="1928" t="s">
        <v>2183</v>
      </c>
      <c r="C38" s="1925" t="s">
        <v>2184</v>
      </c>
      <c r="D38" s="1923" t="s">
        <v>2185</v>
      </c>
      <c r="E38" s="1932">
        <v>87636803</v>
      </c>
      <c r="F38" s="1933">
        <v>140090</v>
      </c>
      <c r="G38" s="1932">
        <v>87636803</v>
      </c>
      <c r="H38" s="1933">
        <v>0</v>
      </c>
      <c r="I38" s="1933">
        <v>140090</v>
      </c>
      <c r="J38" s="1933">
        <v>0</v>
      </c>
      <c r="K38" s="1933">
        <v>6240</v>
      </c>
      <c r="L38" s="1933">
        <v>87776893</v>
      </c>
      <c r="M38" s="1931">
        <v>93777234</v>
      </c>
    </row>
    <row r="39" spans="1:13" x14ac:dyDescent="0.2">
      <c r="A39" s="1901"/>
      <c r="B39" s="1928" t="s">
        <v>2183</v>
      </c>
      <c r="C39" s="1925" t="s">
        <v>2184</v>
      </c>
      <c r="D39" s="1923" t="s">
        <v>2186</v>
      </c>
      <c r="E39" s="1932">
        <v>0</v>
      </c>
      <c r="F39" s="1933">
        <v>90272243</v>
      </c>
      <c r="G39" s="1932">
        <v>0</v>
      </c>
      <c r="H39" s="1933">
        <v>0</v>
      </c>
      <c r="I39" s="1933">
        <v>90272243</v>
      </c>
      <c r="J39" s="1933"/>
      <c r="K39" s="1933">
        <v>7748016</v>
      </c>
      <c r="L39" s="1933">
        <v>90272243</v>
      </c>
      <c r="M39" s="1931">
        <v>97873981</v>
      </c>
    </row>
    <row r="40" spans="1:13" x14ac:dyDescent="0.2">
      <c r="A40" s="1901"/>
      <c r="B40" s="1934"/>
      <c r="C40" s="1926"/>
      <c r="D40" s="1926"/>
      <c r="E40" s="1932"/>
      <c r="F40" s="1945"/>
      <c r="G40" s="1932"/>
      <c r="H40" s="1945"/>
      <c r="I40" s="1945"/>
      <c r="J40" s="1945"/>
      <c r="K40" s="1945"/>
      <c r="L40" s="1933"/>
      <c r="M40" s="1945"/>
    </row>
    <row r="41" spans="1:13" x14ac:dyDescent="0.2">
      <c r="A41" s="1901"/>
      <c r="B41" s="1928" t="s">
        <v>2183</v>
      </c>
      <c r="C41" s="1925" t="s">
        <v>2184</v>
      </c>
      <c r="D41" s="1923" t="s">
        <v>2187</v>
      </c>
      <c r="E41" s="1932">
        <v>0</v>
      </c>
      <c r="F41" s="1933">
        <v>650897</v>
      </c>
      <c r="G41" s="1932">
        <v>0</v>
      </c>
      <c r="H41" s="1933">
        <v>0</v>
      </c>
      <c r="I41" s="1933">
        <v>650897</v>
      </c>
      <c r="J41" s="1933">
        <v>0</v>
      </c>
      <c r="K41" s="1933">
        <v>0</v>
      </c>
      <c r="L41" s="1933">
        <v>650897</v>
      </c>
      <c r="M41" s="1931" t="s">
        <v>2139</v>
      </c>
    </row>
    <row r="42" spans="1:13" x14ac:dyDescent="0.2">
      <c r="A42" s="1901"/>
      <c r="B42" s="1928" t="s">
        <v>2183</v>
      </c>
      <c r="C42" s="1925" t="s">
        <v>2184</v>
      </c>
      <c r="D42" s="1923" t="s">
        <v>2188</v>
      </c>
      <c r="E42" s="1932">
        <v>473162</v>
      </c>
      <c r="F42" s="1933">
        <v>1682989</v>
      </c>
      <c r="G42" s="1932">
        <v>473162</v>
      </c>
      <c r="H42" s="1933">
        <v>0</v>
      </c>
      <c r="I42" s="1933">
        <v>1682989</v>
      </c>
      <c r="J42" s="1933">
        <v>0</v>
      </c>
      <c r="K42" s="1933">
        <v>0</v>
      </c>
      <c r="L42" s="1933">
        <v>2156151</v>
      </c>
      <c r="M42" s="1931" t="s">
        <v>2139</v>
      </c>
    </row>
    <row r="43" spans="1:13" x14ac:dyDescent="0.2">
      <c r="B43" s="1934"/>
      <c r="C43" s="1925"/>
      <c r="D43" s="1923"/>
      <c r="E43" s="1932"/>
      <c r="F43" s="1933"/>
      <c r="G43" s="1932"/>
      <c r="H43" s="1933"/>
      <c r="I43" s="1933"/>
      <c r="J43" s="1933"/>
      <c r="K43" s="1933"/>
      <c r="L43" s="1933"/>
      <c r="M43" s="1933"/>
    </row>
    <row r="44" spans="1:13" x14ac:dyDescent="0.2">
      <c r="A44" s="1901"/>
      <c r="B44" s="1934" t="s">
        <v>2189</v>
      </c>
      <c r="C44" s="1925" t="s">
        <v>2190</v>
      </c>
      <c r="D44" s="1923" t="s">
        <v>2191</v>
      </c>
      <c r="E44" s="1932">
        <v>1163625</v>
      </c>
      <c r="F44" s="1933">
        <v>-2497</v>
      </c>
      <c r="G44" s="1932">
        <v>1163625</v>
      </c>
      <c r="H44" s="1933">
        <v>0</v>
      </c>
      <c r="I44" s="1933">
        <v>-2497</v>
      </c>
      <c r="J44" s="1933">
        <v>0</v>
      </c>
      <c r="K44" s="1933">
        <v>0</v>
      </c>
      <c r="L44" s="1933">
        <v>1161128</v>
      </c>
      <c r="M44" s="1933">
        <v>1277691</v>
      </c>
    </row>
    <row r="45" spans="1:13" x14ac:dyDescent="0.2">
      <c r="A45" s="1901"/>
      <c r="B45" s="1934" t="s">
        <v>2189</v>
      </c>
      <c r="C45" s="1925" t="s">
        <v>2190</v>
      </c>
      <c r="D45" s="1923" t="s">
        <v>2192</v>
      </c>
      <c r="E45" s="1932">
        <v>0</v>
      </c>
      <c r="F45" s="1933">
        <v>1317723</v>
      </c>
      <c r="G45" s="1932">
        <v>0</v>
      </c>
      <c r="H45" s="1933">
        <v>0</v>
      </c>
      <c r="I45" s="1933">
        <v>1317723</v>
      </c>
      <c r="J45" s="1933">
        <v>0</v>
      </c>
      <c r="K45" s="1933">
        <v>635250</v>
      </c>
      <c r="L45" s="1933">
        <v>1317723</v>
      </c>
      <c r="M45" s="1933">
        <v>1585518</v>
      </c>
    </row>
    <row r="46" spans="1:13" x14ac:dyDescent="0.2">
      <c r="A46" s="1901"/>
      <c r="B46" s="1934"/>
      <c r="C46" s="1925"/>
      <c r="D46" s="1923"/>
      <c r="E46" s="1932"/>
      <c r="F46" s="1933"/>
      <c r="G46" s="1932"/>
      <c r="H46" s="1933"/>
      <c r="I46" s="1933"/>
      <c r="J46" s="1933"/>
      <c r="K46" s="1933"/>
      <c r="L46" s="1933"/>
      <c r="M46" s="1933"/>
    </row>
    <row r="47" spans="1:13" x14ac:dyDescent="0.2">
      <c r="A47" s="1901"/>
      <c r="B47" s="1934" t="s">
        <v>2189</v>
      </c>
      <c r="C47" s="1925" t="s">
        <v>2190</v>
      </c>
      <c r="D47" s="1923" t="s">
        <v>2193</v>
      </c>
      <c r="E47" s="1932">
        <v>348246</v>
      </c>
      <c r="F47" s="1933">
        <v>51</v>
      </c>
      <c r="G47" s="1932">
        <v>348246</v>
      </c>
      <c r="H47" s="1933">
        <v>0</v>
      </c>
      <c r="I47" s="1933">
        <v>51</v>
      </c>
      <c r="J47" s="1933">
        <v>0</v>
      </c>
      <c r="K47" s="1933">
        <v>0</v>
      </c>
      <c r="L47" s="1933">
        <v>348297</v>
      </c>
      <c r="M47" s="1933">
        <v>489250</v>
      </c>
    </row>
    <row r="48" spans="1:13" x14ac:dyDescent="0.2">
      <c r="A48" s="1901"/>
      <c r="B48" s="1934" t="s">
        <v>2189</v>
      </c>
      <c r="C48" s="1925" t="s">
        <v>2190</v>
      </c>
      <c r="D48" s="1923" t="s">
        <v>2194</v>
      </c>
      <c r="E48" s="1932">
        <v>0</v>
      </c>
      <c r="F48" s="1933">
        <v>396280</v>
      </c>
      <c r="G48" s="1932">
        <v>0</v>
      </c>
      <c r="H48" s="1933">
        <v>0</v>
      </c>
      <c r="I48" s="1933">
        <v>396280</v>
      </c>
      <c r="J48" s="1933">
        <v>0</v>
      </c>
      <c r="K48" s="1933">
        <v>162413</v>
      </c>
      <c r="L48" s="1933">
        <v>396280</v>
      </c>
      <c r="M48" s="1933">
        <v>489250</v>
      </c>
    </row>
    <row r="49" spans="1:13" x14ac:dyDescent="0.2">
      <c r="A49" s="1901"/>
      <c r="B49" s="1928"/>
      <c r="C49" s="1925"/>
      <c r="D49" s="1923"/>
      <c r="E49" s="1927"/>
      <c r="F49" s="1927"/>
      <c r="G49" s="1927"/>
      <c r="H49" s="1927"/>
      <c r="I49" s="1927"/>
      <c r="J49" s="1927"/>
      <c r="K49" s="1927"/>
      <c r="L49" s="1927"/>
      <c r="M49" s="1927"/>
    </row>
    <row r="50" spans="1:13" x14ac:dyDescent="0.2">
      <c r="A50" s="1901"/>
      <c r="B50" s="1922" t="s">
        <v>2169</v>
      </c>
      <c r="C50" s="1926"/>
      <c r="D50" s="1926"/>
      <c r="E50" s="1927"/>
      <c r="F50" s="1927"/>
      <c r="G50" s="1927"/>
      <c r="H50" s="1927"/>
      <c r="I50" s="1927"/>
      <c r="J50" s="1927"/>
      <c r="K50" s="1927"/>
      <c r="L50" s="1927"/>
      <c r="M50" s="1927"/>
    </row>
    <row r="51" spans="1:13" x14ac:dyDescent="0.2">
      <c r="A51" s="1901"/>
      <c r="B51" s="1934" t="s">
        <v>2195</v>
      </c>
      <c r="C51" s="1925" t="s">
        <v>2196</v>
      </c>
      <c r="D51" s="1923" t="s">
        <v>2197</v>
      </c>
      <c r="E51" s="1929">
        <v>250552463</v>
      </c>
      <c r="F51" s="1929">
        <v>14154569</v>
      </c>
      <c r="G51" s="1929">
        <v>250552463</v>
      </c>
      <c r="H51" s="1929">
        <v>38500387</v>
      </c>
      <c r="I51" s="1929">
        <v>14154569</v>
      </c>
      <c r="J51" s="1930">
        <v>1093327</v>
      </c>
      <c r="K51" s="1930">
        <v>0</v>
      </c>
      <c r="L51" s="1929">
        <v>264707032</v>
      </c>
      <c r="M51" s="1931">
        <v>282519959</v>
      </c>
    </row>
    <row r="52" spans="1:13" x14ac:dyDescent="0.2">
      <c r="A52" s="1901"/>
      <c r="B52" s="1934" t="s">
        <v>2195</v>
      </c>
      <c r="C52" s="1925" t="s">
        <v>2196</v>
      </c>
      <c r="D52" s="1923" t="s">
        <v>2198</v>
      </c>
      <c r="E52" s="1932">
        <v>0</v>
      </c>
      <c r="F52" s="1933">
        <v>237863946</v>
      </c>
      <c r="G52" s="1932">
        <v>0</v>
      </c>
      <c r="H52" s="1933">
        <v>0</v>
      </c>
      <c r="I52" s="1933">
        <v>237863946</v>
      </c>
      <c r="J52" s="1933">
        <v>37098869</v>
      </c>
      <c r="K52" s="1933">
        <v>41285202</v>
      </c>
      <c r="L52" s="1933">
        <v>237863946</v>
      </c>
      <c r="M52" s="1931">
        <v>272818183</v>
      </c>
    </row>
    <row r="53" spans="1:13" x14ac:dyDescent="0.2">
      <c r="A53" s="1901"/>
      <c r="B53" s="1928"/>
      <c r="C53" s="1923"/>
      <c r="D53" s="1923"/>
      <c r="E53" s="1932"/>
      <c r="F53" s="1933"/>
      <c r="G53" s="1932"/>
      <c r="H53" s="1933"/>
      <c r="I53" s="1933"/>
      <c r="J53" s="1933"/>
      <c r="K53" s="1933"/>
      <c r="L53" s="1933"/>
      <c r="M53" s="1933"/>
    </row>
    <row r="54" spans="1:13" x14ac:dyDescent="0.2">
      <c r="A54" s="1901"/>
      <c r="B54" s="1934" t="s">
        <v>2195</v>
      </c>
      <c r="C54" s="1925" t="s">
        <v>2196</v>
      </c>
      <c r="D54" s="1923" t="s">
        <v>2199</v>
      </c>
      <c r="E54" s="1932">
        <v>3648278</v>
      </c>
      <c r="F54" s="1933">
        <v>267522</v>
      </c>
      <c r="G54" s="1932">
        <v>3648278</v>
      </c>
      <c r="H54" s="1933">
        <v>0</v>
      </c>
      <c r="I54" s="1933">
        <v>267522</v>
      </c>
      <c r="J54" s="1933">
        <v>0</v>
      </c>
      <c r="K54" s="1933">
        <v>0</v>
      </c>
      <c r="L54" s="1933">
        <v>3915800</v>
      </c>
      <c r="M54" s="1933">
        <v>3915800</v>
      </c>
    </row>
    <row r="55" spans="1:13" x14ac:dyDescent="0.2">
      <c r="A55" s="1901"/>
      <c r="B55" s="1934"/>
      <c r="C55" s="1925"/>
      <c r="D55" s="1923"/>
      <c r="E55" s="1932"/>
      <c r="F55" s="1933"/>
      <c r="G55" s="1932"/>
      <c r="H55" s="1933"/>
      <c r="I55" s="1933"/>
      <c r="J55" s="1933"/>
      <c r="K55" s="1933"/>
      <c r="L55" s="1933"/>
      <c r="M55" s="1933"/>
    </row>
    <row r="56" spans="1:13" x14ac:dyDescent="0.2">
      <c r="A56" s="1901"/>
      <c r="B56" s="1934" t="s">
        <v>2195</v>
      </c>
      <c r="C56" s="1925" t="s">
        <v>2196</v>
      </c>
      <c r="D56" s="1923">
        <f>VLOOKUP(A56,[1]granttable!$B:$O,14,FALSE)</f>
        <v>0</v>
      </c>
      <c r="E56" s="1932">
        <v>0</v>
      </c>
      <c r="F56" s="1933">
        <v>648598</v>
      </c>
      <c r="G56" s="1932">
        <v>0</v>
      </c>
      <c r="H56" s="1933">
        <v>0</v>
      </c>
      <c r="I56" s="1933">
        <v>648598</v>
      </c>
      <c r="J56" s="1933">
        <v>0</v>
      </c>
      <c r="K56" s="1933">
        <v>624239</v>
      </c>
      <c r="L56" s="1933">
        <v>648598</v>
      </c>
      <c r="M56" s="1946">
        <v>1774770</v>
      </c>
    </row>
    <row r="57" spans="1:13" x14ac:dyDescent="0.2">
      <c r="A57" s="1901"/>
      <c r="B57" s="1934" t="s">
        <v>2195</v>
      </c>
      <c r="C57" s="1925" t="s">
        <v>2196</v>
      </c>
      <c r="D57" s="1923">
        <f>VLOOKUP(A57,[1]granttable!$B:$O,14,FALSE)</f>
        <v>0</v>
      </c>
      <c r="E57" s="1932">
        <v>0</v>
      </c>
      <c r="F57" s="1933">
        <v>1510262</v>
      </c>
      <c r="G57" s="1932">
        <v>0</v>
      </c>
      <c r="H57" s="1933">
        <v>0</v>
      </c>
      <c r="I57" s="1933">
        <v>1510262</v>
      </c>
      <c r="J57" s="1933">
        <v>1510262</v>
      </c>
      <c r="K57" s="1933">
        <v>1510262</v>
      </c>
      <c r="L57" s="1933">
        <v>1510262</v>
      </c>
      <c r="M57" s="1946">
        <v>4053053</v>
      </c>
    </row>
    <row r="58" spans="1:13" x14ac:dyDescent="0.2">
      <c r="A58" s="1901"/>
      <c r="B58" s="1934" t="s">
        <v>2195</v>
      </c>
      <c r="C58" s="1925" t="s">
        <v>2196</v>
      </c>
      <c r="D58" s="1923">
        <f>VLOOKUP(A58,[1]granttable!$B:$O,14,FALSE)</f>
        <v>0</v>
      </c>
      <c r="E58" s="1932">
        <v>0</v>
      </c>
      <c r="F58" s="1933">
        <v>918186</v>
      </c>
      <c r="G58" s="1932">
        <v>0</v>
      </c>
      <c r="H58" s="1933">
        <v>0</v>
      </c>
      <c r="I58" s="1933">
        <v>918186</v>
      </c>
      <c r="J58" s="1933">
        <v>0</v>
      </c>
      <c r="K58" s="1933">
        <v>752025</v>
      </c>
      <c r="L58" s="1933">
        <v>918186</v>
      </c>
      <c r="M58" s="1946">
        <v>1721377</v>
      </c>
    </row>
    <row r="59" spans="1:13" x14ac:dyDescent="0.2">
      <c r="A59" s="1901"/>
      <c r="B59" s="1934" t="s">
        <v>2195</v>
      </c>
      <c r="C59" s="1925" t="s">
        <v>2196</v>
      </c>
      <c r="D59" s="1923">
        <f>VLOOKUP(A59,[1]granttable!$B:$O,14,FALSE)</f>
        <v>0</v>
      </c>
      <c r="E59" s="1932">
        <v>0</v>
      </c>
      <c r="F59" s="1933">
        <v>1545267</v>
      </c>
      <c r="G59" s="1932">
        <v>0</v>
      </c>
      <c r="H59" s="1933">
        <v>0</v>
      </c>
      <c r="I59" s="1933">
        <v>1545267</v>
      </c>
      <c r="J59" s="1933">
        <v>0</v>
      </c>
      <c r="K59" s="1933">
        <v>1451652</v>
      </c>
      <c r="L59" s="1933">
        <v>1545267</v>
      </c>
      <c r="M59" s="1946">
        <v>3863430</v>
      </c>
    </row>
    <row r="60" spans="1:13" x14ac:dyDescent="0.2">
      <c r="A60" s="1901"/>
      <c r="B60" s="1934" t="s">
        <v>2195</v>
      </c>
      <c r="C60" s="1925" t="s">
        <v>2196</v>
      </c>
      <c r="D60" s="1923">
        <f>VLOOKUP(A60,[1]granttable!$B:$O,14,FALSE)</f>
        <v>0</v>
      </c>
      <c r="E60" s="1932">
        <v>0</v>
      </c>
      <c r="F60" s="1933">
        <v>949069</v>
      </c>
      <c r="G60" s="1932">
        <v>0</v>
      </c>
      <c r="H60" s="1933">
        <v>0</v>
      </c>
      <c r="I60" s="1933">
        <v>949069</v>
      </c>
      <c r="J60" s="1933">
        <v>0</v>
      </c>
      <c r="K60" s="1933">
        <v>886173</v>
      </c>
      <c r="L60" s="1933">
        <v>949069</v>
      </c>
      <c r="M60" s="1946">
        <v>2158818</v>
      </c>
    </row>
    <row r="61" spans="1:13" x14ac:dyDescent="0.2">
      <c r="A61" s="1901"/>
      <c r="B61" s="1934" t="s">
        <v>2195</v>
      </c>
      <c r="C61" s="1925" t="s">
        <v>2196</v>
      </c>
      <c r="D61" s="1923">
        <f>VLOOKUP(A61,[1]granttable!$B:$O,14,FALSE)</f>
        <v>0</v>
      </c>
      <c r="E61" s="1932">
        <v>0</v>
      </c>
      <c r="F61" s="1933">
        <v>1602070</v>
      </c>
      <c r="G61" s="1932">
        <v>0</v>
      </c>
      <c r="H61" s="1933">
        <v>0</v>
      </c>
      <c r="I61" s="1933">
        <v>1602070</v>
      </c>
      <c r="J61" s="1933">
        <v>0</v>
      </c>
      <c r="K61" s="1933">
        <v>1364414</v>
      </c>
      <c r="L61" s="1933">
        <v>1602070</v>
      </c>
      <c r="M61" s="1946">
        <v>3290615</v>
      </c>
    </row>
    <row r="62" spans="1:13" x14ac:dyDescent="0.2">
      <c r="A62" s="1901"/>
      <c r="B62" s="1934" t="s">
        <v>2195</v>
      </c>
      <c r="C62" s="1925" t="s">
        <v>2196</v>
      </c>
      <c r="D62" s="1923">
        <f>VLOOKUP(A62,[1]granttable!$B:$O,14,FALSE)</f>
        <v>0</v>
      </c>
      <c r="E62" s="1932">
        <v>0</v>
      </c>
      <c r="F62" s="1933">
        <v>1225632</v>
      </c>
      <c r="G62" s="1932">
        <v>0</v>
      </c>
      <c r="H62" s="1933">
        <v>0</v>
      </c>
      <c r="I62" s="1933">
        <v>1225632</v>
      </c>
      <c r="J62" s="1933">
        <v>0</v>
      </c>
      <c r="K62" s="1933">
        <v>1113199</v>
      </c>
      <c r="L62" s="1933">
        <v>1225632</v>
      </c>
      <c r="M62" s="1946">
        <v>2742241</v>
      </c>
    </row>
    <row r="63" spans="1:13" x14ac:dyDescent="0.2">
      <c r="A63" s="1901"/>
      <c r="B63" s="1934" t="s">
        <v>2195</v>
      </c>
      <c r="C63" s="1925" t="s">
        <v>2196</v>
      </c>
      <c r="D63" s="1923">
        <f>VLOOKUP(A63,[1]granttable!$B:$O,14,FALSE)</f>
        <v>0</v>
      </c>
      <c r="E63" s="1932">
        <v>0</v>
      </c>
      <c r="F63" s="1933">
        <v>1448708</v>
      </c>
      <c r="G63" s="1932">
        <v>0</v>
      </c>
      <c r="H63" s="1933">
        <v>0</v>
      </c>
      <c r="I63" s="1933">
        <v>1448708</v>
      </c>
      <c r="J63" s="1933">
        <v>0</v>
      </c>
      <c r="K63" s="1933">
        <v>1131210</v>
      </c>
      <c r="L63" s="1933">
        <v>1448708</v>
      </c>
      <c r="M63" s="1946">
        <v>2906390</v>
      </c>
    </row>
    <row r="64" spans="1:13" x14ac:dyDescent="0.2">
      <c r="A64" s="1901"/>
      <c r="B64" s="1934" t="s">
        <v>2195</v>
      </c>
      <c r="C64" s="1925" t="s">
        <v>2196</v>
      </c>
      <c r="D64" s="1923">
        <f>VLOOKUP(A64,[1]granttable!$B:$O,14,FALSE)</f>
        <v>0</v>
      </c>
      <c r="E64" s="1932">
        <v>0</v>
      </c>
      <c r="F64" s="1933">
        <v>1035167</v>
      </c>
      <c r="G64" s="1932">
        <v>0</v>
      </c>
      <c r="H64" s="1933">
        <v>0</v>
      </c>
      <c r="I64" s="1933">
        <v>1035167</v>
      </c>
      <c r="J64" s="1933">
        <v>0</v>
      </c>
      <c r="K64" s="1933">
        <v>711751</v>
      </c>
      <c r="L64" s="1933">
        <v>1035167</v>
      </c>
      <c r="M64" s="1946">
        <v>2250000</v>
      </c>
    </row>
    <row r="65" spans="1:13" x14ac:dyDescent="0.2">
      <c r="A65" s="1901"/>
      <c r="B65" s="1934" t="s">
        <v>2195</v>
      </c>
      <c r="C65" s="1925" t="s">
        <v>2196</v>
      </c>
      <c r="D65" s="1923">
        <f>VLOOKUP(A65,[1]granttable!$B:$O,14,FALSE)</f>
        <v>0</v>
      </c>
      <c r="E65" s="1932">
        <v>0</v>
      </c>
      <c r="F65" s="1933">
        <v>931936</v>
      </c>
      <c r="G65" s="1932">
        <v>0</v>
      </c>
      <c r="H65" s="1933">
        <v>0</v>
      </c>
      <c r="I65" s="1933">
        <v>931936</v>
      </c>
      <c r="J65" s="1933">
        <v>280374</v>
      </c>
      <c r="K65" s="1933">
        <v>820011</v>
      </c>
      <c r="L65" s="1933">
        <v>931936</v>
      </c>
      <c r="M65" s="1946">
        <v>2874502</v>
      </c>
    </row>
    <row r="66" spans="1:13" x14ac:dyDescent="0.2">
      <c r="A66" s="1947"/>
      <c r="B66" s="1934"/>
      <c r="C66" s="1925"/>
      <c r="D66" s="1926"/>
      <c r="E66" s="1932"/>
      <c r="F66" s="1933"/>
      <c r="G66" s="1932"/>
      <c r="H66" s="1933"/>
      <c r="I66" s="1933"/>
      <c r="J66" s="1933"/>
      <c r="K66" s="1933"/>
      <c r="L66" s="1933"/>
      <c r="M66" s="1933"/>
    </row>
    <row r="67" spans="1:13" x14ac:dyDescent="0.2">
      <c r="A67" s="1901"/>
      <c r="B67" s="1934" t="s">
        <v>2195</v>
      </c>
      <c r="C67" s="1925" t="s">
        <v>2196</v>
      </c>
      <c r="D67" s="1926" t="s">
        <v>2200</v>
      </c>
      <c r="E67" s="1932">
        <v>465950</v>
      </c>
      <c r="F67" s="1933">
        <v>117065</v>
      </c>
      <c r="G67" s="1932">
        <v>465950</v>
      </c>
      <c r="H67" s="1933">
        <v>0</v>
      </c>
      <c r="I67" s="1933">
        <v>117065</v>
      </c>
      <c r="J67" s="1933">
        <v>0</v>
      </c>
      <c r="K67" s="1933">
        <v>0</v>
      </c>
      <c r="L67" s="1933">
        <v>583015</v>
      </c>
      <c r="M67" s="1933">
        <v>624385</v>
      </c>
    </row>
    <row r="68" spans="1:13" x14ac:dyDescent="0.2">
      <c r="A68" s="1901"/>
      <c r="B68" s="1934" t="s">
        <v>2195</v>
      </c>
      <c r="C68" s="1925" t="s">
        <v>2196</v>
      </c>
      <c r="D68" s="1926" t="s">
        <v>2201</v>
      </c>
      <c r="E68" s="1932">
        <v>0</v>
      </c>
      <c r="F68" s="1933">
        <v>458435</v>
      </c>
      <c r="G68" s="1932">
        <v>0</v>
      </c>
      <c r="H68" s="1933">
        <v>0</v>
      </c>
      <c r="I68" s="1933">
        <v>458435</v>
      </c>
      <c r="J68" s="1933">
        <v>0</v>
      </c>
      <c r="K68" s="1933">
        <v>342336</v>
      </c>
      <c r="L68" s="1933">
        <v>458435</v>
      </c>
      <c r="M68" s="1933">
        <v>657430</v>
      </c>
    </row>
    <row r="69" spans="1:13" x14ac:dyDescent="0.2">
      <c r="A69" s="1901"/>
      <c r="B69" s="1934"/>
      <c r="C69" s="1925"/>
      <c r="D69" s="1926"/>
      <c r="E69" s="1932"/>
      <c r="F69" s="1933"/>
      <c r="G69" s="1932"/>
      <c r="H69" s="1933"/>
      <c r="I69" s="1933"/>
      <c r="J69" s="1933"/>
      <c r="K69" s="1933"/>
      <c r="L69" s="1933"/>
      <c r="M69" s="1933"/>
    </row>
    <row r="70" spans="1:13" x14ac:dyDescent="0.2">
      <c r="A70" s="1901"/>
      <c r="B70" s="1934" t="s">
        <v>2195</v>
      </c>
      <c r="C70" s="1925" t="s">
        <v>2196</v>
      </c>
      <c r="D70" s="1923" t="s">
        <v>2202</v>
      </c>
      <c r="E70" s="1932">
        <v>652558</v>
      </c>
      <c r="F70" s="1933">
        <v>234663</v>
      </c>
      <c r="G70" s="1932">
        <v>652558</v>
      </c>
      <c r="H70" s="1933">
        <v>0</v>
      </c>
      <c r="I70" s="1933">
        <v>234663</v>
      </c>
      <c r="J70" s="1933">
        <v>0</v>
      </c>
      <c r="K70" s="1933">
        <v>0</v>
      </c>
      <c r="L70" s="1933">
        <v>887221</v>
      </c>
      <c r="M70" s="1933">
        <v>1332876</v>
      </c>
    </row>
    <row r="71" spans="1:13" x14ac:dyDescent="0.2">
      <c r="A71" s="1901"/>
      <c r="B71" s="1934" t="s">
        <v>2195</v>
      </c>
      <c r="C71" s="1925" t="s">
        <v>2196</v>
      </c>
      <c r="D71" s="1923" t="s">
        <v>2203</v>
      </c>
      <c r="E71" s="1932">
        <v>0</v>
      </c>
      <c r="F71" s="1933">
        <v>779709</v>
      </c>
      <c r="G71" s="1932">
        <v>0</v>
      </c>
      <c r="H71" s="1933">
        <v>0</v>
      </c>
      <c r="I71" s="1933">
        <v>779709</v>
      </c>
      <c r="J71" s="1933">
        <v>0</v>
      </c>
      <c r="K71" s="1933">
        <v>321848</v>
      </c>
      <c r="L71" s="1933">
        <v>779709</v>
      </c>
      <c r="M71" s="1933">
        <v>1433470</v>
      </c>
    </row>
    <row r="72" spans="1:13" x14ac:dyDescent="0.2">
      <c r="A72" s="1901"/>
      <c r="B72" s="1934"/>
      <c r="C72" s="1925"/>
      <c r="D72" s="1923"/>
      <c r="E72" s="1932"/>
      <c r="F72" s="1933"/>
      <c r="G72" s="1932"/>
      <c r="H72" s="1933"/>
      <c r="I72" s="1933"/>
      <c r="J72" s="1933"/>
      <c r="K72" s="1933"/>
      <c r="L72" s="1933"/>
      <c r="M72" s="1933"/>
    </row>
    <row r="73" spans="1:13" x14ac:dyDescent="0.2">
      <c r="A73" s="1901"/>
      <c r="B73" s="1934" t="s">
        <v>2195</v>
      </c>
      <c r="C73" s="1925" t="s">
        <v>2196</v>
      </c>
      <c r="D73" s="1923" t="s">
        <v>2204</v>
      </c>
      <c r="E73" s="1932">
        <v>29664</v>
      </c>
      <c r="F73" s="1933">
        <v>31636</v>
      </c>
      <c r="G73" s="1932">
        <v>29664</v>
      </c>
      <c r="H73" s="1933">
        <v>0</v>
      </c>
      <c r="I73" s="1933">
        <v>31636</v>
      </c>
      <c r="J73" s="1933">
        <v>0</v>
      </c>
      <c r="K73" s="1933">
        <v>0</v>
      </c>
      <c r="L73" s="1933">
        <v>61300</v>
      </c>
      <c r="M73" s="1933">
        <v>75000</v>
      </c>
    </row>
    <row r="74" spans="1:13" x14ac:dyDescent="0.2">
      <c r="A74" s="1901"/>
      <c r="B74" s="1934"/>
      <c r="C74" s="1925"/>
      <c r="D74" s="1923"/>
      <c r="E74" s="1932"/>
      <c r="F74" s="1933"/>
      <c r="G74" s="1932"/>
      <c r="H74" s="1933"/>
      <c r="I74" s="1933"/>
      <c r="J74" s="1933"/>
      <c r="K74" s="1933"/>
      <c r="L74" s="1933"/>
      <c r="M74" s="1933"/>
    </row>
    <row r="75" spans="1:13" x14ac:dyDescent="0.2">
      <c r="A75" s="1901"/>
      <c r="B75" s="1934" t="s">
        <v>2205</v>
      </c>
      <c r="C75" s="1923" t="s">
        <v>2206</v>
      </c>
      <c r="D75" s="1923" t="s">
        <v>2207</v>
      </c>
      <c r="E75" s="1932">
        <v>24524518</v>
      </c>
      <c r="F75" s="1933">
        <v>1710980</v>
      </c>
      <c r="G75" s="1932">
        <v>24524518</v>
      </c>
      <c r="H75" s="1933">
        <v>2599263</v>
      </c>
      <c r="I75" s="1933">
        <v>1710980</v>
      </c>
      <c r="J75" s="1933">
        <v>41259</v>
      </c>
      <c r="K75" s="1933">
        <v>0</v>
      </c>
      <c r="L75" s="1933">
        <v>26235498</v>
      </c>
      <c r="M75" s="1933">
        <v>28453545</v>
      </c>
    </row>
    <row r="76" spans="1:13" x14ac:dyDescent="0.2">
      <c r="A76" s="1901"/>
      <c r="B76" s="1934" t="s">
        <v>2205</v>
      </c>
      <c r="C76" s="1923" t="s">
        <v>2206</v>
      </c>
      <c r="D76" s="1923" t="s">
        <v>2208</v>
      </c>
      <c r="E76" s="1932">
        <v>0</v>
      </c>
      <c r="F76" s="1933">
        <v>18765422</v>
      </c>
      <c r="G76" s="1932">
        <v>0</v>
      </c>
      <c r="H76" s="1933">
        <v>0</v>
      </c>
      <c r="I76" s="1933">
        <v>18765422</v>
      </c>
      <c r="J76" s="1933">
        <v>1434436</v>
      </c>
      <c r="K76" s="1933">
        <v>3553378</v>
      </c>
      <c r="L76" s="1933">
        <v>18765422</v>
      </c>
      <c r="M76" s="1933">
        <v>23766289</v>
      </c>
    </row>
    <row r="77" spans="1:13" x14ac:dyDescent="0.2">
      <c r="A77" s="1901"/>
      <c r="B77" s="1934"/>
      <c r="C77" s="1923"/>
      <c r="D77" s="1923"/>
      <c r="E77" s="1932"/>
      <c r="F77" s="1933"/>
      <c r="G77" s="1932"/>
      <c r="H77" s="1933"/>
      <c r="I77" s="1933"/>
      <c r="J77" s="1933"/>
      <c r="K77" s="1933"/>
      <c r="L77" s="1933"/>
      <c r="M77" s="1933"/>
    </row>
    <row r="78" spans="1:13" x14ac:dyDescent="0.2">
      <c r="A78" s="1948"/>
      <c r="B78" s="1934" t="s">
        <v>2205</v>
      </c>
      <c r="C78" s="1925" t="s">
        <v>2206</v>
      </c>
      <c r="D78" s="1923" t="s">
        <v>2209</v>
      </c>
      <c r="E78" s="1932">
        <v>12226</v>
      </c>
      <c r="F78" s="1933">
        <v>21062</v>
      </c>
      <c r="G78" s="1932">
        <v>12226</v>
      </c>
      <c r="H78" s="1933">
        <v>0</v>
      </c>
      <c r="I78" s="1933">
        <v>21062</v>
      </c>
      <c r="J78" s="1933">
        <v>0</v>
      </c>
      <c r="K78" s="1933">
        <v>0</v>
      </c>
      <c r="L78" s="1933">
        <v>33288</v>
      </c>
      <c r="M78" s="1933">
        <v>34382</v>
      </c>
    </row>
    <row r="79" spans="1:13" x14ac:dyDescent="0.2">
      <c r="A79" s="1948"/>
      <c r="B79" s="1934" t="s">
        <v>2205</v>
      </c>
      <c r="C79" s="1925" t="s">
        <v>2206</v>
      </c>
      <c r="D79" s="1923" t="s">
        <v>2210</v>
      </c>
      <c r="E79" s="1932">
        <v>0</v>
      </c>
      <c r="F79" s="1933">
        <v>4500</v>
      </c>
      <c r="G79" s="1932">
        <v>0</v>
      </c>
      <c r="H79" s="1933">
        <v>0</v>
      </c>
      <c r="I79" s="1933">
        <v>4500</v>
      </c>
      <c r="J79" s="1933">
        <v>0</v>
      </c>
      <c r="K79" s="1933">
        <v>4500</v>
      </c>
      <c r="L79" s="1933">
        <v>4500</v>
      </c>
      <c r="M79" s="1933">
        <v>27505</v>
      </c>
    </row>
    <row r="80" spans="1:13" x14ac:dyDescent="0.2">
      <c r="A80" s="1948"/>
      <c r="B80" s="1934"/>
      <c r="C80" s="1925"/>
      <c r="D80" s="1923"/>
      <c r="E80" s="1932"/>
      <c r="F80" s="1933"/>
      <c r="G80" s="1932"/>
      <c r="H80" s="1933"/>
      <c r="I80" s="1933"/>
      <c r="J80" s="1933"/>
      <c r="K80" s="1933"/>
      <c r="L80" s="1933"/>
      <c r="M80" s="1933"/>
    </row>
    <row r="81" spans="1:13" x14ac:dyDescent="0.2">
      <c r="A81" s="1901"/>
      <c r="B81" s="1934" t="s">
        <v>2211</v>
      </c>
      <c r="C81" s="1925" t="s">
        <v>2212</v>
      </c>
      <c r="D81" s="1923" t="s">
        <v>2213</v>
      </c>
      <c r="E81" s="1932">
        <v>9046027</v>
      </c>
      <c r="F81" s="1933">
        <v>0</v>
      </c>
      <c r="G81" s="1932">
        <v>9046027</v>
      </c>
      <c r="H81" s="1933">
        <v>147737</v>
      </c>
      <c r="I81" s="1933">
        <v>0</v>
      </c>
      <c r="J81" s="1933">
        <v>0</v>
      </c>
      <c r="K81" s="1933">
        <v>239</v>
      </c>
      <c r="L81" s="1933">
        <v>9046027</v>
      </c>
      <c r="M81" s="1931">
        <v>13425047</v>
      </c>
    </row>
    <row r="82" spans="1:13" x14ac:dyDescent="0.2">
      <c r="A82" s="1901"/>
      <c r="B82" s="1934" t="s">
        <v>2211</v>
      </c>
      <c r="C82" s="1925" t="s">
        <v>2212</v>
      </c>
      <c r="D82" s="1923" t="s">
        <v>2214</v>
      </c>
      <c r="E82" s="1932">
        <v>8746426</v>
      </c>
      <c r="F82" s="1933">
        <v>1080785</v>
      </c>
      <c r="G82" s="1932">
        <v>8746426</v>
      </c>
      <c r="H82" s="1933">
        <v>650167</v>
      </c>
      <c r="I82" s="1933">
        <v>1080785</v>
      </c>
      <c r="J82" s="1933">
        <v>10765</v>
      </c>
      <c r="K82" s="1933">
        <v>0</v>
      </c>
      <c r="L82" s="1933">
        <v>9827211</v>
      </c>
      <c r="M82" s="1931">
        <v>11896752</v>
      </c>
    </row>
    <row r="83" spans="1:13" x14ac:dyDescent="0.2">
      <c r="A83" s="1901"/>
      <c r="B83" s="1934" t="s">
        <v>2211</v>
      </c>
      <c r="C83" s="1925" t="s">
        <v>2212</v>
      </c>
      <c r="D83" s="1923" t="s">
        <v>2215</v>
      </c>
      <c r="E83" s="1932">
        <v>0</v>
      </c>
      <c r="F83" s="1933">
        <v>8348174</v>
      </c>
      <c r="G83" s="1932">
        <v>0</v>
      </c>
      <c r="H83" s="1933">
        <v>0</v>
      </c>
      <c r="I83" s="1933">
        <v>8348174</v>
      </c>
      <c r="J83" s="1933">
        <v>442000</v>
      </c>
      <c r="K83" s="1933">
        <v>5369</v>
      </c>
      <c r="L83" s="1933">
        <v>8348174</v>
      </c>
      <c r="M83" s="1931">
        <v>9092341</v>
      </c>
    </row>
    <row r="84" spans="1:13" x14ac:dyDescent="0.2">
      <c r="A84" s="1901"/>
      <c r="B84" s="1934"/>
      <c r="C84" s="1925"/>
      <c r="D84" s="1923"/>
      <c r="E84" s="1932"/>
      <c r="F84" s="1933"/>
      <c r="G84" s="1932"/>
      <c r="H84" s="1933"/>
      <c r="I84" s="1933"/>
      <c r="J84" s="1933"/>
      <c r="K84" s="1933"/>
      <c r="L84" s="1933"/>
      <c r="M84" s="1931"/>
    </row>
    <row r="85" spans="1:13" x14ac:dyDescent="0.2">
      <c r="A85" s="1901"/>
      <c r="B85" s="1934" t="s">
        <v>2211</v>
      </c>
      <c r="C85" s="1925" t="s">
        <v>2212</v>
      </c>
      <c r="D85" s="1923" t="s">
        <v>2216</v>
      </c>
      <c r="E85" s="1932">
        <v>143987</v>
      </c>
      <c r="F85" s="1933">
        <v>192774</v>
      </c>
      <c r="G85" s="1932">
        <v>143987</v>
      </c>
      <c r="H85" s="1933">
        <v>0</v>
      </c>
      <c r="I85" s="1933">
        <v>192774</v>
      </c>
      <c r="J85" s="1933">
        <v>0</v>
      </c>
      <c r="K85" s="1933">
        <v>0</v>
      </c>
      <c r="L85" s="1933">
        <v>336761</v>
      </c>
      <c r="M85" s="1931">
        <v>1035251</v>
      </c>
    </row>
    <row r="86" spans="1:13" x14ac:dyDescent="0.2">
      <c r="A86" s="1901"/>
      <c r="B86" s="1934" t="s">
        <v>2211</v>
      </c>
      <c r="C86" s="1925" t="s">
        <v>2212</v>
      </c>
      <c r="D86" s="1923" t="s">
        <v>2217</v>
      </c>
      <c r="E86" s="1932">
        <v>0</v>
      </c>
      <c r="F86" s="1933">
        <v>241691</v>
      </c>
      <c r="G86" s="1932">
        <v>0</v>
      </c>
      <c r="H86" s="1933">
        <v>0</v>
      </c>
      <c r="I86" s="1933">
        <v>241691</v>
      </c>
      <c r="J86" s="1933">
        <v>0</v>
      </c>
      <c r="K86" s="1933">
        <v>73979</v>
      </c>
      <c r="L86" s="1933">
        <v>241691</v>
      </c>
      <c r="M86" s="1931">
        <v>684664</v>
      </c>
    </row>
    <row r="87" spans="1:13" x14ac:dyDescent="0.2">
      <c r="A87" s="1901"/>
      <c r="B87" s="1934"/>
      <c r="C87" s="1925"/>
      <c r="D87" s="1923"/>
      <c r="E87" s="1932"/>
      <c r="F87" s="1933"/>
      <c r="G87" s="1932"/>
      <c r="H87" s="1933"/>
      <c r="I87" s="1933"/>
      <c r="J87" s="1933"/>
      <c r="K87" s="1933"/>
      <c r="L87" s="1933"/>
      <c r="M87" s="1931"/>
    </row>
    <row r="88" spans="1:13" x14ac:dyDescent="0.2">
      <c r="A88" s="1901"/>
      <c r="B88" s="1928" t="s">
        <v>2218</v>
      </c>
      <c r="C88" s="1925" t="s">
        <v>2219</v>
      </c>
      <c r="D88" s="1923" t="s">
        <v>2220</v>
      </c>
      <c r="E88" s="1932">
        <v>3297275</v>
      </c>
      <c r="F88" s="1933">
        <v>290737</v>
      </c>
      <c r="G88" s="1932">
        <v>3297275</v>
      </c>
      <c r="H88" s="1933">
        <v>510704</v>
      </c>
      <c r="I88" s="1933">
        <v>290737</v>
      </c>
      <c r="J88" s="1933">
        <v>0</v>
      </c>
      <c r="K88" s="1933">
        <v>0</v>
      </c>
      <c r="L88" s="1933">
        <v>3588012</v>
      </c>
      <c r="M88" s="1931">
        <v>3955713</v>
      </c>
    </row>
    <row r="89" spans="1:13" x14ac:dyDescent="0.2">
      <c r="A89" s="1901"/>
      <c r="B89" s="1928" t="s">
        <v>2218</v>
      </c>
      <c r="C89" s="1925" t="s">
        <v>2219</v>
      </c>
      <c r="D89" s="1923" t="s">
        <v>2221</v>
      </c>
      <c r="E89" s="1932">
        <v>0</v>
      </c>
      <c r="F89" s="1933">
        <v>9603768</v>
      </c>
      <c r="G89" s="1932">
        <v>0</v>
      </c>
      <c r="H89" s="1933">
        <v>0</v>
      </c>
      <c r="I89" s="1933">
        <v>9603768</v>
      </c>
      <c r="J89" s="1933">
        <v>1134038</v>
      </c>
      <c r="K89" s="1933">
        <v>5678684</v>
      </c>
      <c r="L89" s="1933">
        <v>9603768</v>
      </c>
      <c r="M89" s="1931">
        <v>12059497</v>
      </c>
    </row>
    <row r="90" spans="1:13" x14ac:dyDescent="0.2">
      <c r="A90" s="1901"/>
      <c r="B90" s="1934"/>
      <c r="C90" s="1925"/>
      <c r="D90" s="1923"/>
      <c r="E90" s="1932"/>
      <c r="F90" s="1933"/>
      <c r="G90" s="1932"/>
      <c r="H90" s="1933"/>
      <c r="I90" s="1933"/>
      <c r="J90" s="1933"/>
      <c r="K90" s="1933"/>
      <c r="L90" s="1933"/>
      <c r="M90" s="1931"/>
    </row>
    <row r="91" spans="1:13" x14ac:dyDescent="0.2">
      <c r="A91" s="1901"/>
      <c r="B91" s="1928" t="s">
        <v>2222</v>
      </c>
      <c r="C91" s="1923" t="s">
        <v>2223</v>
      </c>
      <c r="D91" s="1923" t="s">
        <v>2224</v>
      </c>
      <c r="E91" s="1932">
        <v>5485885</v>
      </c>
      <c r="F91" s="1933">
        <v>754934</v>
      </c>
      <c r="G91" s="1932">
        <v>5485885</v>
      </c>
      <c r="H91" s="1933">
        <v>0</v>
      </c>
      <c r="I91" s="1933">
        <v>754934</v>
      </c>
      <c r="J91" s="1933">
        <v>0</v>
      </c>
      <c r="K91" s="1933">
        <v>0</v>
      </c>
      <c r="L91" s="1933">
        <v>6240819</v>
      </c>
      <c r="M91" s="1931">
        <v>6240819</v>
      </c>
    </row>
    <row r="92" spans="1:13" x14ac:dyDescent="0.2">
      <c r="A92" s="1901"/>
      <c r="B92" s="1928" t="s">
        <v>2222</v>
      </c>
      <c r="C92" s="1923" t="s">
        <v>2223</v>
      </c>
      <c r="D92" s="1923" t="s">
        <v>2225</v>
      </c>
      <c r="E92" s="1932">
        <v>0</v>
      </c>
      <c r="F92" s="1933">
        <v>5247041</v>
      </c>
      <c r="G92" s="1932">
        <v>0</v>
      </c>
      <c r="H92" s="1933">
        <v>0</v>
      </c>
      <c r="I92" s="1933">
        <v>5247041</v>
      </c>
      <c r="J92" s="1933">
        <v>13999</v>
      </c>
      <c r="K92" s="1933">
        <v>2795741</v>
      </c>
      <c r="L92" s="1933">
        <v>5247041</v>
      </c>
      <c r="M92" s="1931">
        <v>6103306</v>
      </c>
    </row>
    <row r="93" spans="1:13" x14ac:dyDescent="0.2">
      <c r="A93" s="1901"/>
      <c r="B93" s="1934"/>
      <c r="C93" s="1926"/>
      <c r="D93" s="1926"/>
      <c r="E93" s="1932"/>
      <c r="F93" s="1933"/>
      <c r="G93" s="1932"/>
      <c r="H93" s="1933"/>
      <c r="I93" s="1933"/>
      <c r="J93" s="1933"/>
      <c r="K93" s="1933"/>
      <c r="L93" s="1933"/>
      <c r="M93" s="1931"/>
    </row>
    <row r="94" spans="1:13" x14ac:dyDescent="0.2">
      <c r="A94" s="1949"/>
      <c r="B94" s="1928" t="s">
        <v>2226</v>
      </c>
      <c r="C94" s="1925" t="s">
        <v>2227</v>
      </c>
      <c r="D94" s="1923" t="s">
        <v>2228</v>
      </c>
      <c r="E94" s="1932">
        <v>2536689</v>
      </c>
      <c r="F94" s="1933">
        <v>295485</v>
      </c>
      <c r="G94" s="1932">
        <v>2536689</v>
      </c>
      <c r="H94" s="1933">
        <v>0</v>
      </c>
      <c r="I94" s="1933">
        <v>295485</v>
      </c>
      <c r="J94" s="1933">
        <v>0</v>
      </c>
      <c r="K94" s="1933">
        <v>0</v>
      </c>
      <c r="L94" s="1933">
        <v>2832174</v>
      </c>
      <c r="M94" s="1933">
        <v>3224471</v>
      </c>
    </row>
    <row r="95" spans="1:13" x14ac:dyDescent="0.2">
      <c r="A95" s="1949"/>
      <c r="B95" s="1928" t="s">
        <v>2226</v>
      </c>
      <c r="C95" s="1925" t="s">
        <v>2227</v>
      </c>
      <c r="D95" s="1923" t="s">
        <v>2229</v>
      </c>
      <c r="E95" s="1932">
        <v>0</v>
      </c>
      <c r="F95" s="1933">
        <v>1265747</v>
      </c>
      <c r="G95" s="1932">
        <v>0</v>
      </c>
      <c r="H95" s="1933">
        <v>0</v>
      </c>
      <c r="I95" s="1933">
        <v>1265747</v>
      </c>
      <c r="J95" s="1933">
        <v>0</v>
      </c>
      <c r="K95" s="1933">
        <v>395305</v>
      </c>
      <c r="L95" s="1933">
        <v>1265747</v>
      </c>
      <c r="M95" s="1933">
        <v>1526764</v>
      </c>
    </row>
    <row r="96" spans="1:13" x14ac:dyDescent="0.2">
      <c r="A96" s="1949"/>
      <c r="B96" s="1928" t="s">
        <v>2226</v>
      </c>
      <c r="C96" s="1925" t="s">
        <v>2227</v>
      </c>
      <c r="D96" s="1923" t="s">
        <v>2230</v>
      </c>
      <c r="E96" s="1932">
        <v>1773824</v>
      </c>
      <c r="F96" s="1933">
        <v>56314</v>
      </c>
      <c r="G96" s="1932">
        <v>1773824</v>
      </c>
      <c r="H96" s="1933">
        <v>0</v>
      </c>
      <c r="I96" s="1933">
        <v>56314</v>
      </c>
      <c r="J96" s="1933">
        <v>0</v>
      </c>
      <c r="K96" s="1933">
        <v>0</v>
      </c>
      <c r="L96" s="1933">
        <v>1830138</v>
      </c>
      <c r="M96" s="1933">
        <v>2140458</v>
      </c>
    </row>
    <row r="97" spans="1:13" x14ac:dyDescent="0.2">
      <c r="A97" s="1949"/>
      <c r="B97" s="1928" t="s">
        <v>2226</v>
      </c>
      <c r="C97" s="1925" t="s">
        <v>2227</v>
      </c>
      <c r="D97" s="1923" t="s">
        <v>2231</v>
      </c>
      <c r="E97" s="1932">
        <v>0</v>
      </c>
      <c r="F97" s="1933">
        <v>1570983</v>
      </c>
      <c r="G97" s="1932">
        <v>0</v>
      </c>
      <c r="H97" s="1933">
        <v>0</v>
      </c>
      <c r="I97" s="1933">
        <v>1570983</v>
      </c>
      <c r="J97" s="1933">
        <v>0</v>
      </c>
      <c r="K97" s="1933">
        <v>830055</v>
      </c>
      <c r="L97" s="1933">
        <v>1570983</v>
      </c>
      <c r="M97" s="1933">
        <v>2046548</v>
      </c>
    </row>
    <row r="98" spans="1:13" x14ac:dyDescent="0.2">
      <c r="A98" s="1901"/>
      <c r="B98" s="1934"/>
      <c r="C98" s="1926"/>
      <c r="D98" s="1926"/>
      <c r="E98" s="1932"/>
      <c r="F98" s="1933"/>
      <c r="G98" s="1932"/>
      <c r="H98" s="1933"/>
      <c r="I98" s="1933"/>
      <c r="J98" s="1933"/>
      <c r="K98" s="1933"/>
      <c r="L98" s="1933"/>
      <c r="M98" s="1933"/>
    </row>
    <row r="99" spans="1:13" x14ac:dyDescent="0.2">
      <c r="A99" s="1901"/>
      <c r="B99" s="1934" t="s">
        <v>2232</v>
      </c>
      <c r="C99" s="1926">
        <v>84.287000000000006</v>
      </c>
      <c r="D99" s="1923" t="s">
        <v>2233</v>
      </c>
      <c r="E99" s="1932">
        <v>2549888</v>
      </c>
      <c r="F99" s="1933">
        <v>534742</v>
      </c>
      <c r="G99" s="1932">
        <v>2549888</v>
      </c>
      <c r="H99" s="1933">
        <v>0</v>
      </c>
      <c r="I99" s="1933">
        <v>534742</v>
      </c>
      <c r="J99" s="1933">
        <v>0</v>
      </c>
      <c r="K99" s="1933">
        <v>0</v>
      </c>
      <c r="L99" s="1933">
        <v>3084630</v>
      </c>
      <c r="M99" s="1950">
        <v>3150000</v>
      </c>
    </row>
    <row r="100" spans="1:13" x14ac:dyDescent="0.2">
      <c r="A100" s="1901"/>
      <c r="B100" s="1934" t="s">
        <v>2232</v>
      </c>
      <c r="C100" s="1926">
        <v>84.287000000000006</v>
      </c>
      <c r="D100" s="1926" t="s">
        <v>2234</v>
      </c>
      <c r="E100" s="1932">
        <v>453443</v>
      </c>
      <c r="F100" s="1933">
        <v>79389</v>
      </c>
      <c r="G100" s="1932">
        <v>453443</v>
      </c>
      <c r="H100" s="1933">
        <v>0</v>
      </c>
      <c r="I100" s="1933">
        <v>79389</v>
      </c>
      <c r="J100" s="1933">
        <v>0</v>
      </c>
      <c r="K100" s="1933">
        <v>0</v>
      </c>
      <c r="L100" s="1933">
        <v>532832</v>
      </c>
      <c r="M100" s="1933">
        <v>540000</v>
      </c>
    </row>
    <row r="101" spans="1:13" x14ac:dyDescent="0.2">
      <c r="A101" s="1901"/>
      <c r="B101" s="1934" t="s">
        <v>2232</v>
      </c>
      <c r="C101" s="1926">
        <v>84.287000000000006</v>
      </c>
      <c r="D101" s="1926" t="s">
        <v>2235</v>
      </c>
      <c r="E101" s="1932">
        <v>393720</v>
      </c>
      <c r="F101" s="1933">
        <v>114439</v>
      </c>
      <c r="G101" s="1932">
        <v>393720</v>
      </c>
      <c r="H101" s="1933">
        <v>0</v>
      </c>
      <c r="I101" s="1933">
        <v>114439</v>
      </c>
      <c r="J101" s="1933">
        <v>0</v>
      </c>
      <c r="K101" s="1933">
        <v>0</v>
      </c>
      <c r="L101" s="1933">
        <v>508159</v>
      </c>
      <c r="M101" s="1933">
        <v>540000</v>
      </c>
    </row>
    <row r="102" spans="1:13" x14ac:dyDescent="0.2">
      <c r="A102" s="1901"/>
      <c r="B102" s="1934" t="s">
        <v>2232</v>
      </c>
      <c r="C102" s="1926">
        <v>84.287000000000006</v>
      </c>
      <c r="D102" s="1926" t="s">
        <v>2236</v>
      </c>
      <c r="E102" s="1932">
        <v>430828</v>
      </c>
      <c r="F102" s="1933">
        <v>88771</v>
      </c>
      <c r="G102" s="1932">
        <v>430828</v>
      </c>
      <c r="H102" s="1933">
        <v>0</v>
      </c>
      <c r="I102" s="1933">
        <v>88771</v>
      </c>
      <c r="J102" s="1933">
        <v>0</v>
      </c>
      <c r="K102" s="1933">
        <v>0</v>
      </c>
      <c r="L102" s="1933">
        <v>519599</v>
      </c>
      <c r="M102" s="1933">
        <v>540000</v>
      </c>
    </row>
    <row r="103" spans="1:13" x14ac:dyDescent="0.2">
      <c r="A103" s="1901"/>
      <c r="B103" s="1934" t="s">
        <v>2232</v>
      </c>
      <c r="C103" s="1926">
        <v>84.287000000000006</v>
      </c>
      <c r="D103" s="1926" t="s">
        <v>2237</v>
      </c>
      <c r="E103" s="1932">
        <v>468219</v>
      </c>
      <c r="F103" s="1933">
        <v>54548</v>
      </c>
      <c r="G103" s="1932">
        <v>468219</v>
      </c>
      <c r="H103" s="1933">
        <v>0</v>
      </c>
      <c r="I103" s="1933">
        <v>54548</v>
      </c>
      <c r="J103" s="1933">
        <v>0</v>
      </c>
      <c r="K103" s="1933">
        <v>0</v>
      </c>
      <c r="L103" s="1933">
        <v>522767</v>
      </c>
      <c r="M103" s="1933">
        <v>540000</v>
      </c>
    </row>
    <row r="104" spans="1:13" x14ac:dyDescent="0.2">
      <c r="A104" s="1901"/>
      <c r="B104" s="1934" t="s">
        <v>2232</v>
      </c>
      <c r="C104" s="1926">
        <v>84.287000000000006</v>
      </c>
      <c r="D104" s="1926" t="s">
        <v>2238</v>
      </c>
      <c r="E104" s="1932">
        <v>397434</v>
      </c>
      <c r="F104" s="1933">
        <v>133018</v>
      </c>
      <c r="G104" s="1932">
        <v>397434</v>
      </c>
      <c r="H104" s="1933">
        <v>0</v>
      </c>
      <c r="I104" s="1933">
        <v>133018</v>
      </c>
      <c r="J104" s="1933">
        <v>0</v>
      </c>
      <c r="K104" s="1933">
        <v>0</v>
      </c>
      <c r="L104" s="1933">
        <v>530452</v>
      </c>
      <c r="M104" s="1933">
        <v>540000</v>
      </c>
    </row>
    <row r="105" spans="1:13" x14ac:dyDescent="0.2">
      <c r="A105" s="1901"/>
      <c r="B105" s="1934" t="s">
        <v>2232</v>
      </c>
      <c r="C105" s="1926">
        <v>84.287000000000006</v>
      </c>
      <c r="D105" s="1926" t="s">
        <v>2239</v>
      </c>
      <c r="E105" s="1932">
        <v>460569</v>
      </c>
      <c r="F105" s="1933">
        <v>58022</v>
      </c>
      <c r="G105" s="1932">
        <v>460569</v>
      </c>
      <c r="H105" s="1933">
        <v>0</v>
      </c>
      <c r="I105" s="1933">
        <v>58022</v>
      </c>
      <c r="J105" s="1933">
        <v>0</v>
      </c>
      <c r="K105" s="1933">
        <v>0</v>
      </c>
      <c r="L105" s="1933">
        <v>518591</v>
      </c>
      <c r="M105" s="1933">
        <v>540000</v>
      </c>
    </row>
    <row r="106" spans="1:13" x14ac:dyDescent="0.2">
      <c r="A106" s="1901"/>
      <c r="B106" s="1934" t="s">
        <v>2232</v>
      </c>
      <c r="C106" s="1926">
        <v>84.287000000000006</v>
      </c>
      <c r="D106" s="1926" t="s">
        <v>2240</v>
      </c>
      <c r="E106" s="1932">
        <v>0</v>
      </c>
      <c r="F106" s="1933">
        <v>2718863</v>
      </c>
      <c r="G106" s="1932">
        <v>0</v>
      </c>
      <c r="H106" s="1933">
        <v>0</v>
      </c>
      <c r="I106" s="1933">
        <v>2718863</v>
      </c>
      <c r="J106" s="1933">
        <v>0</v>
      </c>
      <c r="K106" s="1933">
        <v>1424072</v>
      </c>
      <c r="L106" s="1933">
        <v>2718863</v>
      </c>
      <c r="M106" s="1933">
        <v>3150000</v>
      </c>
    </row>
    <row r="107" spans="1:13" x14ac:dyDescent="0.2">
      <c r="A107" s="1901"/>
      <c r="B107" s="1934" t="s">
        <v>2232</v>
      </c>
      <c r="C107" s="1926">
        <v>84.287000000000006</v>
      </c>
      <c r="D107" s="1926" t="s">
        <v>2241</v>
      </c>
      <c r="E107" s="1932">
        <v>0</v>
      </c>
      <c r="F107" s="1933">
        <v>420029</v>
      </c>
      <c r="G107" s="1932">
        <v>0</v>
      </c>
      <c r="H107" s="1933">
        <v>0</v>
      </c>
      <c r="I107" s="1933">
        <v>420029</v>
      </c>
      <c r="J107" s="1933">
        <v>0</v>
      </c>
      <c r="K107" s="1933">
        <v>198938</v>
      </c>
      <c r="L107" s="1933">
        <v>420029</v>
      </c>
      <c r="M107" s="1933">
        <v>540000</v>
      </c>
    </row>
    <row r="108" spans="1:13" x14ac:dyDescent="0.2">
      <c r="A108" s="1901"/>
      <c r="B108" s="1934" t="s">
        <v>2232</v>
      </c>
      <c r="C108" s="1926">
        <v>84.287000000000006</v>
      </c>
      <c r="D108" s="1926" t="s">
        <v>2242</v>
      </c>
      <c r="E108" s="1932">
        <v>0</v>
      </c>
      <c r="F108" s="1933">
        <v>406991</v>
      </c>
      <c r="G108" s="1932">
        <v>0</v>
      </c>
      <c r="H108" s="1933">
        <v>0</v>
      </c>
      <c r="I108" s="1933">
        <v>406991</v>
      </c>
      <c r="J108" s="1933">
        <v>0</v>
      </c>
      <c r="K108" s="1933">
        <v>219209</v>
      </c>
      <c r="L108" s="1933">
        <v>406991</v>
      </c>
      <c r="M108" s="1933">
        <v>540000</v>
      </c>
    </row>
    <row r="109" spans="1:13" x14ac:dyDescent="0.2">
      <c r="A109" s="1901"/>
      <c r="B109" s="1934" t="s">
        <v>2232</v>
      </c>
      <c r="C109" s="1926">
        <v>84.287000000000006</v>
      </c>
      <c r="D109" s="1926" t="s">
        <v>2243</v>
      </c>
      <c r="E109" s="1932">
        <v>0</v>
      </c>
      <c r="F109" s="1933">
        <v>380372</v>
      </c>
      <c r="G109" s="1932">
        <v>0</v>
      </c>
      <c r="H109" s="1933">
        <v>0</v>
      </c>
      <c r="I109" s="1933">
        <v>380372</v>
      </c>
      <c r="J109" s="1933">
        <v>0</v>
      </c>
      <c r="K109" s="1933">
        <v>212439</v>
      </c>
      <c r="L109" s="1933">
        <v>380372</v>
      </c>
      <c r="M109" s="1933">
        <v>540000</v>
      </c>
    </row>
    <row r="110" spans="1:13" x14ac:dyDescent="0.2">
      <c r="A110" s="1901"/>
      <c r="B110" s="1934" t="s">
        <v>2232</v>
      </c>
      <c r="C110" s="1926">
        <v>84.287000000000006</v>
      </c>
      <c r="D110" s="1926" t="s">
        <v>2244</v>
      </c>
      <c r="E110" s="1932">
        <v>0</v>
      </c>
      <c r="F110" s="1933">
        <v>376670</v>
      </c>
      <c r="G110" s="1932">
        <v>0</v>
      </c>
      <c r="H110" s="1933">
        <v>0</v>
      </c>
      <c r="I110" s="1933">
        <v>376670</v>
      </c>
      <c r="J110" s="1933">
        <v>0</v>
      </c>
      <c r="K110" s="1933">
        <v>180490</v>
      </c>
      <c r="L110" s="1933">
        <v>376670</v>
      </c>
      <c r="M110" s="1933">
        <v>540000</v>
      </c>
    </row>
    <row r="111" spans="1:13" x14ac:dyDescent="0.2">
      <c r="A111" s="1901"/>
      <c r="B111" s="1934" t="s">
        <v>2232</v>
      </c>
      <c r="C111" s="1926">
        <v>84.287000000000006</v>
      </c>
      <c r="D111" s="1926" t="s">
        <v>2245</v>
      </c>
      <c r="E111" s="1932">
        <v>0</v>
      </c>
      <c r="F111" s="1933">
        <v>317285</v>
      </c>
      <c r="G111" s="1932">
        <v>0</v>
      </c>
      <c r="H111" s="1933">
        <v>0</v>
      </c>
      <c r="I111" s="1933">
        <v>317285</v>
      </c>
      <c r="J111" s="1933">
        <v>0</v>
      </c>
      <c r="K111" s="1933">
        <v>184613</v>
      </c>
      <c r="L111" s="1933">
        <v>317285</v>
      </c>
      <c r="M111" s="1933">
        <v>540000</v>
      </c>
    </row>
    <row r="112" spans="1:13" x14ac:dyDescent="0.2">
      <c r="A112" s="1901"/>
      <c r="B112" s="1934" t="s">
        <v>2232</v>
      </c>
      <c r="C112" s="1926">
        <v>84.287000000000006</v>
      </c>
      <c r="D112" s="1926" t="s">
        <v>2246</v>
      </c>
      <c r="E112" s="1932">
        <v>0</v>
      </c>
      <c r="F112" s="1933">
        <v>388694</v>
      </c>
      <c r="G112" s="1932">
        <v>0</v>
      </c>
      <c r="H112" s="1933">
        <v>0</v>
      </c>
      <c r="I112" s="1933">
        <v>388694</v>
      </c>
      <c r="J112" s="1933">
        <v>0</v>
      </c>
      <c r="K112" s="1933">
        <v>235887</v>
      </c>
      <c r="L112" s="1933">
        <v>388694</v>
      </c>
      <c r="M112" s="1933">
        <v>540000</v>
      </c>
    </row>
    <row r="113" spans="1:13" x14ac:dyDescent="0.2">
      <c r="A113" s="1901"/>
      <c r="B113" s="1934" t="s">
        <v>2232</v>
      </c>
      <c r="C113" s="1926">
        <v>84.287000000000006</v>
      </c>
      <c r="D113" s="1926" t="s">
        <v>2247</v>
      </c>
      <c r="E113" s="1932">
        <v>53696</v>
      </c>
      <c r="F113" s="1933">
        <v>41520</v>
      </c>
      <c r="G113" s="1932">
        <v>53696</v>
      </c>
      <c r="H113" s="1933">
        <v>0</v>
      </c>
      <c r="I113" s="1933">
        <v>41520</v>
      </c>
      <c r="J113" s="1933">
        <v>0</v>
      </c>
      <c r="K113" s="1933">
        <v>0</v>
      </c>
      <c r="L113" s="1933">
        <v>95216</v>
      </c>
      <c r="M113" s="1933">
        <v>135000</v>
      </c>
    </row>
    <row r="114" spans="1:13" x14ac:dyDescent="0.2">
      <c r="A114" s="1901"/>
      <c r="B114" s="1934" t="s">
        <v>2232</v>
      </c>
      <c r="C114" s="1926">
        <v>84.287000000000006</v>
      </c>
      <c r="D114" s="1926" t="s">
        <v>2248</v>
      </c>
      <c r="E114" s="1932">
        <v>0</v>
      </c>
      <c r="F114" s="1933">
        <v>88488</v>
      </c>
      <c r="G114" s="1932">
        <v>0</v>
      </c>
      <c r="H114" s="1933">
        <v>0</v>
      </c>
      <c r="I114" s="1933">
        <v>88488</v>
      </c>
      <c r="J114" s="1933">
        <v>0</v>
      </c>
      <c r="K114" s="1933">
        <v>53244</v>
      </c>
      <c r="L114" s="1933">
        <v>88488</v>
      </c>
      <c r="M114" s="1933">
        <v>135000</v>
      </c>
    </row>
    <row r="115" spans="1:13" x14ac:dyDescent="0.2">
      <c r="A115" s="1901"/>
      <c r="B115" s="1934" t="s">
        <v>2232</v>
      </c>
      <c r="C115" s="1926">
        <v>84.287000000000006</v>
      </c>
      <c r="D115" s="1926" t="s">
        <v>2249</v>
      </c>
      <c r="E115" s="1932">
        <v>0</v>
      </c>
      <c r="F115" s="1933">
        <v>310096</v>
      </c>
      <c r="G115" s="1932">
        <v>0</v>
      </c>
      <c r="H115" s="1933">
        <v>0</v>
      </c>
      <c r="I115" s="1933">
        <v>310096</v>
      </c>
      <c r="J115" s="1933">
        <v>0</v>
      </c>
      <c r="K115" s="1933">
        <v>225385</v>
      </c>
      <c r="L115" s="1933">
        <v>310096</v>
      </c>
      <c r="M115" s="1933">
        <v>600000</v>
      </c>
    </row>
    <row r="116" spans="1:13" x14ac:dyDescent="0.2">
      <c r="A116" s="1901"/>
      <c r="B116" s="1934" t="s">
        <v>2232</v>
      </c>
      <c r="C116" s="1926">
        <v>84.287000000000006</v>
      </c>
      <c r="D116" s="1926" t="s">
        <v>2250</v>
      </c>
      <c r="E116" s="1932">
        <v>0</v>
      </c>
      <c r="F116" s="1933">
        <v>293945</v>
      </c>
      <c r="G116" s="1932">
        <v>0</v>
      </c>
      <c r="H116" s="1933">
        <v>0</v>
      </c>
      <c r="I116" s="1933">
        <v>293945</v>
      </c>
      <c r="J116" s="1933">
        <v>0</v>
      </c>
      <c r="K116" s="1933">
        <v>216734</v>
      </c>
      <c r="L116" s="1933">
        <v>293945</v>
      </c>
      <c r="M116" s="1933">
        <v>600000</v>
      </c>
    </row>
    <row r="117" spans="1:13" x14ac:dyDescent="0.2">
      <c r="A117" s="1901"/>
      <c r="B117" s="1934" t="s">
        <v>2232</v>
      </c>
      <c r="C117" s="1926">
        <v>84.287000000000006</v>
      </c>
      <c r="D117" s="1926" t="s">
        <v>2251</v>
      </c>
      <c r="E117" s="1932">
        <v>0</v>
      </c>
      <c r="F117" s="1933">
        <v>352310</v>
      </c>
      <c r="G117" s="1932">
        <v>0</v>
      </c>
      <c r="H117" s="1933">
        <v>0</v>
      </c>
      <c r="I117" s="1933">
        <v>352310</v>
      </c>
      <c r="J117" s="1933">
        <v>0</v>
      </c>
      <c r="K117" s="1933">
        <v>244783</v>
      </c>
      <c r="L117" s="1933">
        <v>352310</v>
      </c>
      <c r="M117" s="1933">
        <v>600000</v>
      </c>
    </row>
    <row r="118" spans="1:13" x14ac:dyDescent="0.2">
      <c r="A118" s="1901"/>
      <c r="B118" s="1934" t="s">
        <v>2232</v>
      </c>
      <c r="C118" s="1926">
        <v>84.287000000000006</v>
      </c>
      <c r="D118" s="1926" t="s">
        <v>2252</v>
      </c>
      <c r="E118" s="1932">
        <v>0</v>
      </c>
      <c r="F118" s="1933">
        <v>257412</v>
      </c>
      <c r="G118" s="1932">
        <v>0</v>
      </c>
      <c r="H118" s="1933">
        <v>0</v>
      </c>
      <c r="I118" s="1933">
        <v>257412</v>
      </c>
      <c r="J118" s="1933">
        <v>0</v>
      </c>
      <c r="K118" s="1933">
        <v>179255</v>
      </c>
      <c r="L118" s="1933">
        <v>257412</v>
      </c>
      <c r="M118" s="1933">
        <v>600000</v>
      </c>
    </row>
    <row r="119" spans="1:13" x14ac:dyDescent="0.2">
      <c r="A119" s="1901"/>
      <c r="B119" s="1934" t="s">
        <v>2232</v>
      </c>
      <c r="C119" s="1926">
        <v>84.287000000000006</v>
      </c>
      <c r="D119" s="1926" t="s">
        <v>2253</v>
      </c>
      <c r="E119" s="1932">
        <v>0</v>
      </c>
      <c r="F119" s="1933">
        <v>261959</v>
      </c>
      <c r="G119" s="1932">
        <v>0</v>
      </c>
      <c r="H119" s="1933">
        <v>0</v>
      </c>
      <c r="I119" s="1933">
        <v>261959</v>
      </c>
      <c r="J119" s="1933">
        <v>0</v>
      </c>
      <c r="K119" s="1933">
        <v>182100</v>
      </c>
      <c r="L119" s="1933">
        <v>261959</v>
      </c>
      <c r="M119" s="1933">
        <v>450000</v>
      </c>
    </row>
    <row r="120" spans="1:13" x14ac:dyDescent="0.2">
      <c r="A120" s="1901"/>
      <c r="B120" s="1934"/>
      <c r="C120" s="1926"/>
      <c r="D120" s="1926"/>
      <c r="E120" s="1932"/>
      <c r="F120" s="1933"/>
      <c r="G120" s="1932"/>
      <c r="H120" s="1933"/>
      <c r="I120" s="1933"/>
      <c r="J120" s="1933"/>
      <c r="K120" s="1933"/>
      <c r="L120" s="1933"/>
      <c r="M120" s="1945"/>
    </row>
    <row r="121" spans="1:13" x14ac:dyDescent="0.2">
      <c r="A121" s="1951"/>
      <c r="B121" s="1928" t="s">
        <v>2254</v>
      </c>
      <c r="C121" s="1925" t="s">
        <v>2255</v>
      </c>
      <c r="D121" s="1952" t="s">
        <v>2256</v>
      </c>
      <c r="E121" s="1932">
        <v>911213</v>
      </c>
      <c r="F121" s="1933">
        <v>-227</v>
      </c>
      <c r="G121" s="1932">
        <v>911213</v>
      </c>
      <c r="H121" s="1933">
        <v>0</v>
      </c>
      <c r="I121" s="1933">
        <v>-227</v>
      </c>
      <c r="J121" s="1933">
        <v>0</v>
      </c>
      <c r="K121" s="1933">
        <v>0</v>
      </c>
      <c r="L121" s="1933">
        <v>910986</v>
      </c>
      <c r="M121" s="1933">
        <v>911213</v>
      </c>
    </row>
    <row r="122" spans="1:13" x14ac:dyDescent="0.2">
      <c r="A122" s="1951"/>
      <c r="B122" s="1928" t="s">
        <v>2254</v>
      </c>
      <c r="C122" s="1925" t="s">
        <v>2255</v>
      </c>
      <c r="D122" s="1952" t="s">
        <v>2257</v>
      </c>
      <c r="E122" s="1932">
        <v>0</v>
      </c>
      <c r="F122" s="1933">
        <v>878119</v>
      </c>
      <c r="G122" s="1932">
        <v>0</v>
      </c>
      <c r="H122" s="1933">
        <v>0</v>
      </c>
      <c r="I122" s="1933">
        <v>878119</v>
      </c>
      <c r="J122" s="1933">
        <v>0</v>
      </c>
      <c r="K122" s="1933">
        <v>875119</v>
      </c>
      <c r="L122" s="1933">
        <v>878119</v>
      </c>
      <c r="M122" s="1933">
        <v>906766</v>
      </c>
    </row>
    <row r="123" spans="1:13" x14ac:dyDescent="0.2">
      <c r="A123" s="1901"/>
      <c r="B123" s="1934"/>
      <c r="C123" s="1926"/>
      <c r="D123" s="1926"/>
      <c r="E123" s="1932"/>
      <c r="F123" s="1933"/>
      <c r="G123" s="1932"/>
      <c r="H123" s="1933"/>
      <c r="I123" s="1933"/>
      <c r="J123" s="1933"/>
      <c r="K123" s="1933"/>
      <c r="L123" s="1933"/>
      <c r="M123" s="1945"/>
    </row>
    <row r="124" spans="1:13" x14ac:dyDescent="0.2">
      <c r="A124" s="1901"/>
      <c r="B124" s="1934" t="s">
        <v>2258</v>
      </c>
      <c r="C124" s="1925" t="s">
        <v>2259</v>
      </c>
      <c r="D124" s="1923" t="s">
        <v>2260</v>
      </c>
      <c r="E124" s="1932">
        <v>2999131</v>
      </c>
      <c r="F124" s="1933">
        <v>-594</v>
      </c>
      <c r="G124" s="1932">
        <v>2999131</v>
      </c>
      <c r="H124" s="1933">
        <v>0</v>
      </c>
      <c r="I124" s="1933">
        <v>-594</v>
      </c>
      <c r="J124" s="1933">
        <v>0</v>
      </c>
      <c r="K124" s="1933">
        <v>0</v>
      </c>
      <c r="L124" s="1933">
        <v>2998537</v>
      </c>
      <c r="M124" s="1933">
        <v>2999131</v>
      </c>
    </row>
    <row r="125" spans="1:13" x14ac:dyDescent="0.2">
      <c r="A125" s="1901"/>
      <c r="B125" s="1934" t="s">
        <v>2258</v>
      </c>
      <c r="C125" s="1925" t="s">
        <v>2259</v>
      </c>
      <c r="D125" s="1923" t="s">
        <v>2261</v>
      </c>
      <c r="E125" s="1932">
        <v>0</v>
      </c>
      <c r="F125" s="1933">
        <v>2675229</v>
      </c>
      <c r="G125" s="1932">
        <v>0</v>
      </c>
      <c r="H125" s="1933">
        <v>0</v>
      </c>
      <c r="I125" s="1933">
        <v>2675229</v>
      </c>
      <c r="J125" s="1933">
        <v>0</v>
      </c>
      <c r="K125" s="1933">
        <v>987633</v>
      </c>
      <c r="L125" s="1933">
        <v>2675229</v>
      </c>
      <c r="M125" s="1933">
        <v>2999131</v>
      </c>
    </row>
    <row r="126" spans="1:13" x14ac:dyDescent="0.2">
      <c r="A126" s="1901"/>
      <c r="B126" s="1934"/>
      <c r="C126" s="1926"/>
      <c r="D126" s="1926"/>
      <c r="E126" s="1943"/>
      <c r="F126" s="1927"/>
      <c r="G126" s="1943"/>
      <c r="H126" s="1927"/>
      <c r="I126" s="1927"/>
      <c r="J126" s="1927"/>
      <c r="K126" s="1927"/>
      <c r="L126" s="1943"/>
      <c r="M126" s="1944"/>
    </row>
    <row r="127" spans="1:13" x14ac:dyDescent="0.2">
      <c r="A127" s="1901"/>
      <c r="B127" s="1922" t="s">
        <v>2262</v>
      </c>
      <c r="C127" s="1925"/>
      <c r="D127" s="1923"/>
      <c r="E127" s="1927"/>
      <c r="F127" s="1927"/>
      <c r="G127" s="1927"/>
      <c r="H127" s="1927"/>
      <c r="I127" s="1927"/>
      <c r="J127" s="1927"/>
      <c r="K127" s="1927"/>
      <c r="L127" s="1927"/>
      <c r="M127" s="1927"/>
    </row>
    <row r="128" spans="1:13" x14ac:dyDescent="0.2">
      <c r="A128" s="1901"/>
      <c r="B128" s="1922" t="s">
        <v>2263</v>
      </c>
      <c r="C128" s="1925"/>
      <c r="D128" s="1923"/>
      <c r="E128" s="1927"/>
      <c r="F128" s="1927"/>
      <c r="G128" s="1927"/>
      <c r="H128" s="1927"/>
      <c r="I128" s="1927"/>
      <c r="J128" s="1927"/>
      <c r="K128" s="1927"/>
      <c r="L128" s="1927"/>
      <c r="M128" s="1927"/>
    </row>
    <row r="129" spans="1:13" x14ac:dyDescent="0.2">
      <c r="A129" s="1901"/>
      <c r="B129" s="1928" t="s">
        <v>2264</v>
      </c>
      <c r="C129" s="1923" t="s">
        <v>2265</v>
      </c>
      <c r="D129" s="1923" t="s">
        <v>2266</v>
      </c>
      <c r="E129" s="1929">
        <v>212167</v>
      </c>
      <c r="F129" s="1929">
        <v>65321</v>
      </c>
      <c r="G129" s="1929">
        <v>212167</v>
      </c>
      <c r="H129" s="1933">
        <v>0</v>
      </c>
      <c r="I129" s="1929">
        <v>65321</v>
      </c>
      <c r="J129" s="1930">
        <v>0</v>
      </c>
      <c r="K129" s="1929">
        <v>0</v>
      </c>
      <c r="L129" s="1929">
        <v>277488</v>
      </c>
      <c r="M129" s="1933">
        <v>261110</v>
      </c>
    </row>
    <row r="130" spans="1:13" x14ac:dyDescent="0.2">
      <c r="A130" s="1901"/>
      <c r="B130" s="1928" t="s">
        <v>2264</v>
      </c>
      <c r="C130" s="1923" t="s">
        <v>2265</v>
      </c>
      <c r="D130" s="1923" t="s">
        <v>2266</v>
      </c>
      <c r="E130" s="1932">
        <v>0</v>
      </c>
      <c r="F130" s="1933">
        <v>229291</v>
      </c>
      <c r="G130" s="1932">
        <v>0</v>
      </c>
      <c r="H130" s="1933">
        <v>0</v>
      </c>
      <c r="I130" s="1933">
        <v>229291</v>
      </c>
      <c r="J130" s="1933">
        <v>0</v>
      </c>
      <c r="K130" s="1933">
        <v>42748</v>
      </c>
      <c r="L130" s="1933">
        <v>229291</v>
      </c>
      <c r="M130" s="1933">
        <v>240077</v>
      </c>
    </row>
    <row r="131" spans="1:13" x14ac:dyDescent="0.2">
      <c r="A131" s="1901"/>
      <c r="B131" s="1934"/>
      <c r="C131" s="1926"/>
      <c r="D131" s="1926"/>
      <c r="E131" s="1943"/>
      <c r="F131" s="1927"/>
      <c r="G131" s="1943"/>
      <c r="H131" s="1927"/>
      <c r="I131" s="1927"/>
      <c r="J131" s="1927"/>
      <c r="K131" s="1927"/>
      <c r="L131" s="1943"/>
      <c r="M131" s="1944"/>
    </row>
    <row r="132" spans="1:13" x14ac:dyDescent="0.2">
      <c r="A132" s="1901"/>
      <c r="B132" s="1922" t="s">
        <v>2262</v>
      </c>
      <c r="C132" s="1926"/>
      <c r="D132" s="1934"/>
      <c r="E132" s="1943"/>
      <c r="F132" s="1927"/>
      <c r="G132" s="1943"/>
      <c r="H132" s="1927"/>
      <c r="I132" s="1927"/>
      <c r="J132" s="1927"/>
      <c r="K132" s="1927"/>
      <c r="L132" s="1943"/>
      <c r="M132" s="1943"/>
    </row>
    <row r="133" spans="1:13" x14ac:dyDescent="0.2">
      <c r="A133" s="1901"/>
      <c r="B133" s="1928" t="s">
        <v>2267</v>
      </c>
      <c r="C133" s="1926">
        <v>84.040999999999997</v>
      </c>
      <c r="D133" s="1926" t="s">
        <v>2268</v>
      </c>
      <c r="E133" s="1929">
        <v>68249</v>
      </c>
      <c r="F133" s="1929">
        <v>102661</v>
      </c>
      <c r="G133" s="1929">
        <v>68249</v>
      </c>
      <c r="H133" s="1933">
        <v>0</v>
      </c>
      <c r="I133" s="1929">
        <v>102661</v>
      </c>
      <c r="J133" s="1930">
        <v>0</v>
      </c>
      <c r="K133" s="1930">
        <v>0</v>
      </c>
      <c r="L133" s="1929">
        <v>170910</v>
      </c>
      <c r="M133" s="1930" t="s">
        <v>2139</v>
      </c>
    </row>
    <row r="134" spans="1:13" x14ac:dyDescent="0.2">
      <c r="A134" s="1901"/>
      <c r="B134" s="1934"/>
      <c r="C134" s="1926"/>
      <c r="D134" s="1926"/>
      <c r="E134" s="1933"/>
      <c r="F134" s="1933"/>
      <c r="G134" s="1933"/>
      <c r="H134" s="1927"/>
      <c r="I134" s="1927"/>
      <c r="J134" s="1927"/>
      <c r="K134" s="1933"/>
      <c r="L134" s="1933">
        <v>0</v>
      </c>
      <c r="M134" s="1943"/>
    </row>
    <row r="135" spans="1:13" x14ac:dyDescent="0.2">
      <c r="A135" s="1901"/>
      <c r="B135" s="1928" t="s">
        <v>2269</v>
      </c>
      <c r="C135" s="1926" t="s">
        <v>2270</v>
      </c>
      <c r="D135" s="1926" t="s">
        <v>2271</v>
      </c>
      <c r="E135" s="1933">
        <v>164727</v>
      </c>
      <c r="F135" s="1933">
        <v>-13983</v>
      </c>
      <c r="G135" s="1933">
        <v>164727</v>
      </c>
      <c r="H135" s="1933">
        <v>0</v>
      </c>
      <c r="I135" s="1933">
        <v>-13983</v>
      </c>
      <c r="J135" s="1933">
        <v>0</v>
      </c>
      <c r="K135" s="1933">
        <v>0</v>
      </c>
      <c r="L135" s="1933">
        <v>150744</v>
      </c>
      <c r="M135" s="1945">
        <v>202065</v>
      </c>
    </row>
    <row r="136" spans="1:13" x14ac:dyDescent="0.2">
      <c r="A136" s="1901"/>
      <c r="B136" s="1928" t="s">
        <v>2269</v>
      </c>
      <c r="C136" s="1926" t="s">
        <v>2270</v>
      </c>
      <c r="D136" s="1926" t="s">
        <v>2272</v>
      </c>
      <c r="E136" s="1933">
        <v>183363</v>
      </c>
      <c r="F136" s="1933">
        <v>-2889</v>
      </c>
      <c r="G136" s="1933">
        <v>183363</v>
      </c>
      <c r="H136" s="1933">
        <v>0</v>
      </c>
      <c r="I136" s="1933">
        <v>-2889</v>
      </c>
      <c r="J136" s="1933">
        <v>0</v>
      </c>
      <c r="K136" s="1933">
        <v>0</v>
      </c>
      <c r="L136" s="1933">
        <v>180474</v>
      </c>
      <c r="M136" s="1945">
        <v>204142</v>
      </c>
    </row>
    <row r="137" spans="1:13" x14ac:dyDescent="0.2">
      <c r="A137" s="1901"/>
      <c r="B137" s="1928" t="s">
        <v>2269</v>
      </c>
      <c r="C137" s="1926" t="s">
        <v>2270</v>
      </c>
      <c r="D137" s="1926" t="s">
        <v>2273</v>
      </c>
      <c r="E137" s="1933">
        <v>0</v>
      </c>
      <c r="F137" s="1933">
        <v>204003</v>
      </c>
      <c r="G137" s="1933">
        <v>0</v>
      </c>
      <c r="H137" s="1933">
        <v>0</v>
      </c>
      <c r="I137" s="1933">
        <v>204003</v>
      </c>
      <c r="J137" s="1933">
        <v>0</v>
      </c>
      <c r="K137" s="1933">
        <v>62285</v>
      </c>
      <c r="L137" s="1933">
        <v>204003</v>
      </c>
      <c r="M137" s="1945">
        <v>217185</v>
      </c>
    </row>
    <row r="138" spans="1:13" x14ac:dyDescent="0.2">
      <c r="A138" s="1947"/>
      <c r="B138" s="1934"/>
      <c r="C138" s="1923"/>
      <c r="D138" s="1923"/>
      <c r="E138" s="1933"/>
      <c r="F138" s="1933"/>
      <c r="G138" s="1933"/>
      <c r="H138" s="1933"/>
      <c r="I138" s="1933"/>
      <c r="J138" s="1933"/>
      <c r="K138" s="1933"/>
      <c r="L138" s="1933">
        <v>0</v>
      </c>
      <c r="M138" s="1933"/>
    </row>
    <row r="139" spans="1:13" x14ac:dyDescent="0.2">
      <c r="A139" s="1953"/>
      <c r="B139" s="1928" t="s">
        <v>2274</v>
      </c>
      <c r="C139" s="1923" t="s">
        <v>2275</v>
      </c>
      <c r="D139" s="1923" t="s">
        <v>2276</v>
      </c>
      <c r="E139" s="1933">
        <v>362971</v>
      </c>
      <c r="F139" s="1933">
        <v>2126615</v>
      </c>
      <c r="G139" s="1933">
        <v>362971</v>
      </c>
      <c r="H139" s="1933">
        <v>0</v>
      </c>
      <c r="I139" s="1933">
        <v>2126615</v>
      </c>
      <c r="J139" s="1933">
        <v>0</v>
      </c>
      <c r="K139" s="1933">
        <v>135114</v>
      </c>
      <c r="L139" s="1933">
        <v>2489586</v>
      </c>
      <c r="M139" s="1933">
        <v>2672187</v>
      </c>
    </row>
    <row r="140" spans="1:13" x14ac:dyDescent="0.2">
      <c r="A140" s="1947"/>
      <c r="B140" s="1934"/>
      <c r="C140" s="1923"/>
      <c r="D140" s="1923"/>
      <c r="E140" s="1933"/>
      <c r="F140" s="1933"/>
      <c r="G140" s="1933"/>
      <c r="H140" s="1933"/>
      <c r="I140" s="1933"/>
      <c r="J140" s="1933"/>
      <c r="K140" s="1933"/>
      <c r="L140" s="1933">
        <v>0</v>
      </c>
      <c r="M140" s="1933"/>
    </row>
    <row r="141" spans="1:13" x14ac:dyDescent="0.2">
      <c r="A141" s="1901"/>
      <c r="B141" s="1948" t="s">
        <v>2277</v>
      </c>
      <c r="C141" s="1926" t="s">
        <v>2278</v>
      </c>
      <c r="D141" s="1926" t="s">
        <v>2279</v>
      </c>
      <c r="E141" s="1933">
        <v>255209</v>
      </c>
      <c r="F141" s="1933">
        <v>45999</v>
      </c>
      <c r="G141" s="1933">
        <v>255209</v>
      </c>
      <c r="H141" s="1933">
        <v>0</v>
      </c>
      <c r="I141" s="1933">
        <v>45999</v>
      </c>
      <c r="J141" s="1933">
        <v>0</v>
      </c>
      <c r="K141" s="1933">
        <v>0</v>
      </c>
      <c r="L141" s="1933">
        <v>301208</v>
      </c>
      <c r="M141" s="1945">
        <v>614777</v>
      </c>
    </row>
    <row r="142" spans="1:13" x14ac:dyDescent="0.2">
      <c r="A142" s="1901"/>
      <c r="B142" s="1948" t="s">
        <v>2277</v>
      </c>
      <c r="C142" s="1926" t="s">
        <v>2278</v>
      </c>
      <c r="D142" s="1926" t="s">
        <v>2279</v>
      </c>
      <c r="E142" s="1933">
        <v>0</v>
      </c>
      <c r="F142" s="1933">
        <v>212479</v>
      </c>
      <c r="G142" s="1933">
        <v>0</v>
      </c>
      <c r="H142" s="1933">
        <v>0</v>
      </c>
      <c r="I142" s="1933">
        <v>212479</v>
      </c>
      <c r="J142" s="1933">
        <v>0</v>
      </c>
      <c r="K142" s="1933">
        <v>88723</v>
      </c>
      <c r="L142" s="1933">
        <v>212479</v>
      </c>
      <c r="M142" s="1945">
        <v>313569</v>
      </c>
    </row>
    <row r="143" spans="1:13" x14ac:dyDescent="0.2">
      <c r="A143" s="1901"/>
      <c r="B143" s="1934"/>
      <c r="C143" s="1926"/>
      <c r="D143" s="1926"/>
      <c r="E143" s="1933"/>
      <c r="F143" s="1933"/>
      <c r="G143" s="1933"/>
      <c r="H143" s="1933"/>
      <c r="I143" s="1933"/>
      <c r="J143" s="1933"/>
      <c r="K143" s="1933"/>
      <c r="L143" s="1933">
        <v>0</v>
      </c>
      <c r="M143" s="1933"/>
    </row>
    <row r="144" spans="1:13" x14ac:dyDescent="0.2">
      <c r="A144" s="1901"/>
      <c r="B144" s="1928" t="s">
        <v>2280</v>
      </c>
      <c r="C144" s="1923" t="s">
        <v>2281</v>
      </c>
      <c r="D144" s="1923" t="s">
        <v>2282</v>
      </c>
      <c r="E144" s="1933">
        <v>250481</v>
      </c>
      <c r="F144" s="1933">
        <v>104622</v>
      </c>
      <c r="G144" s="1933">
        <v>250481</v>
      </c>
      <c r="H144" s="1933">
        <v>0</v>
      </c>
      <c r="I144" s="1933">
        <v>104622</v>
      </c>
      <c r="J144" s="1933">
        <v>0</v>
      </c>
      <c r="K144" s="1933">
        <v>0</v>
      </c>
      <c r="L144" s="1933">
        <v>355103</v>
      </c>
      <c r="M144" s="1945">
        <v>460789</v>
      </c>
    </row>
    <row r="145" spans="1:13" x14ac:dyDescent="0.2">
      <c r="A145" s="1901"/>
      <c r="B145" s="1928" t="s">
        <v>2280</v>
      </c>
      <c r="C145" s="1923" t="s">
        <v>2281</v>
      </c>
      <c r="D145" s="1923" t="s">
        <v>2283</v>
      </c>
      <c r="E145" s="1933">
        <v>0</v>
      </c>
      <c r="F145" s="1933">
        <v>56094</v>
      </c>
      <c r="G145" s="1933">
        <v>0</v>
      </c>
      <c r="H145" s="1933">
        <v>0</v>
      </c>
      <c r="I145" s="1933">
        <v>56094</v>
      </c>
      <c r="J145" s="1933">
        <v>0</v>
      </c>
      <c r="K145" s="1933">
        <v>31796</v>
      </c>
      <c r="L145" s="1933">
        <v>56094</v>
      </c>
      <c r="M145" s="1945">
        <v>105686</v>
      </c>
    </row>
    <row r="146" spans="1:13" x14ac:dyDescent="0.2">
      <c r="A146" s="1901"/>
      <c r="B146" s="1928"/>
      <c r="C146" s="1923"/>
      <c r="D146" s="1923"/>
      <c r="E146" s="1933"/>
      <c r="F146" s="1933"/>
      <c r="G146" s="1933"/>
      <c r="H146" s="1933"/>
      <c r="I146" s="1933"/>
      <c r="J146" s="1933"/>
      <c r="K146" s="1933"/>
      <c r="L146" s="1933"/>
      <c r="M146" s="1945"/>
    </row>
    <row r="147" spans="1:13" x14ac:dyDescent="0.2">
      <c r="A147" s="1901"/>
      <c r="B147" s="1928" t="s">
        <v>2280</v>
      </c>
      <c r="C147" s="1923" t="s">
        <v>2284</v>
      </c>
      <c r="D147" s="1923" t="s">
        <v>2285</v>
      </c>
      <c r="E147" s="1933">
        <v>0</v>
      </c>
      <c r="F147" s="1933">
        <v>226416</v>
      </c>
      <c r="G147" s="1933">
        <v>0</v>
      </c>
      <c r="H147" s="1933">
        <v>0</v>
      </c>
      <c r="I147" s="1933">
        <v>226416</v>
      </c>
      <c r="J147" s="1933">
        <v>0</v>
      </c>
      <c r="K147" s="1933">
        <v>165982</v>
      </c>
      <c r="L147" s="1933">
        <v>226416</v>
      </c>
      <c r="M147" s="1945">
        <v>487604</v>
      </c>
    </row>
    <row r="148" spans="1:13" x14ac:dyDescent="0.2">
      <c r="A148" s="1901"/>
      <c r="B148" s="1928" t="s">
        <v>2280</v>
      </c>
      <c r="C148" s="1926"/>
      <c r="D148" s="1926"/>
      <c r="E148" s="1933"/>
      <c r="F148" s="1933"/>
      <c r="G148" s="1933"/>
      <c r="H148" s="1933"/>
      <c r="I148" s="1933"/>
      <c r="J148" s="1933"/>
      <c r="K148" s="1933"/>
      <c r="L148" s="1933">
        <v>0</v>
      </c>
      <c r="M148" s="1945"/>
    </row>
    <row r="149" spans="1:13" x14ac:dyDescent="0.2">
      <c r="A149" s="1901"/>
      <c r="B149" s="1928" t="s">
        <v>2286</v>
      </c>
      <c r="C149" s="1923" t="s">
        <v>2287</v>
      </c>
      <c r="D149" s="1923" t="s">
        <v>2288</v>
      </c>
      <c r="E149" s="1933">
        <v>448149</v>
      </c>
      <c r="F149" s="1933">
        <v>456542</v>
      </c>
      <c r="G149" s="1933">
        <v>448149</v>
      </c>
      <c r="H149" s="1933">
        <v>0</v>
      </c>
      <c r="I149" s="1933">
        <v>456542</v>
      </c>
      <c r="J149" s="1933">
        <v>0</v>
      </c>
      <c r="K149" s="1933">
        <v>0</v>
      </c>
      <c r="L149" s="1933">
        <v>904691</v>
      </c>
      <c r="M149" s="1945">
        <v>1814488</v>
      </c>
    </row>
    <row r="150" spans="1:13" x14ac:dyDescent="0.2">
      <c r="A150" s="1901"/>
      <c r="B150" s="1928" t="s">
        <v>2286</v>
      </c>
      <c r="C150" s="1923" t="s">
        <v>2287</v>
      </c>
      <c r="D150" s="1923" t="s">
        <v>2288</v>
      </c>
      <c r="E150" s="1933">
        <v>0</v>
      </c>
      <c r="F150" s="1933">
        <v>1218220</v>
      </c>
      <c r="G150" s="1933">
        <v>0</v>
      </c>
      <c r="H150" s="1933">
        <v>0</v>
      </c>
      <c r="I150" s="1933">
        <v>1218220</v>
      </c>
      <c r="J150" s="1933">
        <v>0</v>
      </c>
      <c r="K150" s="1933">
        <v>224703</v>
      </c>
      <c r="L150" s="1933">
        <v>1218220</v>
      </c>
      <c r="M150" s="1945">
        <v>2927373</v>
      </c>
    </row>
    <row r="151" spans="1:13" x14ac:dyDescent="0.2">
      <c r="A151" s="1901"/>
      <c r="B151" s="1934"/>
      <c r="C151" s="1926"/>
      <c r="D151" s="1926"/>
      <c r="E151" s="1933"/>
      <c r="F151" s="1933"/>
      <c r="G151" s="1933"/>
      <c r="H151" s="1933"/>
      <c r="I151" s="1933"/>
      <c r="J151" s="1933"/>
      <c r="K151" s="1933"/>
      <c r="L151" s="1933">
        <v>0</v>
      </c>
      <c r="M151" s="1945"/>
    </row>
    <row r="152" spans="1:13" x14ac:dyDescent="0.2">
      <c r="A152" s="1901"/>
      <c r="B152" s="1954" t="s">
        <v>2289</v>
      </c>
      <c r="C152" s="1923" t="s">
        <v>2290</v>
      </c>
      <c r="D152" s="1923" t="s">
        <v>2291</v>
      </c>
      <c r="E152" s="1933">
        <v>385282</v>
      </c>
      <c r="F152" s="1933">
        <v>-47691</v>
      </c>
      <c r="G152" s="1933">
        <v>385282</v>
      </c>
      <c r="H152" s="1933">
        <v>0</v>
      </c>
      <c r="I152" s="1933">
        <v>-47691</v>
      </c>
      <c r="J152" s="1933">
        <v>0</v>
      </c>
      <c r="K152" s="1933">
        <v>0</v>
      </c>
      <c r="L152" s="1933">
        <v>337591</v>
      </c>
      <c r="M152" s="1933">
        <v>1274909</v>
      </c>
    </row>
    <row r="153" spans="1:13" x14ac:dyDescent="0.2">
      <c r="A153" s="1901"/>
      <c r="B153" s="1954" t="s">
        <v>2289</v>
      </c>
      <c r="C153" s="1923" t="s">
        <v>2290</v>
      </c>
      <c r="D153" s="1923" t="s">
        <v>2291</v>
      </c>
      <c r="E153" s="1933">
        <v>837619</v>
      </c>
      <c r="F153" s="1933">
        <v>42244</v>
      </c>
      <c r="G153" s="1933">
        <v>837619</v>
      </c>
      <c r="H153" s="1933">
        <v>0</v>
      </c>
      <c r="I153" s="1933">
        <v>42244</v>
      </c>
      <c r="J153" s="1933">
        <v>0</v>
      </c>
      <c r="K153" s="1933">
        <v>0</v>
      </c>
      <c r="L153" s="1933">
        <v>879863</v>
      </c>
      <c r="M153" s="1933">
        <v>1989718</v>
      </c>
    </row>
    <row r="154" spans="1:13" x14ac:dyDescent="0.2">
      <c r="A154" s="1901"/>
      <c r="B154" s="1954" t="s">
        <v>2289</v>
      </c>
      <c r="C154" s="1923" t="s">
        <v>2290</v>
      </c>
      <c r="D154" s="1923" t="s">
        <v>2291</v>
      </c>
      <c r="E154" s="1933">
        <v>0</v>
      </c>
      <c r="F154" s="1933">
        <v>665451</v>
      </c>
      <c r="G154" s="1933">
        <v>0</v>
      </c>
      <c r="H154" s="1933">
        <v>0</v>
      </c>
      <c r="I154" s="1933">
        <v>665451</v>
      </c>
      <c r="J154" s="1933">
        <v>0</v>
      </c>
      <c r="K154" s="1933">
        <v>331108</v>
      </c>
      <c r="L154" s="1933">
        <v>665451</v>
      </c>
      <c r="M154" s="1933">
        <v>1092050</v>
      </c>
    </row>
    <row r="155" spans="1:13" x14ac:dyDescent="0.2">
      <c r="A155" s="1901"/>
      <c r="B155" s="1928"/>
      <c r="C155" s="1923"/>
      <c r="D155" s="1923"/>
      <c r="E155" s="1924"/>
      <c r="F155" s="1924"/>
      <c r="G155" s="1924"/>
      <c r="H155" s="1924"/>
      <c r="I155" s="1924"/>
      <c r="J155" s="1924"/>
      <c r="K155" s="1924"/>
      <c r="L155" s="1924"/>
      <c r="M155" s="1924"/>
    </row>
    <row r="156" spans="1:13" x14ac:dyDescent="0.2">
      <c r="A156" s="1901"/>
      <c r="B156" s="1922" t="s">
        <v>2292</v>
      </c>
      <c r="C156" s="1923"/>
      <c r="D156" s="1923"/>
      <c r="E156" s="1927"/>
      <c r="F156" s="1927"/>
      <c r="G156" s="1927"/>
      <c r="H156" s="1927"/>
      <c r="I156" s="1927"/>
      <c r="J156" s="1927"/>
      <c r="K156" s="1927"/>
      <c r="L156" s="1927"/>
      <c r="M156" s="1927"/>
    </row>
    <row r="157" spans="1:13" x14ac:dyDescent="0.2">
      <c r="A157" s="1901"/>
      <c r="B157" s="1928" t="s">
        <v>2293</v>
      </c>
      <c r="C157" s="1923">
        <v>84.126000000000005</v>
      </c>
      <c r="D157" s="1923" t="s">
        <v>2294</v>
      </c>
      <c r="E157" s="1929">
        <v>400000</v>
      </c>
      <c r="F157" s="1930">
        <v>0</v>
      </c>
      <c r="G157" s="1929">
        <v>400000</v>
      </c>
      <c r="H157" s="1933">
        <v>0</v>
      </c>
      <c r="I157" s="1930">
        <v>0</v>
      </c>
      <c r="J157" s="1930">
        <v>0</v>
      </c>
      <c r="K157" s="1930">
        <v>0</v>
      </c>
      <c r="L157" s="1929">
        <v>400000</v>
      </c>
      <c r="M157" s="1929">
        <v>400000</v>
      </c>
    </row>
    <row r="158" spans="1:13" x14ac:dyDescent="0.2">
      <c r="A158" s="1901"/>
      <c r="B158" s="1928" t="s">
        <v>2293</v>
      </c>
      <c r="C158" s="1923">
        <v>84.126000000000005</v>
      </c>
      <c r="D158" s="1923" t="s">
        <v>2295</v>
      </c>
      <c r="E158" s="1932">
        <v>0</v>
      </c>
      <c r="F158" s="1933">
        <v>258625</v>
      </c>
      <c r="G158" s="1932">
        <v>0</v>
      </c>
      <c r="H158" s="1933">
        <v>0</v>
      </c>
      <c r="I158" s="1933">
        <v>258625</v>
      </c>
      <c r="J158" s="1933"/>
      <c r="K158" s="1933">
        <v>0</v>
      </c>
      <c r="L158" s="1933">
        <v>258625</v>
      </c>
      <c r="M158" s="1933">
        <v>400000</v>
      </c>
    </row>
    <row r="159" spans="1:13" x14ac:dyDescent="0.2">
      <c r="A159" s="1901"/>
      <c r="B159" s="1928"/>
      <c r="C159" s="1923"/>
      <c r="D159" s="1923"/>
      <c r="E159" s="1924"/>
      <c r="F159" s="1924"/>
      <c r="G159" s="1924"/>
      <c r="H159" s="1924"/>
      <c r="I159" s="1924"/>
      <c r="J159" s="1924"/>
      <c r="K159" s="1924"/>
      <c r="L159" s="1924"/>
      <c r="M159" s="1924"/>
    </row>
    <row r="160" spans="1:13" x14ac:dyDescent="0.2">
      <c r="A160" s="1901"/>
      <c r="B160" s="1922" t="s">
        <v>2296</v>
      </c>
      <c r="C160" s="1923"/>
      <c r="D160" s="1926"/>
      <c r="E160" s="1943"/>
      <c r="F160" s="1927"/>
      <c r="G160" s="1943"/>
      <c r="H160" s="1927"/>
      <c r="I160" s="1927"/>
      <c r="J160" s="1927"/>
      <c r="K160" s="1927"/>
      <c r="L160" s="1943"/>
      <c r="M160" s="1943"/>
    </row>
    <row r="161" spans="1:13" x14ac:dyDescent="0.2">
      <c r="A161" s="1948"/>
      <c r="B161" s="1955" t="s">
        <v>2297</v>
      </c>
      <c r="C161" s="1923" t="s">
        <v>2298</v>
      </c>
      <c r="D161" s="1923" t="s">
        <v>2299</v>
      </c>
      <c r="E161" s="1929">
        <v>628791</v>
      </c>
      <c r="F161" s="1929">
        <v>153815</v>
      </c>
      <c r="G161" s="1929">
        <v>628791</v>
      </c>
      <c r="H161" s="1933">
        <v>0</v>
      </c>
      <c r="I161" s="1929">
        <v>153815</v>
      </c>
      <c r="J161" s="1930">
        <v>0</v>
      </c>
      <c r="K161" s="1930">
        <v>0</v>
      </c>
      <c r="L161" s="1929">
        <v>782606</v>
      </c>
      <c r="M161" s="1929">
        <v>1023250</v>
      </c>
    </row>
    <row r="162" spans="1:13" x14ac:dyDescent="0.2">
      <c r="A162" s="1948"/>
      <c r="B162" s="1955" t="s">
        <v>2297</v>
      </c>
      <c r="C162" s="1923" t="s">
        <v>2298</v>
      </c>
      <c r="D162" s="1923" t="s">
        <v>2300</v>
      </c>
      <c r="E162" s="1932">
        <v>610943</v>
      </c>
      <c r="F162" s="1933">
        <v>135132</v>
      </c>
      <c r="G162" s="1932">
        <v>610943</v>
      </c>
      <c r="H162" s="1933">
        <v>0</v>
      </c>
      <c r="I162" s="1933">
        <v>135132</v>
      </c>
      <c r="J162" s="1933">
        <v>0</v>
      </c>
      <c r="K162" s="1933">
        <v>0</v>
      </c>
      <c r="L162" s="1933">
        <v>746075</v>
      </c>
      <c r="M162" s="1933">
        <v>864212</v>
      </c>
    </row>
    <row r="163" spans="1:13" x14ac:dyDescent="0.2">
      <c r="A163" s="1948"/>
      <c r="B163" s="1955" t="s">
        <v>2297</v>
      </c>
      <c r="C163" s="1923" t="s">
        <v>2298</v>
      </c>
      <c r="D163" s="1923">
        <f>VLOOKUP(A163,[1]granttable!$B:$O,14,FALSE)</f>
        <v>0</v>
      </c>
      <c r="E163" s="1933">
        <v>0</v>
      </c>
      <c r="F163" s="1933">
        <v>533822</v>
      </c>
      <c r="G163" s="1933">
        <v>0</v>
      </c>
      <c r="H163" s="1933">
        <v>0</v>
      </c>
      <c r="I163" s="1933">
        <v>533822</v>
      </c>
      <c r="J163" s="1933">
        <v>0</v>
      </c>
      <c r="K163" s="1933">
        <v>533822</v>
      </c>
      <c r="L163" s="1933">
        <v>533822</v>
      </c>
      <c r="M163" s="1933">
        <v>885522</v>
      </c>
    </row>
    <row r="164" spans="1:13" x14ac:dyDescent="0.2">
      <c r="A164" s="1948"/>
      <c r="B164" s="1934"/>
      <c r="C164" s="1923"/>
      <c r="D164" s="1923"/>
      <c r="E164" s="1932"/>
      <c r="F164" s="1933"/>
      <c r="G164" s="1932"/>
      <c r="H164" s="1933"/>
      <c r="I164" s="1933"/>
      <c r="J164" s="1933"/>
      <c r="K164" s="1933"/>
      <c r="L164" s="1933"/>
      <c r="M164" s="1933"/>
    </row>
    <row r="165" spans="1:13" x14ac:dyDescent="0.2">
      <c r="A165" s="1948"/>
      <c r="B165" s="1934" t="s">
        <v>2232</v>
      </c>
      <c r="C165" s="1925">
        <v>84.287000000000006</v>
      </c>
      <c r="D165" s="1923" t="s">
        <v>2301</v>
      </c>
      <c r="E165" s="1932">
        <v>20528</v>
      </c>
      <c r="F165" s="1933">
        <v>8268</v>
      </c>
      <c r="G165" s="1932">
        <v>20528</v>
      </c>
      <c r="H165" s="1933">
        <v>0</v>
      </c>
      <c r="I165" s="1933">
        <v>8268</v>
      </c>
      <c r="J165" s="1933">
        <v>0</v>
      </c>
      <c r="K165" s="1933">
        <v>0</v>
      </c>
      <c r="L165" s="1933">
        <v>28796</v>
      </c>
      <c r="M165" s="1933">
        <v>36692</v>
      </c>
    </row>
    <row r="166" spans="1:13" x14ac:dyDescent="0.2">
      <c r="A166" s="1948"/>
      <c r="B166" s="1934" t="s">
        <v>2232</v>
      </c>
      <c r="C166" s="1925">
        <v>84.287000000000006</v>
      </c>
      <c r="D166" s="1923" t="s">
        <v>2302</v>
      </c>
      <c r="E166" s="1933">
        <v>0</v>
      </c>
      <c r="F166" s="1933">
        <v>25265</v>
      </c>
      <c r="G166" s="1933">
        <v>0</v>
      </c>
      <c r="H166" s="1933">
        <v>0</v>
      </c>
      <c r="I166" s="1933">
        <v>25265</v>
      </c>
      <c r="J166" s="1933">
        <v>0</v>
      </c>
      <c r="K166" s="1933">
        <v>25265</v>
      </c>
      <c r="L166" s="1933">
        <v>25265</v>
      </c>
      <c r="M166" s="1933">
        <v>27900</v>
      </c>
    </row>
    <row r="167" spans="1:13" x14ac:dyDescent="0.2">
      <c r="A167" s="1901"/>
      <c r="B167" s="1934" t="s">
        <v>2232</v>
      </c>
      <c r="C167" s="1925">
        <v>84.287000000000006</v>
      </c>
      <c r="D167" s="1923" t="s">
        <v>2303</v>
      </c>
      <c r="E167" s="1932">
        <v>13581</v>
      </c>
      <c r="F167" s="1933">
        <v>0</v>
      </c>
      <c r="G167" s="1932">
        <v>13581</v>
      </c>
      <c r="H167" s="1933">
        <v>0</v>
      </c>
      <c r="I167" s="1933">
        <v>0</v>
      </c>
      <c r="J167" s="1933">
        <v>0</v>
      </c>
      <c r="K167" s="1933">
        <v>0</v>
      </c>
      <c r="L167" s="1933">
        <v>13581</v>
      </c>
      <c r="M167" s="1933">
        <v>16232</v>
      </c>
    </row>
    <row r="168" spans="1:13" x14ac:dyDescent="0.2">
      <c r="A168" s="1901"/>
      <c r="B168" s="1934" t="s">
        <v>2232</v>
      </c>
      <c r="C168" s="1925">
        <v>84.287000000000006</v>
      </c>
      <c r="D168" s="1923" t="s">
        <v>2304</v>
      </c>
      <c r="E168" s="1932">
        <v>6979</v>
      </c>
      <c r="F168" s="1933">
        <v>-6979</v>
      </c>
      <c r="G168" s="1932">
        <v>6979</v>
      </c>
      <c r="H168" s="1933">
        <v>0</v>
      </c>
      <c r="I168" s="1933">
        <v>-6979</v>
      </c>
      <c r="J168" s="1933">
        <v>0</v>
      </c>
      <c r="K168" s="1933">
        <v>0</v>
      </c>
      <c r="L168" s="1933">
        <v>0</v>
      </c>
      <c r="M168" s="1933">
        <v>4058</v>
      </c>
    </row>
    <row r="169" spans="1:13" x14ac:dyDescent="0.2">
      <c r="A169" s="1901"/>
      <c r="B169" s="1934" t="s">
        <v>2232</v>
      </c>
      <c r="C169" s="1925">
        <v>84.287000000000006</v>
      </c>
      <c r="D169" s="1923" t="s">
        <v>2305</v>
      </c>
      <c r="E169" s="1933">
        <v>0</v>
      </c>
      <c r="F169" s="1933">
        <v>14835</v>
      </c>
      <c r="G169" s="1933">
        <v>0</v>
      </c>
      <c r="H169" s="1933">
        <v>0</v>
      </c>
      <c r="I169" s="1933">
        <v>14835</v>
      </c>
      <c r="J169" s="1933">
        <v>0</v>
      </c>
      <c r="K169" s="1933">
        <v>14835</v>
      </c>
      <c r="L169" s="1933">
        <v>14835</v>
      </c>
      <c r="M169" s="1933">
        <v>15000</v>
      </c>
    </row>
    <row r="170" spans="1:13" x14ac:dyDescent="0.2">
      <c r="A170" s="1901"/>
      <c r="B170" s="1928"/>
      <c r="C170" s="1923"/>
      <c r="D170" s="1923"/>
      <c r="E170" s="1956"/>
      <c r="F170" s="1956"/>
      <c r="G170" s="1956"/>
      <c r="H170" s="1956"/>
      <c r="I170" s="1956"/>
      <c r="J170" s="1956"/>
      <c r="K170" s="1956"/>
      <c r="L170" s="1956"/>
      <c r="M170" s="1956"/>
    </row>
    <row r="171" spans="1:13" x14ac:dyDescent="0.2">
      <c r="A171" s="1901"/>
      <c r="B171" s="1922" t="s">
        <v>2306</v>
      </c>
      <c r="C171" s="1923"/>
      <c r="D171" s="1923"/>
      <c r="E171" s="1924"/>
      <c r="F171" s="1924"/>
      <c r="G171" s="1924"/>
      <c r="H171" s="1924"/>
      <c r="I171" s="1924"/>
      <c r="J171" s="1924"/>
      <c r="K171" s="1924"/>
      <c r="L171" s="1924"/>
      <c r="M171" s="1924"/>
    </row>
    <row r="172" spans="1:13" x14ac:dyDescent="0.2">
      <c r="A172" s="1901"/>
      <c r="B172" s="1922" t="s">
        <v>2307</v>
      </c>
      <c r="C172" s="1925"/>
      <c r="D172" s="1926"/>
      <c r="E172" s="1927"/>
      <c r="F172" s="1927"/>
      <c r="G172" s="1927"/>
      <c r="H172" s="1927"/>
      <c r="I172" s="1927"/>
      <c r="J172" s="1927"/>
      <c r="K172" s="1927"/>
      <c r="L172" s="1927"/>
      <c r="M172" s="1927"/>
    </row>
    <row r="173" spans="1:13" x14ac:dyDescent="0.2">
      <c r="A173" s="1901"/>
      <c r="B173" s="1954" t="s">
        <v>2308</v>
      </c>
      <c r="C173" s="1925">
        <v>93.078999999999994</v>
      </c>
      <c r="D173" s="1923" t="s">
        <v>2309</v>
      </c>
      <c r="E173" s="1929">
        <v>262418</v>
      </c>
      <c r="F173" s="1929">
        <v>-1138</v>
      </c>
      <c r="G173" s="1929">
        <v>262418</v>
      </c>
      <c r="H173" s="1933">
        <v>0</v>
      </c>
      <c r="I173" s="1929">
        <v>-1138</v>
      </c>
      <c r="J173" s="1930">
        <v>0</v>
      </c>
      <c r="K173" s="1930">
        <v>0</v>
      </c>
      <c r="L173" s="1929">
        <v>261280</v>
      </c>
      <c r="M173" s="1929">
        <v>271672</v>
      </c>
    </row>
    <row r="174" spans="1:13" x14ac:dyDescent="0.2">
      <c r="A174" s="1901"/>
      <c r="B174" s="1954" t="s">
        <v>2308</v>
      </c>
      <c r="C174" s="1925">
        <v>93.078999999999994</v>
      </c>
      <c r="D174" s="1923" t="s">
        <v>2310</v>
      </c>
      <c r="E174" s="1933">
        <v>0</v>
      </c>
      <c r="F174" s="1933">
        <v>120911</v>
      </c>
      <c r="G174" s="1933">
        <v>0</v>
      </c>
      <c r="H174" s="1933">
        <v>0</v>
      </c>
      <c r="I174" s="1933">
        <v>120911</v>
      </c>
      <c r="J174" s="1933">
        <v>0</v>
      </c>
      <c r="K174" s="1933">
        <v>39784</v>
      </c>
      <c r="L174" s="1933">
        <v>120911</v>
      </c>
      <c r="M174" s="1933">
        <v>300000</v>
      </c>
    </row>
    <row r="175" spans="1:13" x14ac:dyDescent="0.2">
      <c r="A175" s="1901"/>
      <c r="B175" s="1954" t="s">
        <v>2308</v>
      </c>
      <c r="C175" s="1925">
        <v>93.078999999999994</v>
      </c>
      <c r="D175" s="1923" t="s">
        <v>2309</v>
      </c>
      <c r="E175" s="1932">
        <v>44766</v>
      </c>
      <c r="F175" s="1933">
        <v>-10415</v>
      </c>
      <c r="G175" s="1932">
        <v>44766</v>
      </c>
      <c r="H175" s="1933">
        <v>0</v>
      </c>
      <c r="I175" s="1933">
        <v>-10415</v>
      </c>
      <c r="J175" s="1933">
        <v>0</v>
      </c>
      <c r="K175" s="1933">
        <v>0</v>
      </c>
      <c r="L175" s="1933">
        <v>34351</v>
      </c>
      <c r="M175" s="1950">
        <v>61250</v>
      </c>
    </row>
    <row r="176" spans="1:13" x14ac:dyDescent="0.2">
      <c r="A176" s="1901"/>
      <c r="B176" s="1954" t="s">
        <v>2308</v>
      </c>
      <c r="C176" s="1925">
        <v>93.078999999999994</v>
      </c>
      <c r="D176" s="1923" t="s">
        <v>2310</v>
      </c>
      <c r="E176" s="1933">
        <v>0</v>
      </c>
      <c r="F176" s="1933">
        <v>34604</v>
      </c>
      <c r="G176" s="1933">
        <v>0</v>
      </c>
      <c r="H176" s="1933">
        <v>0</v>
      </c>
      <c r="I176" s="1933">
        <v>34604</v>
      </c>
      <c r="J176" s="1933">
        <v>0</v>
      </c>
      <c r="K176" s="1933">
        <v>24612</v>
      </c>
      <c r="L176" s="1933">
        <v>34604</v>
      </c>
      <c r="M176" s="1950">
        <v>60000</v>
      </c>
    </row>
    <row r="177" spans="1:13" x14ac:dyDescent="0.2">
      <c r="A177" s="1901"/>
      <c r="B177" s="1928"/>
      <c r="C177" s="1923"/>
      <c r="D177" s="1923"/>
      <c r="E177" s="1924"/>
      <c r="F177" s="1924"/>
      <c r="G177" s="1924"/>
      <c r="H177" s="1924"/>
      <c r="I177" s="1924"/>
      <c r="J177" s="1924"/>
      <c r="K177" s="1924"/>
      <c r="L177" s="1924"/>
      <c r="M177" s="1924"/>
    </row>
    <row r="178" spans="1:13" x14ac:dyDescent="0.2">
      <c r="A178" s="1901"/>
      <c r="B178" s="1922" t="s">
        <v>2311</v>
      </c>
      <c r="C178" s="1923"/>
      <c r="D178" s="1923"/>
      <c r="E178" s="1924"/>
      <c r="F178" s="1924"/>
      <c r="G178" s="1924"/>
      <c r="H178" s="1924"/>
      <c r="I178" s="1924"/>
      <c r="J178" s="1924"/>
      <c r="K178" s="1924"/>
      <c r="L178" s="1924"/>
      <c r="M178" s="1924"/>
    </row>
    <row r="179" spans="1:13" x14ac:dyDescent="0.2">
      <c r="A179" s="1901"/>
      <c r="B179" s="1934" t="s">
        <v>2312</v>
      </c>
      <c r="C179" s="1925">
        <v>93.6</v>
      </c>
      <c r="D179" s="1926" t="s">
        <v>2313</v>
      </c>
      <c r="E179" s="1929">
        <v>22509903</v>
      </c>
      <c r="F179" s="1929">
        <v>13001272</v>
      </c>
      <c r="G179" s="1929">
        <v>22509903</v>
      </c>
      <c r="H179" s="1933">
        <v>0</v>
      </c>
      <c r="I179" s="1929">
        <v>13001272</v>
      </c>
      <c r="J179" s="1930">
        <v>0</v>
      </c>
      <c r="K179" s="1930">
        <v>0</v>
      </c>
      <c r="L179" s="1929">
        <v>35511175</v>
      </c>
      <c r="M179" s="1957">
        <v>35912000</v>
      </c>
    </row>
    <row r="180" spans="1:13" x14ac:dyDescent="0.2">
      <c r="A180" s="1901"/>
      <c r="B180" s="1934" t="s">
        <v>2312</v>
      </c>
      <c r="C180" s="1925">
        <v>93.6</v>
      </c>
      <c r="D180" s="1926" t="s">
        <v>2314</v>
      </c>
      <c r="E180" s="1933">
        <v>0</v>
      </c>
      <c r="F180" s="1933">
        <v>21926977</v>
      </c>
      <c r="G180" s="1933">
        <v>0</v>
      </c>
      <c r="H180" s="1933">
        <v>0</v>
      </c>
      <c r="I180" s="1933">
        <v>21926977</v>
      </c>
      <c r="J180" s="1933">
        <v>0</v>
      </c>
      <c r="K180" s="1933">
        <v>6444415</v>
      </c>
      <c r="L180" s="1933">
        <v>21926977</v>
      </c>
      <c r="M180" s="1950">
        <v>35912000</v>
      </c>
    </row>
    <row r="181" spans="1:13" x14ac:dyDescent="0.2">
      <c r="A181" s="1947"/>
      <c r="B181" s="1934"/>
      <c r="C181" s="1925"/>
      <c r="D181" s="1926"/>
      <c r="E181" s="1932"/>
      <c r="F181" s="1933"/>
      <c r="G181" s="1932"/>
      <c r="H181" s="1933"/>
      <c r="I181" s="1933"/>
      <c r="J181" s="1933"/>
      <c r="K181" s="1933">
        <v>0</v>
      </c>
      <c r="L181" s="1933"/>
      <c r="M181" s="1933"/>
    </row>
    <row r="182" spans="1:13" s="1959" customFormat="1" x14ac:dyDescent="0.2">
      <c r="A182" s="1958"/>
      <c r="B182" s="1934" t="s">
        <v>2312</v>
      </c>
      <c r="C182" s="1925">
        <v>93.6</v>
      </c>
      <c r="D182" s="1952" t="s">
        <v>2315</v>
      </c>
      <c r="E182" s="1932">
        <v>631026</v>
      </c>
      <c r="F182" s="1933">
        <v>400306</v>
      </c>
      <c r="G182" s="1932">
        <v>631026</v>
      </c>
      <c r="H182" s="1933">
        <v>0</v>
      </c>
      <c r="I182" s="1933">
        <v>400306</v>
      </c>
      <c r="J182" s="1933">
        <v>0</v>
      </c>
      <c r="K182" s="1933">
        <v>0</v>
      </c>
      <c r="L182" s="1933">
        <v>1031332</v>
      </c>
      <c r="M182" s="1933">
        <v>1021990</v>
      </c>
    </row>
    <row r="183" spans="1:13" s="1959" customFormat="1" x14ac:dyDescent="0.2">
      <c r="A183" s="1958"/>
      <c r="B183" s="1934" t="s">
        <v>2312</v>
      </c>
      <c r="C183" s="1925">
        <v>93.6</v>
      </c>
      <c r="D183" s="1952" t="s">
        <v>2315</v>
      </c>
      <c r="E183" s="1932">
        <v>0</v>
      </c>
      <c r="F183" s="1933">
        <v>747149</v>
      </c>
      <c r="G183" s="1932">
        <v>0</v>
      </c>
      <c r="H183" s="1933">
        <v>0</v>
      </c>
      <c r="I183" s="1933">
        <v>747149</v>
      </c>
      <c r="J183" s="1933">
        <v>0</v>
      </c>
      <c r="K183" s="1933">
        <v>747149</v>
      </c>
      <c r="L183" s="1933">
        <v>747149</v>
      </c>
      <c r="M183" s="1933">
        <v>1281337.44</v>
      </c>
    </row>
    <row r="184" spans="1:13" x14ac:dyDescent="0.2">
      <c r="A184" s="1901"/>
      <c r="B184" s="1934"/>
      <c r="C184" s="1925"/>
      <c r="D184" s="1926"/>
      <c r="E184" s="1927"/>
      <c r="F184" s="1927"/>
      <c r="G184" s="1927"/>
      <c r="H184" s="1927"/>
      <c r="I184" s="1927"/>
      <c r="J184" s="1927"/>
      <c r="K184" s="1927"/>
      <c r="L184" s="1927"/>
      <c r="M184" s="1927"/>
    </row>
    <row r="185" spans="1:13" x14ac:dyDescent="0.2">
      <c r="A185" s="1901"/>
      <c r="B185" s="1922" t="s">
        <v>2316</v>
      </c>
      <c r="C185" s="1925"/>
      <c r="D185" s="1923"/>
      <c r="E185" s="1927"/>
      <c r="F185" s="1927"/>
      <c r="G185" s="1927"/>
      <c r="H185" s="1927"/>
      <c r="I185" s="1927"/>
      <c r="J185" s="1927"/>
      <c r="K185" s="1927"/>
      <c r="L185" s="1927"/>
      <c r="M185" s="1927"/>
    </row>
    <row r="186" spans="1:13" x14ac:dyDescent="0.2">
      <c r="A186" s="1901"/>
      <c r="B186" s="1934" t="s">
        <v>2317</v>
      </c>
      <c r="C186" s="1925">
        <v>93.296999999999997</v>
      </c>
      <c r="D186" s="1923" t="s">
        <v>2318</v>
      </c>
      <c r="E186" s="1929">
        <v>59681</v>
      </c>
      <c r="F186" s="1929">
        <v>12630</v>
      </c>
      <c r="G186" s="1929">
        <v>59681</v>
      </c>
      <c r="H186" s="1933">
        <v>0</v>
      </c>
      <c r="I186" s="1929">
        <v>12630</v>
      </c>
      <c r="J186" s="1930">
        <v>0</v>
      </c>
      <c r="K186" s="1930">
        <v>0</v>
      </c>
      <c r="L186" s="1929">
        <v>72311</v>
      </c>
      <c r="M186" s="1929">
        <v>79466</v>
      </c>
    </row>
    <row r="187" spans="1:13" x14ac:dyDescent="0.2">
      <c r="A187" s="1901"/>
      <c r="B187" s="1928"/>
      <c r="C187" s="1925"/>
      <c r="D187" s="1923"/>
      <c r="E187" s="1932"/>
      <c r="F187" s="1933"/>
      <c r="G187" s="1932"/>
      <c r="H187" s="1933"/>
      <c r="I187" s="1933"/>
      <c r="J187" s="1933"/>
      <c r="K187" s="1933"/>
      <c r="L187" s="1933"/>
      <c r="M187" s="1933"/>
    </row>
    <row r="188" spans="1:13" x14ac:dyDescent="0.2">
      <c r="A188" s="1901"/>
      <c r="B188" s="1928" t="s">
        <v>2319</v>
      </c>
      <c r="C188" s="1925">
        <v>93.766999999999996</v>
      </c>
      <c r="D188" s="1926" t="s">
        <v>2320</v>
      </c>
      <c r="E188" s="1932">
        <v>367834</v>
      </c>
      <c r="F188" s="1933">
        <v>-2992</v>
      </c>
      <c r="G188" s="1932">
        <v>367834</v>
      </c>
      <c r="H188" s="1933">
        <v>0</v>
      </c>
      <c r="I188" s="1933">
        <v>-2992</v>
      </c>
      <c r="J188" s="1933">
        <v>0</v>
      </c>
      <c r="K188" s="1933">
        <v>0</v>
      </c>
      <c r="L188" s="1933">
        <v>364842</v>
      </c>
      <c r="M188" s="1933">
        <v>649936</v>
      </c>
    </row>
    <row r="189" spans="1:13" x14ac:dyDescent="0.2">
      <c r="A189" s="1947"/>
      <c r="B189" s="1934"/>
      <c r="C189" s="1925"/>
      <c r="D189" s="1923"/>
      <c r="E189" s="1924"/>
      <c r="F189" s="1924"/>
      <c r="G189" s="1924"/>
      <c r="H189" s="1924"/>
      <c r="I189" s="1924"/>
      <c r="J189" s="1924"/>
      <c r="K189" s="1924"/>
      <c r="L189" s="1924"/>
      <c r="M189" s="1924"/>
    </row>
    <row r="190" spans="1:13" x14ac:dyDescent="0.2">
      <c r="A190" s="1901"/>
      <c r="B190" s="1922" t="s">
        <v>2292</v>
      </c>
      <c r="C190" s="1925"/>
      <c r="D190" s="1923"/>
      <c r="E190" s="1927"/>
      <c r="F190" s="1927"/>
      <c r="G190" s="1927"/>
      <c r="H190" s="1927"/>
      <c r="I190" s="1927"/>
      <c r="J190" s="1927"/>
      <c r="K190" s="1927"/>
      <c r="L190" s="1927"/>
      <c r="M190" s="1927"/>
    </row>
    <row r="191" spans="1:13" x14ac:dyDescent="0.2">
      <c r="A191" s="1901"/>
      <c r="B191" s="1960" t="s">
        <v>2321</v>
      </c>
      <c r="C191" s="1925">
        <v>93.566000000000003</v>
      </c>
      <c r="D191" s="1923" t="s">
        <v>2322</v>
      </c>
      <c r="E191" s="1929">
        <v>57525</v>
      </c>
      <c r="F191" s="1929">
        <v>0</v>
      </c>
      <c r="G191" s="1929">
        <v>57525</v>
      </c>
      <c r="H191" s="1933">
        <v>0</v>
      </c>
      <c r="I191" s="1929">
        <v>0</v>
      </c>
      <c r="J191" s="1930">
        <v>0</v>
      </c>
      <c r="K191" s="1930">
        <v>0</v>
      </c>
      <c r="L191" s="1929">
        <v>57525</v>
      </c>
      <c r="M191" s="1929">
        <v>57525</v>
      </c>
    </row>
    <row r="192" spans="1:13" x14ac:dyDescent="0.2">
      <c r="A192" s="1901"/>
      <c r="B192" s="1960" t="s">
        <v>2321</v>
      </c>
      <c r="C192" s="1925">
        <v>93.566000000000003</v>
      </c>
      <c r="D192" s="1923" t="s">
        <v>2323</v>
      </c>
      <c r="E192" s="1933">
        <v>0</v>
      </c>
      <c r="F192" s="1933">
        <v>57525</v>
      </c>
      <c r="G192" s="1933">
        <v>0</v>
      </c>
      <c r="H192" s="1933">
        <v>0</v>
      </c>
      <c r="I192" s="1933">
        <v>57525</v>
      </c>
      <c r="J192" s="1933">
        <v>0</v>
      </c>
      <c r="K192" s="1933">
        <v>16978</v>
      </c>
      <c r="L192" s="1933">
        <v>57525</v>
      </c>
      <c r="M192" s="1933">
        <v>57525</v>
      </c>
    </row>
    <row r="193" spans="1:13" x14ac:dyDescent="0.2">
      <c r="A193" s="1901"/>
      <c r="B193" s="1928"/>
      <c r="C193" s="1925"/>
      <c r="D193" s="1923"/>
      <c r="E193" s="1924"/>
      <c r="F193" s="1924"/>
      <c r="G193" s="1924"/>
      <c r="H193" s="1924"/>
      <c r="I193" s="1924"/>
      <c r="J193" s="1924"/>
      <c r="K193" s="1924"/>
      <c r="L193" s="1924"/>
      <c r="M193" s="1924"/>
    </row>
    <row r="194" spans="1:13" x14ac:dyDescent="0.2">
      <c r="A194" s="1901"/>
      <c r="B194" s="1922" t="s">
        <v>2324</v>
      </c>
      <c r="C194" s="1925"/>
      <c r="D194" s="1923"/>
      <c r="E194" s="1924"/>
      <c r="F194" s="1924"/>
      <c r="G194" s="1924"/>
      <c r="H194" s="1924"/>
      <c r="I194" s="1924"/>
      <c r="J194" s="1924"/>
      <c r="K194" s="1924"/>
      <c r="L194" s="1924"/>
      <c r="M194" s="1924"/>
    </row>
    <row r="195" spans="1:13" x14ac:dyDescent="0.2">
      <c r="A195" s="1901"/>
      <c r="B195" s="1942" t="s">
        <v>2325</v>
      </c>
      <c r="C195" s="1925"/>
      <c r="D195" s="1926"/>
      <c r="E195" s="1924"/>
      <c r="F195" s="1924"/>
      <c r="G195" s="1924"/>
      <c r="H195" s="1924"/>
      <c r="I195" s="1924"/>
      <c r="J195" s="1924"/>
      <c r="K195" s="1924"/>
      <c r="L195" s="1924"/>
      <c r="M195" s="1924"/>
    </row>
    <row r="196" spans="1:13" x14ac:dyDescent="0.2">
      <c r="A196" s="1901"/>
      <c r="B196" s="1922" t="s">
        <v>2326</v>
      </c>
      <c r="C196" s="1925"/>
      <c r="D196" s="1926"/>
      <c r="E196" s="1924"/>
      <c r="F196" s="1924"/>
      <c r="G196" s="1924"/>
      <c r="H196" s="1924"/>
      <c r="I196" s="1924"/>
      <c r="J196" s="1924"/>
      <c r="K196" s="1924"/>
      <c r="L196" s="1924"/>
      <c r="M196" s="1924"/>
    </row>
    <row r="197" spans="1:13" x14ac:dyDescent="0.2">
      <c r="A197" s="1901"/>
      <c r="B197" s="1934" t="s">
        <v>2327</v>
      </c>
      <c r="C197" s="1925">
        <v>93.778000000000006</v>
      </c>
      <c r="D197" s="1926" t="s">
        <v>2328</v>
      </c>
      <c r="E197" s="1929">
        <v>49419547</v>
      </c>
      <c r="F197" s="1929">
        <v>8256738</v>
      </c>
      <c r="G197" s="1929">
        <v>49419547</v>
      </c>
      <c r="H197" s="1933">
        <v>0</v>
      </c>
      <c r="I197" s="1927">
        <v>8256738</v>
      </c>
      <c r="J197" s="1927">
        <v>0</v>
      </c>
      <c r="K197" s="1929">
        <v>2671460</v>
      </c>
      <c r="L197" s="1929">
        <v>57676285</v>
      </c>
      <c r="M197" s="1927" t="s">
        <v>2329</v>
      </c>
    </row>
    <row r="198" spans="1:13" x14ac:dyDescent="0.2">
      <c r="A198" s="1901"/>
      <c r="B198" s="1928"/>
      <c r="C198" s="1925"/>
      <c r="D198" s="1923"/>
      <c r="E198" s="1924"/>
      <c r="F198" s="1924"/>
      <c r="G198" s="1924"/>
      <c r="H198" s="1924"/>
      <c r="I198" s="1924"/>
      <c r="J198" s="1924"/>
      <c r="K198" s="1924"/>
      <c r="L198" s="1924"/>
      <c r="M198" s="1924"/>
    </row>
    <row r="199" spans="1:13" x14ac:dyDescent="0.2">
      <c r="A199" s="1901"/>
      <c r="B199" s="1922" t="s">
        <v>2330</v>
      </c>
      <c r="C199" s="1925"/>
      <c r="D199" s="1923"/>
      <c r="E199" s="1924"/>
      <c r="F199" s="1924"/>
      <c r="G199" s="1924"/>
      <c r="H199" s="1924"/>
      <c r="I199" s="1924"/>
      <c r="J199" s="1924"/>
      <c r="K199" s="1924"/>
      <c r="L199" s="1924"/>
      <c r="M199" s="1924"/>
    </row>
    <row r="200" spans="1:13" x14ac:dyDescent="0.2">
      <c r="A200" s="1901"/>
      <c r="B200" s="1928"/>
      <c r="C200" s="1925"/>
      <c r="D200" s="1923"/>
      <c r="E200" s="1924"/>
      <c r="F200" s="1924"/>
      <c r="G200" s="1924"/>
      <c r="H200" s="1924"/>
      <c r="I200" s="1924"/>
      <c r="J200" s="1924"/>
      <c r="K200" s="1924"/>
      <c r="L200" s="1924"/>
      <c r="M200" s="1924"/>
    </row>
    <row r="201" spans="1:13" x14ac:dyDescent="0.2">
      <c r="A201" s="1901"/>
      <c r="B201" s="1961" t="s">
        <v>2331</v>
      </c>
      <c r="C201" s="1925">
        <v>93.994</v>
      </c>
      <c r="D201" s="1923" t="s">
        <v>2332</v>
      </c>
      <c r="E201" s="1962">
        <v>0</v>
      </c>
      <c r="F201" s="1929">
        <v>72300</v>
      </c>
      <c r="G201" s="1962">
        <v>0</v>
      </c>
      <c r="H201" s="1933">
        <v>0</v>
      </c>
      <c r="I201" s="1929">
        <v>72300</v>
      </c>
      <c r="J201" s="1930">
        <v>0</v>
      </c>
      <c r="K201" s="1930">
        <v>0</v>
      </c>
      <c r="L201" s="1929">
        <v>72300</v>
      </c>
      <c r="M201" s="1927">
        <v>72300</v>
      </c>
    </row>
    <row r="202" spans="1:13" x14ac:dyDescent="0.2">
      <c r="A202" s="1901"/>
      <c r="B202" s="1928"/>
      <c r="C202" s="1925"/>
      <c r="D202" s="1923"/>
      <c r="E202" s="1912"/>
      <c r="F202" s="1912"/>
      <c r="G202" s="1912"/>
      <c r="H202" s="1912"/>
      <c r="I202" s="1912"/>
      <c r="J202" s="1912"/>
      <c r="K202" s="1912"/>
      <c r="L202" s="1912"/>
      <c r="M202" s="1912"/>
    </row>
    <row r="203" spans="1:13" x14ac:dyDescent="0.2">
      <c r="A203" s="1901"/>
      <c r="B203" s="1942" t="s">
        <v>2333</v>
      </c>
      <c r="C203" s="1926"/>
      <c r="D203" s="1926"/>
      <c r="E203" s="1927"/>
      <c r="F203" s="1927"/>
      <c r="G203" s="1927"/>
      <c r="H203" s="1927"/>
      <c r="I203" s="1927"/>
      <c r="J203" s="1927"/>
      <c r="K203" s="1927"/>
      <c r="L203" s="1927"/>
      <c r="M203" s="1927"/>
    </row>
    <row r="204" spans="1:13" x14ac:dyDescent="0.2">
      <c r="A204" s="1901"/>
      <c r="B204" s="1922" t="s">
        <v>2262</v>
      </c>
      <c r="C204" s="1925"/>
      <c r="D204" s="1926"/>
      <c r="E204" s="1927"/>
      <c r="F204" s="1927"/>
      <c r="G204" s="1927"/>
      <c r="H204" s="1927"/>
      <c r="I204" s="1927"/>
      <c r="J204" s="1927"/>
      <c r="K204" s="1927"/>
      <c r="L204" s="1927"/>
      <c r="M204" s="1927"/>
    </row>
    <row r="205" spans="1:13" x14ac:dyDescent="0.2">
      <c r="A205" s="1901"/>
      <c r="B205" s="1928" t="s">
        <v>2334</v>
      </c>
      <c r="C205" s="1925">
        <v>16.559999999999999</v>
      </c>
      <c r="D205" s="1926" t="s">
        <v>2335</v>
      </c>
      <c r="E205" s="1929">
        <v>534771</v>
      </c>
      <c r="F205" s="1929">
        <v>60865</v>
      </c>
      <c r="G205" s="1929">
        <v>534771</v>
      </c>
      <c r="H205" s="1933">
        <v>0</v>
      </c>
      <c r="I205" s="1929">
        <v>60865</v>
      </c>
      <c r="J205" s="1930">
        <v>0</v>
      </c>
      <c r="K205" s="1929">
        <v>134</v>
      </c>
      <c r="L205" s="1929">
        <v>595636</v>
      </c>
      <c r="M205" s="1957">
        <v>739307</v>
      </c>
    </row>
    <row r="206" spans="1:13" x14ac:dyDescent="0.2">
      <c r="A206" s="1901"/>
      <c r="B206" s="1922"/>
      <c r="C206" s="1925"/>
      <c r="D206" s="1923"/>
      <c r="E206" s="1924"/>
      <c r="F206" s="1924"/>
      <c r="G206" s="1924"/>
      <c r="H206" s="1924"/>
      <c r="I206" s="1924"/>
      <c r="J206" s="1924"/>
      <c r="K206" s="1924"/>
      <c r="L206" s="1924"/>
      <c r="M206" s="1924"/>
    </row>
    <row r="207" spans="1:13" x14ac:dyDescent="0.2">
      <c r="A207" s="1901"/>
      <c r="B207" s="1922" t="s">
        <v>2336</v>
      </c>
      <c r="C207" s="1925"/>
      <c r="D207" s="1923"/>
      <c r="E207" s="1924"/>
      <c r="F207" s="1924"/>
      <c r="G207" s="1924"/>
      <c r="H207" s="1924"/>
      <c r="I207" s="1924"/>
      <c r="J207" s="1924"/>
      <c r="K207" s="1924"/>
      <c r="L207" s="1924"/>
      <c r="M207" s="1924"/>
    </row>
    <row r="208" spans="1:13" x14ac:dyDescent="0.2">
      <c r="A208" s="1901"/>
      <c r="B208" s="1922" t="s">
        <v>2337</v>
      </c>
      <c r="C208" s="1925"/>
      <c r="D208" s="1923"/>
      <c r="E208" s="1924"/>
      <c r="F208" s="1924"/>
      <c r="G208" s="1924"/>
      <c r="H208" s="1924"/>
      <c r="I208" s="1924"/>
      <c r="J208" s="1924"/>
      <c r="K208" s="1924"/>
      <c r="L208" s="1924"/>
      <c r="M208" s="1924"/>
    </row>
    <row r="209" spans="1:13" x14ac:dyDescent="0.2">
      <c r="A209" s="1901"/>
      <c r="B209" s="1934" t="s">
        <v>2338</v>
      </c>
      <c r="C209" s="1925">
        <v>17.274000000000001</v>
      </c>
      <c r="D209" s="1923" t="s">
        <v>2339</v>
      </c>
      <c r="E209" s="1929">
        <v>61627</v>
      </c>
      <c r="F209" s="1929">
        <v>-47201</v>
      </c>
      <c r="G209" s="1929">
        <v>61627</v>
      </c>
      <c r="H209" s="1933">
        <v>0</v>
      </c>
      <c r="I209" s="1929">
        <v>-47201</v>
      </c>
      <c r="J209" s="1930">
        <v>0</v>
      </c>
      <c r="K209" s="1930">
        <v>0</v>
      </c>
      <c r="L209" s="1929">
        <v>14426</v>
      </c>
      <c r="M209" s="1929">
        <v>73083</v>
      </c>
    </row>
    <row r="210" spans="1:13" x14ac:dyDescent="0.2">
      <c r="A210" s="1901"/>
      <c r="B210" s="1922"/>
      <c r="C210" s="1925"/>
      <c r="D210" s="1923"/>
      <c r="E210" s="1924"/>
      <c r="F210" s="1924"/>
      <c r="G210" s="1924"/>
      <c r="H210" s="1924"/>
      <c r="I210" s="1924"/>
      <c r="J210" s="1924"/>
      <c r="K210" s="1924"/>
      <c r="L210" s="1924"/>
      <c r="M210" s="1924"/>
    </row>
    <row r="211" spans="1:13" x14ac:dyDescent="0.2">
      <c r="A211" s="1901"/>
      <c r="B211" s="1942" t="s">
        <v>2340</v>
      </c>
      <c r="C211" s="1925"/>
      <c r="D211" s="1923"/>
      <c r="E211" s="1924"/>
      <c r="F211" s="1924"/>
      <c r="G211" s="1924"/>
      <c r="H211" s="1924"/>
      <c r="I211" s="1924"/>
      <c r="J211" s="1924"/>
      <c r="K211" s="1924"/>
      <c r="L211" s="1924"/>
      <c r="M211" s="1924"/>
    </row>
    <row r="212" spans="1:13" x14ac:dyDescent="0.2">
      <c r="A212" s="1901"/>
      <c r="B212" s="1922" t="s">
        <v>2341</v>
      </c>
      <c r="C212" s="1925"/>
      <c r="D212" s="1923"/>
      <c r="E212" s="1924"/>
      <c r="F212" s="1924"/>
      <c r="G212" s="1924"/>
      <c r="H212" s="1924"/>
      <c r="I212" s="1924"/>
      <c r="J212" s="1924"/>
      <c r="K212" s="1924"/>
      <c r="L212" s="1924"/>
      <c r="M212" s="1924"/>
    </row>
    <row r="213" spans="1:13" x14ac:dyDescent="0.2">
      <c r="A213" s="1907"/>
      <c r="B213" s="1934" t="s">
        <v>2342</v>
      </c>
      <c r="C213" s="1925">
        <v>12.3</v>
      </c>
      <c r="D213" s="1923" t="s">
        <v>2343</v>
      </c>
      <c r="E213" s="1929">
        <v>320459</v>
      </c>
      <c r="F213" s="1929">
        <v>-41156</v>
      </c>
      <c r="G213" s="1929">
        <v>320459</v>
      </c>
      <c r="H213" s="1933">
        <v>0</v>
      </c>
      <c r="I213" s="1929">
        <v>-41156</v>
      </c>
      <c r="J213" s="1930">
        <v>0</v>
      </c>
      <c r="K213" s="1930">
        <v>0</v>
      </c>
      <c r="L213" s="1929">
        <v>279303</v>
      </c>
      <c r="M213" s="1929">
        <v>410000</v>
      </c>
    </row>
    <row r="214" spans="1:13" x14ac:dyDescent="0.2">
      <c r="A214" s="1907"/>
      <c r="B214" s="1934" t="s">
        <v>2342</v>
      </c>
      <c r="C214" s="1925">
        <v>12.3</v>
      </c>
      <c r="D214" s="1923" t="s">
        <v>2344</v>
      </c>
      <c r="E214" s="1932">
        <v>0</v>
      </c>
      <c r="F214" s="1933">
        <v>256838</v>
      </c>
      <c r="G214" s="1932">
        <v>0</v>
      </c>
      <c r="H214" s="1933">
        <v>0</v>
      </c>
      <c r="I214" s="1933">
        <v>256838</v>
      </c>
      <c r="J214" s="1933">
        <v>0</v>
      </c>
      <c r="K214" s="1933">
        <v>256838</v>
      </c>
      <c r="L214" s="1933">
        <v>256838</v>
      </c>
      <c r="M214" s="1933">
        <v>395000</v>
      </c>
    </row>
    <row r="215" spans="1:13" x14ac:dyDescent="0.2">
      <c r="A215" s="1901"/>
      <c r="B215" s="1928"/>
      <c r="C215" s="1925"/>
      <c r="D215" s="1923"/>
      <c r="E215" s="1924"/>
      <c r="F215" s="1924"/>
      <c r="G215" s="1924"/>
      <c r="H215" s="1924"/>
      <c r="I215" s="1924"/>
      <c r="J215" s="1924"/>
      <c r="K215" s="1924"/>
      <c r="L215" s="1924"/>
      <c r="M215" s="1924"/>
    </row>
    <row r="216" spans="1:13" x14ac:dyDescent="0.2">
      <c r="A216" s="1901"/>
      <c r="B216" s="1922" t="s">
        <v>2345</v>
      </c>
      <c r="C216" s="1926"/>
      <c r="D216" s="1926"/>
      <c r="E216" s="1924"/>
      <c r="F216" s="1924"/>
      <c r="G216" s="1924"/>
      <c r="H216" s="1924"/>
      <c r="I216" s="1924"/>
      <c r="J216" s="1924"/>
      <c r="K216" s="1924"/>
      <c r="L216" s="1924"/>
      <c r="M216" s="1924"/>
    </row>
    <row r="217" spans="1:13" x14ac:dyDescent="0.2">
      <c r="A217" s="1901"/>
      <c r="B217" s="1928" t="s">
        <v>2346</v>
      </c>
      <c r="C217" s="1925">
        <v>12.9</v>
      </c>
      <c r="D217" s="1923" t="s">
        <v>2347</v>
      </c>
      <c r="E217" s="1929">
        <v>4223.87</v>
      </c>
      <c r="F217" s="1929">
        <v>-4224</v>
      </c>
      <c r="G217" s="1929">
        <v>4223.87</v>
      </c>
      <c r="H217" s="1933">
        <v>0</v>
      </c>
      <c r="I217" s="1929">
        <v>-4224</v>
      </c>
      <c r="J217" s="1930">
        <v>0</v>
      </c>
      <c r="K217" s="1930">
        <v>0</v>
      </c>
      <c r="L217" s="1930">
        <v>-0.13000000000010914</v>
      </c>
      <c r="M217" s="1929">
        <v>90000</v>
      </c>
    </row>
    <row r="218" spans="1:13" x14ac:dyDescent="0.2">
      <c r="A218" s="1901"/>
      <c r="B218" s="1928"/>
      <c r="C218" s="1925"/>
      <c r="D218" s="1923"/>
      <c r="E218" s="1924"/>
      <c r="F218" s="1924"/>
      <c r="G218" s="1924"/>
      <c r="H218" s="1924"/>
      <c r="I218" s="1924"/>
      <c r="J218" s="1924"/>
      <c r="K218" s="1924"/>
      <c r="L218" s="1924"/>
      <c r="M218" s="1924"/>
    </row>
    <row r="219" spans="1:13" x14ac:dyDescent="0.2">
      <c r="A219" s="1958"/>
      <c r="B219" s="1928" t="s">
        <v>2348</v>
      </c>
      <c r="C219" s="1923">
        <v>12.430999999999999</v>
      </c>
      <c r="D219" s="1923" t="s">
        <v>2349</v>
      </c>
      <c r="E219" s="1929">
        <v>491366</v>
      </c>
      <c r="F219" s="1930">
        <v>0</v>
      </c>
      <c r="G219" s="1929">
        <v>491366</v>
      </c>
      <c r="H219" s="1933">
        <v>0</v>
      </c>
      <c r="I219" s="1930">
        <v>0</v>
      </c>
      <c r="J219" s="1930">
        <v>0</v>
      </c>
      <c r="K219" s="1930">
        <v>0</v>
      </c>
      <c r="L219" s="1929">
        <v>491366</v>
      </c>
      <c r="M219" s="1929">
        <v>1031822</v>
      </c>
    </row>
    <row r="220" spans="1:13" s="1959" customFormat="1" x14ac:dyDescent="0.2">
      <c r="A220" s="1958"/>
      <c r="B220" s="1928" t="s">
        <v>2348</v>
      </c>
      <c r="C220" s="1923">
        <v>12.430999999999999</v>
      </c>
      <c r="D220" s="1923" t="s">
        <v>2349</v>
      </c>
      <c r="E220" s="1932">
        <v>49269</v>
      </c>
      <c r="F220" s="1933">
        <v>427893</v>
      </c>
      <c r="G220" s="1932">
        <v>49269</v>
      </c>
      <c r="H220" s="1933">
        <v>0</v>
      </c>
      <c r="I220" s="1933">
        <v>427893</v>
      </c>
      <c r="J220" s="1933">
        <v>0</v>
      </c>
      <c r="K220" s="1933">
        <v>115926</v>
      </c>
      <c r="L220" s="1933">
        <v>477162</v>
      </c>
      <c r="M220" s="1933">
        <v>1084253</v>
      </c>
    </row>
    <row r="221" spans="1:13" x14ac:dyDescent="0.2">
      <c r="A221" s="1901"/>
      <c r="B221" s="1928"/>
      <c r="C221" s="1925"/>
      <c r="D221" s="1923"/>
      <c r="E221" s="1924"/>
      <c r="F221" s="1924"/>
      <c r="G221" s="1924"/>
      <c r="H221" s="1924"/>
      <c r="I221" s="1924"/>
      <c r="J221" s="1924"/>
      <c r="K221" s="1924"/>
      <c r="L221" s="1924"/>
      <c r="M221" s="1924"/>
    </row>
    <row r="222" spans="1:13" x14ac:dyDescent="0.2">
      <c r="A222" s="1901"/>
      <c r="B222" s="1963" t="s">
        <v>2350</v>
      </c>
      <c r="C222" s="1925"/>
      <c r="D222" s="1926"/>
      <c r="E222" s="1927"/>
      <c r="F222" s="1927"/>
      <c r="G222" s="1927"/>
      <c r="H222" s="1927"/>
      <c r="I222" s="1927"/>
      <c r="J222" s="1930"/>
      <c r="K222" s="1930"/>
      <c r="L222" s="1927"/>
      <c r="M222" s="1927"/>
    </row>
    <row r="223" spans="1:13" x14ac:dyDescent="0.2">
      <c r="A223" s="1901"/>
      <c r="B223" s="1928" t="s">
        <v>2351</v>
      </c>
      <c r="C223" s="1925">
        <v>66.950999999999993</v>
      </c>
      <c r="D223" s="1923" t="s">
        <v>2352</v>
      </c>
      <c r="E223" s="1929">
        <v>169135</v>
      </c>
      <c r="F223" s="1929">
        <v>23064</v>
      </c>
      <c r="G223" s="1929">
        <v>169135</v>
      </c>
      <c r="H223" s="1933">
        <v>0</v>
      </c>
      <c r="I223" s="1929">
        <v>23064</v>
      </c>
      <c r="J223" s="1930">
        <v>0</v>
      </c>
      <c r="K223" s="1930">
        <v>0</v>
      </c>
      <c r="L223" s="1929">
        <v>192199</v>
      </c>
      <c r="M223" s="1929">
        <v>192200</v>
      </c>
    </row>
    <row r="224" spans="1:13" x14ac:dyDescent="0.2">
      <c r="A224" s="1901"/>
      <c r="B224" s="1928"/>
      <c r="C224" s="1925"/>
      <c r="D224" s="1923"/>
      <c r="E224" s="1924"/>
      <c r="F224" s="1924"/>
      <c r="G224" s="1924"/>
      <c r="H224" s="1924"/>
      <c r="I224" s="1924"/>
      <c r="J224" s="1924"/>
      <c r="K224" s="1924"/>
      <c r="L224" s="1924"/>
      <c r="M224" s="1924"/>
    </row>
    <row r="225" spans="1:13" x14ac:dyDescent="0.2">
      <c r="A225" s="1901"/>
      <c r="B225" s="1922" t="s">
        <v>2353</v>
      </c>
      <c r="C225" s="1925"/>
      <c r="D225" s="1923"/>
      <c r="E225" s="1924"/>
      <c r="F225" s="1924"/>
      <c r="G225" s="1924"/>
      <c r="H225" s="1924"/>
      <c r="I225" s="1924"/>
      <c r="J225" s="1924"/>
      <c r="K225" s="1924"/>
      <c r="L225" s="1924"/>
      <c r="M225" s="1924"/>
    </row>
    <row r="226" spans="1:13" x14ac:dyDescent="0.2">
      <c r="A226" s="1901"/>
      <c r="B226" s="1922" t="s">
        <v>2354</v>
      </c>
      <c r="C226" s="1925"/>
      <c r="D226" s="1923"/>
      <c r="E226" s="1924"/>
      <c r="F226" s="1924"/>
      <c r="G226" s="1924"/>
      <c r="H226" s="1924"/>
      <c r="I226" s="1924"/>
      <c r="J226" s="1924"/>
      <c r="K226" s="1924"/>
      <c r="L226" s="1924"/>
      <c r="M226" s="1924"/>
    </row>
    <row r="227" spans="1:13" x14ac:dyDescent="0.2">
      <c r="A227" s="1901"/>
      <c r="B227" s="1922" t="s">
        <v>2355</v>
      </c>
      <c r="C227" s="1925"/>
      <c r="D227" s="1926"/>
      <c r="E227" s="1927"/>
      <c r="F227" s="1927"/>
      <c r="G227" s="1927"/>
      <c r="H227" s="1927"/>
      <c r="I227" s="1927"/>
      <c r="J227" s="1927"/>
      <c r="K227" s="1927"/>
      <c r="L227" s="1927"/>
      <c r="M227" s="1927"/>
    </row>
    <row r="228" spans="1:13" x14ac:dyDescent="0.2">
      <c r="A228" s="1901"/>
      <c r="B228" s="1928" t="s">
        <v>2356</v>
      </c>
      <c r="C228" s="1925">
        <v>47.07</v>
      </c>
      <c r="D228" s="1923" t="s">
        <v>2357</v>
      </c>
      <c r="E228" s="1929">
        <v>43678</v>
      </c>
      <c r="F228" s="1929">
        <v>177568</v>
      </c>
      <c r="G228" s="1929">
        <v>43678</v>
      </c>
      <c r="H228" s="1933">
        <v>0</v>
      </c>
      <c r="I228" s="1929">
        <v>177568</v>
      </c>
      <c r="J228" s="1930">
        <v>0</v>
      </c>
      <c r="K228" s="1930">
        <v>0</v>
      </c>
      <c r="L228" s="1929">
        <v>221246</v>
      </c>
      <c r="M228" s="1929">
        <v>274340</v>
      </c>
    </row>
    <row r="229" spans="1:13" x14ac:dyDescent="0.2">
      <c r="A229" s="1901"/>
      <c r="B229" s="1928" t="s">
        <v>2356</v>
      </c>
      <c r="C229" s="1925">
        <v>47.07</v>
      </c>
      <c r="D229" s="1923" t="s">
        <v>2358</v>
      </c>
      <c r="E229" s="1933">
        <v>0</v>
      </c>
      <c r="F229" s="1933">
        <v>159435</v>
      </c>
      <c r="G229" s="1933">
        <v>0</v>
      </c>
      <c r="H229" s="1933">
        <v>0</v>
      </c>
      <c r="I229" s="1933">
        <v>159435</v>
      </c>
      <c r="J229" s="1933">
        <v>0</v>
      </c>
      <c r="K229" s="1933">
        <v>65277</v>
      </c>
      <c r="L229" s="1933">
        <v>159435</v>
      </c>
      <c r="M229" s="1933">
        <v>285232</v>
      </c>
    </row>
    <row r="230" spans="1:13" x14ac:dyDescent="0.2">
      <c r="A230" s="1901"/>
      <c r="B230" s="1928" t="s">
        <v>2356</v>
      </c>
      <c r="C230" s="1925">
        <v>47.07</v>
      </c>
      <c r="D230" s="1923" t="s">
        <v>2359</v>
      </c>
      <c r="E230" s="1932">
        <v>5424</v>
      </c>
      <c r="F230" s="1933">
        <v>14128</v>
      </c>
      <c r="G230" s="1932">
        <v>5424</v>
      </c>
      <c r="H230" s="1933">
        <v>0</v>
      </c>
      <c r="I230" s="1933">
        <v>14128</v>
      </c>
      <c r="J230" s="1933">
        <v>0</v>
      </c>
      <c r="K230" s="1933">
        <v>0</v>
      </c>
      <c r="L230" s="1933">
        <v>19552</v>
      </c>
      <c r="M230" s="1933">
        <v>164334</v>
      </c>
    </row>
    <row r="231" spans="1:13" x14ac:dyDescent="0.2">
      <c r="A231" s="1901"/>
      <c r="B231" s="1928" t="s">
        <v>2356</v>
      </c>
      <c r="C231" s="1925">
        <v>47.07</v>
      </c>
      <c r="D231" s="1923" t="s">
        <v>2359</v>
      </c>
      <c r="E231" s="1933">
        <v>0</v>
      </c>
      <c r="F231" s="1933">
        <v>32832</v>
      </c>
      <c r="G231" s="1933">
        <v>0</v>
      </c>
      <c r="H231" s="1933">
        <v>0</v>
      </c>
      <c r="I231" s="1933">
        <v>32832</v>
      </c>
      <c r="J231" s="1933">
        <v>0</v>
      </c>
      <c r="K231" s="1933">
        <v>2194</v>
      </c>
      <c r="L231" s="1933">
        <v>32832</v>
      </c>
      <c r="M231" s="1933">
        <v>164334</v>
      </c>
    </row>
    <row r="232" spans="1:13" x14ac:dyDescent="0.2">
      <c r="A232" s="1901"/>
      <c r="B232" s="1964" t="s">
        <v>2360</v>
      </c>
      <c r="C232" s="1925">
        <v>47.076000000000001</v>
      </c>
      <c r="D232" s="1923" t="s">
        <v>2361</v>
      </c>
      <c r="E232" s="1932">
        <v>4905</v>
      </c>
      <c r="F232" s="1933">
        <v>0</v>
      </c>
      <c r="G232" s="1932">
        <v>4905</v>
      </c>
      <c r="H232" s="1933">
        <v>0</v>
      </c>
      <c r="I232" s="1933">
        <v>0</v>
      </c>
      <c r="J232" s="1933">
        <v>0</v>
      </c>
      <c r="K232" s="1933">
        <v>0</v>
      </c>
      <c r="L232" s="1933">
        <v>4905</v>
      </c>
      <c r="M232" s="1933">
        <v>128898</v>
      </c>
    </row>
    <row r="233" spans="1:13" x14ac:dyDescent="0.2">
      <c r="A233" s="1901"/>
      <c r="B233" s="1964" t="s">
        <v>2360</v>
      </c>
      <c r="C233" s="1925">
        <v>47.076000000000001</v>
      </c>
      <c r="D233" s="1923" t="s">
        <v>2361</v>
      </c>
      <c r="E233" s="1932">
        <v>0</v>
      </c>
      <c r="F233" s="1933">
        <v>18475</v>
      </c>
      <c r="G233" s="1932">
        <v>0</v>
      </c>
      <c r="H233" s="1933">
        <v>0</v>
      </c>
      <c r="I233" s="1933">
        <v>18475</v>
      </c>
      <c r="J233" s="1933">
        <v>0</v>
      </c>
      <c r="K233" s="1933">
        <v>5436</v>
      </c>
      <c r="L233" s="1933">
        <v>18475</v>
      </c>
      <c r="M233" s="1933">
        <v>123993</v>
      </c>
    </row>
    <row r="234" spans="1:13" x14ac:dyDescent="0.2">
      <c r="A234" s="1901"/>
      <c r="B234" s="1928"/>
      <c r="C234" s="1925"/>
      <c r="D234" s="1923"/>
      <c r="E234" s="1924"/>
      <c r="F234" s="1924"/>
      <c r="G234" s="1924"/>
      <c r="H234" s="1924"/>
      <c r="I234" s="1924"/>
      <c r="J234" s="1924"/>
      <c r="K234" s="1924"/>
      <c r="L234" s="1924"/>
      <c r="M234" s="1924"/>
    </row>
    <row r="235" spans="1:13" x14ac:dyDescent="0.2">
      <c r="A235" s="1901"/>
      <c r="B235" s="1928"/>
      <c r="C235" s="1925"/>
      <c r="D235" s="1923"/>
      <c r="E235" s="1924"/>
      <c r="F235" s="1924"/>
      <c r="G235" s="1924"/>
      <c r="H235" s="1924"/>
      <c r="I235" s="1924"/>
      <c r="J235" s="1924"/>
      <c r="K235" s="1924"/>
      <c r="L235" s="1924"/>
      <c r="M235" s="1924"/>
    </row>
    <row r="236" spans="1:13" x14ac:dyDescent="0.2">
      <c r="A236" s="1901"/>
      <c r="B236" s="1922" t="s">
        <v>2362</v>
      </c>
      <c r="C236" s="1925"/>
      <c r="D236" s="1923"/>
      <c r="E236" s="1924"/>
      <c r="F236" s="1924"/>
      <c r="G236" s="1924"/>
      <c r="H236" s="1924"/>
      <c r="I236" s="1924"/>
      <c r="J236" s="1924"/>
      <c r="K236" s="1924"/>
      <c r="L236" s="1924"/>
      <c r="M236" s="1924"/>
    </row>
    <row r="237" spans="1:13" x14ac:dyDescent="0.2">
      <c r="A237" s="1901"/>
      <c r="B237" s="1964" t="s">
        <v>2356</v>
      </c>
      <c r="C237" s="1925">
        <v>47.07</v>
      </c>
      <c r="D237" s="1923" t="s">
        <v>2363</v>
      </c>
      <c r="E237" s="1929">
        <v>21597</v>
      </c>
      <c r="F237" s="1929">
        <v>80891</v>
      </c>
      <c r="G237" s="1929">
        <v>21597</v>
      </c>
      <c r="H237" s="1933">
        <v>0</v>
      </c>
      <c r="I237" s="1929">
        <v>80891</v>
      </c>
      <c r="J237" s="1930">
        <v>0</v>
      </c>
      <c r="K237" s="1930">
        <v>0</v>
      </c>
      <c r="L237" s="1929">
        <v>102488</v>
      </c>
      <c r="M237" s="1929">
        <v>238068</v>
      </c>
    </row>
    <row r="238" spans="1:13" x14ac:dyDescent="0.2">
      <c r="A238" s="1901"/>
      <c r="B238" s="1928"/>
      <c r="C238" s="1925"/>
      <c r="D238" s="1923"/>
      <c r="E238" s="1924"/>
      <c r="F238" s="1924"/>
      <c r="G238" s="1924"/>
      <c r="H238" s="1924"/>
      <c r="I238" s="1924"/>
      <c r="J238" s="1924"/>
      <c r="K238" s="1924"/>
      <c r="L238" s="1924"/>
      <c r="M238" s="1924"/>
    </row>
    <row r="239" spans="1:13" x14ac:dyDescent="0.2">
      <c r="A239" s="1901"/>
      <c r="B239" s="1922" t="s">
        <v>2364</v>
      </c>
      <c r="C239" s="1925"/>
      <c r="D239" s="1923"/>
      <c r="E239" s="1924"/>
      <c r="F239" s="1924"/>
      <c r="G239" s="1924"/>
      <c r="H239" s="1924"/>
      <c r="I239" s="1924"/>
      <c r="J239" s="1924"/>
      <c r="K239" s="1924"/>
      <c r="L239" s="1924"/>
      <c r="M239" s="1924"/>
    </row>
    <row r="240" spans="1:13" x14ac:dyDescent="0.2">
      <c r="A240" s="1901"/>
      <c r="B240" s="1928" t="s">
        <v>2356</v>
      </c>
      <c r="C240" s="1925">
        <v>47.07</v>
      </c>
      <c r="D240" s="1923" t="s">
        <v>2365</v>
      </c>
      <c r="E240" s="1930">
        <v>0</v>
      </c>
      <c r="F240" s="1929">
        <v>6976</v>
      </c>
      <c r="G240" s="1930">
        <v>0</v>
      </c>
      <c r="H240" s="1933">
        <v>0</v>
      </c>
      <c r="I240" s="1929">
        <v>6976</v>
      </c>
      <c r="J240" s="1930">
        <v>0</v>
      </c>
      <c r="K240" s="1929">
        <v>6976</v>
      </c>
      <c r="L240" s="1929">
        <v>6976</v>
      </c>
      <c r="M240" s="1929">
        <v>96890</v>
      </c>
    </row>
    <row r="241" spans="1:13" x14ac:dyDescent="0.2">
      <c r="A241" s="1901"/>
      <c r="B241" s="1928" t="s">
        <v>2356</v>
      </c>
      <c r="C241" s="1925">
        <v>47.07</v>
      </c>
      <c r="D241" s="1923" t="s">
        <v>2365</v>
      </c>
      <c r="E241" s="1933">
        <v>0</v>
      </c>
      <c r="F241" s="1933">
        <v>49052</v>
      </c>
      <c r="G241" s="1933">
        <v>0</v>
      </c>
      <c r="H241" s="1933">
        <v>0</v>
      </c>
      <c r="I241" s="1933">
        <v>49052</v>
      </c>
      <c r="J241" s="1933">
        <v>0</v>
      </c>
      <c r="K241" s="1933">
        <v>49052</v>
      </c>
      <c r="L241" s="1933">
        <v>49052</v>
      </c>
      <c r="M241" s="1933">
        <v>64878</v>
      </c>
    </row>
    <row r="242" spans="1:13" x14ac:dyDescent="0.2">
      <c r="A242" s="1901"/>
      <c r="B242" s="1928"/>
      <c r="C242" s="1925"/>
      <c r="D242" s="1923"/>
      <c r="E242" s="1924"/>
      <c r="F242" s="1924"/>
      <c r="G242" s="1924"/>
      <c r="H242" s="1924"/>
      <c r="I242" s="1924"/>
      <c r="J242" s="1924"/>
      <c r="K242" s="1924"/>
      <c r="L242" s="1924"/>
      <c r="M242" s="1924"/>
    </row>
    <row r="243" spans="1:13" x14ac:dyDescent="0.2">
      <c r="A243" s="1901"/>
      <c r="B243" s="1922" t="s">
        <v>2366</v>
      </c>
      <c r="C243" s="1925"/>
      <c r="D243" s="1923"/>
      <c r="E243" s="1933"/>
      <c r="F243" s="1933"/>
      <c r="G243" s="1933"/>
      <c r="H243" s="1933"/>
      <c r="I243" s="1933"/>
      <c r="J243" s="1933"/>
      <c r="K243" s="1933"/>
      <c r="L243" s="1933"/>
      <c r="M243" s="1933"/>
    </row>
    <row r="244" spans="1:13" x14ac:dyDescent="0.2">
      <c r="A244" s="1901"/>
      <c r="B244" s="1965" t="s">
        <v>2360</v>
      </c>
      <c r="C244" s="1966">
        <v>47.076000000000001</v>
      </c>
      <c r="D244" s="1907" t="s">
        <v>2367</v>
      </c>
      <c r="E244" s="1967">
        <v>47740</v>
      </c>
      <c r="F244" s="1967">
        <v>1286</v>
      </c>
      <c r="G244" s="1967">
        <v>47740</v>
      </c>
      <c r="H244" s="1933">
        <v>0</v>
      </c>
      <c r="I244" s="1967">
        <v>1286</v>
      </c>
      <c r="J244" s="1930">
        <v>0</v>
      </c>
      <c r="K244" s="1930">
        <v>0</v>
      </c>
      <c r="L244" s="1967">
        <v>49026</v>
      </c>
      <c r="M244" s="1967">
        <v>60593</v>
      </c>
    </row>
    <row r="245" spans="1:13" ht="12" thickBot="1" x14ac:dyDescent="0.25">
      <c r="A245" s="1901"/>
      <c r="B245" s="1968" t="s">
        <v>1362</v>
      </c>
      <c r="C245" s="1969"/>
      <c r="D245" s="1970"/>
      <c r="E245" s="1971">
        <f>SUM(E14:E244)</f>
        <v>653478221.87</v>
      </c>
      <c r="F245" s="1971">
        <f t="shared" ref="F245:M245" si="0">SUM(F14:F244)</f>
        <v>671935902</v>
      </c>
      <c r="G245" s="1971">
        <f t="shared" si="0"/>
        <v>653478221.87</v>
      </c>
      <c r="H245" s="1971">
        <f t="shared" si="0"/>
        <v>42408258</v>
      </c>
      <c r="I245" s="1971">
        <f t="shared" si="0"/>
        <v>671935902</v>
      </c>
      <c r="J245" s="1971">
        <f t="shared" si="0"/>
        <v>43059329</v>
      </c>
      <c r="K245" s="1971">
        <f t="shared" si="0"/>
        <v>106172352</v>
      </c>
      <c r="L245" s="1971">
        <f t="shared" si="0"/>
        <v>1325414123.8699999</v>
      </c>
      <c r="M245" s="1971">
        <f t="shared" si="0"/>
        <v>1036184902.4400001</v>
      </c>
    </row>
    <row r="246" spans="1:13" ht="12" thickTop="1" x14ac:dyDescent="0.2">
      <c r="A246" s="1947"/>
      <c r="B246" s="1947"/>
      <c r="D246" s="1947"/>
      <c r="E246" s="1972"/>
      <c r="F246" s="1972"/>
      <c r="G246" s="1972"/>
      <c r="H246" s="1972"/>
      <c r="I246" s="1972"/>
      <c r="J246" s="1972"/>
      <c r="K246" s="1972"/>
      <c r="L246" s="1972"/>
      <c r="M246" s="1972"/>
    </row>
    <row r="247" spans="1:13" x14ac:dyDescent="0.2">
      <c r="A247" s="1947"/>
      <c r="B247" s="1947" t="s">
        <v>2368</v>
      </c>
      <c r="D247" s="1947"/>
      <c r="E247" s="1909"/>
      <c r="F247" s="1909"/>
      <c r="G247" s="1909"/>
      <c r="H247" s="1909"/>
      <c r="I247" s="1909"/>
      <c r="J247" s="1909"/>
      <c r="K247" s="1909"/>
      <c r="L247" s="1909"/>
      <c r="M247" s="1909"/>
    </row>
    <row r="248" spans="1:13" x14ac:dyDescent="0.2">
      <c r="A248" s="1947"/>
      <c r="B248" s="1947"/>
      <c r="D248" s="1947"/>
      <c r="E248" s="1909"/>
      <c r="F248" s="1909"/>
      <c r="G248" s="1909"/>
      <c r="H248" s="1909"/>
      <c r="I248" s="1909"/>
      <c r="J248" s="1909"/>
      <c r="K248" s="1909"/>
      <c r="L248" s="1909"/>
      <c r="M248" s="1909"/>
    </row>
    <row r="249" spans="1:13" x14ac:dyDescent="0.2">
      <c r="A249" s="1947"/>
      <c r="B249" s="1947" t="s">
        <v>2369</v>
      </c>
      <c r="D249" s="1947"/>
      <c r="E249" s="1947"/>
      <c r="F249" s="1909"/>
      <c r="G249" s="1909"/>
      <c r="H249" s="1909"/>
      <c r="I249" s="1909"/>
      <c r="J249" s="1909"/>
      <c r="K249" s="1909"/>
      <c r="L249" s="1909"/>
      <c r="M249" s="1909"/>
    </row>
    <row r="250" spans="1:13" x14ac:dyDescent="0.2">
      <c r="A250" s="1947"/>
      <c r="B250" s="1947"/>
      <c r="D250" s="1947"/>
      <c r="E250" s="1947"/>
      <c r="F250" s="1909"/>
      <c r="G250" s="1909"/>
      <c r="H250" s="1909"/>
      <c r="I250" s="1909"/>
      <c r="J250" s="1909"/>
      <c r="K250" s="1909"/>
      <c r="L250" s="1909"/>
      <c r="M250" s="1909"/>
    </row>
    <row r="251" spans="1:13" x14ac:dyDescent="0.2">
      <c r="A251" s="1947"/>
      <c r="B251" s="1947" t="s">
        <v>2370</v>
      </c>
      <c r="D251" s="1947"/>
      <c r="E251" s="1947"/>
      <c r="G251" s="1909"/>
      <c r="H251" s="1909"/>
      <c r="I251" s="1909"/>
      <c r="J251" s="1909"/>
      <c r="K251" s="1909"/>
      <c r="L251" s="1909"/>
      <c r="M251" s="1909"/>
    </row>
    <row r="252" spans="1:13" x14ac:dyDescent="0.2">
      <c r="A252" s="1947"/>
      <c r="B252" s="1947"/>
      <c r="D252" s="1947"/>
      <c r="E252" s="1947"/>
      <c r="F252" s="1909"/>
      <c r="G252" s="1909"/>
      <c r="H252" s="1909"/>
      <c r="I252" s="1909"/>
      <c r="J252" s="1909"/>
      <c r="K252" s="1909"/>
      <c r="L252" s="1909"/>
      <c r="M252" s="1909"/>
    </row>
    <row r="253" spans="1:13" x14ac:dyDescent="0.2">
      <c r="A253" s="1947"/>
      <c r="B253" s="1947" t="s">
        <v>2371</v>
      </c>
      <c r="D253" s="1947"/>
      <c r="E253" s="1947"/>
      <c r="F253" s="1909"/>
      <c r="G253" s="1909"/>
      <c r="H253" s="1909"/>
      <c r="I253" s="1909"/>
      <c r="J253" s="1909"/>
      <c r="K253" s="1909"/>
      <c r="L253" s="1909"/>
      <c r="M253" s="1909"/>
    </row>
    <row r="254" spans="1:13" x14ac:dyDescent="0.2">
      <c r="A254" s="1947"/>
      <c r="B254" s="1947" t="s">
        <v>2372</v>
      </c>
      <c r="D254" s="1947"/>
      <c r="E254" s="1947"/>
      <c r="F254" s="1909"/>
      <c r="G254" s="1909"/>
      <c r="H254" s="1909"/>
      <c r="I254" s="1909"/>
      <c r="J254" s="1909"/>
      <c r="K254" s="1909"/>
      <c r="L254" s="1909"/>
      <c r="M254" s="1909"/>
    </row>
    <row r="255" spans="1:13" x14ac:dyDescent="0.2">
      <c r="A255" s="1947"/>
      <c r="B255" s="1947"/>
      <c r="D255" s="1947"/>
      <c r="E255" s="1947"/>
      <c r="F255" s="1909"/>
      <c r="G255" s="1909"/>
      <c r="H255" s="1909"/>
      <c r="I255" s="1909"/>
      <c r="J255" s="1909"/>
      <c r="K255" s="1909"/>
      <c r="L255" s="1909"/>
      <c r="M255" s="1909"/>
    </row>
    <row r="256" spans="1:13" x14ac:dyDescent="0.2">
      <c r="A256" s="1947"/>
      <c r="B256" s="1947" t="s">
        <v>2373</v>
      </c>
      <c r="D256" s="1947"/>
      <c r="E256" s="1947"/>
      <c r="F256" s="1909"/>
      <c r="G256" s="1909"/>
      <c r="H256" s="1909"/>
      <c r="I256" s="1909"/>
      <c r="J256" s="1909"/>
      <c r="K256" s="1909"/>
      <c r="L256" s="1909"/>
      <c r="M256" s="1909"/>
    </row>
    <row r="257" spans="1:13" x14ac:dyDescent="0.2">
      <c r="A257" s="1947"/>
      <c r="B257" s="1947" t="s">
        <v>2374</v>
      </c>
      <c r="D257" s="1947"/>
      <c r="E257" s="1947"/>
      <c r="F257" s="1909"/>
      <c r="G257" s="1909"/>
      <c r="H257" s="1909"/>
      <c r="I257" s="1909"/>
      <c r="J257" s="1909"/>
      <c r="K257" s="1909"/>
      <c r="L257" s="1909"/>
      <c r="M257" s="1909"/>
    </row>
    <row r="258" spans="1:13" x14ac:dyDescent="0.2">
      <c r="A258" s="1947"/>
      <c r="B258" s="1947"/>
      <c r="D258" s="1947"/>
      <c r="E258" s="1947"/>
      <c r="F258" s="1909"/>
      <c r="G258" s="1909"/>
      <c r="H258" s="1909"/>
      <c r="I258" s="1909"/>
      <c r="J258" s="1909"/>
      <c r="K258" s="1909"/>
      <c r="L258" s="1909"/>
      <c r="M258" s="1909"/>
    </row>
    <row r="259" spans="1:13" x14ac:dyDescent="0.2">
      <c r="A259" s="1947"/>
      <c r="B259" s="1947" t="s">
        <v>2375</v>
      </c>
      <c r="D259" s="1947"/>
      <c r="E259" s="1947"/>
      <c r="F259" s="1909"/>
      <c r="G259" s="1909"/>
      <c r="H259" s="1909"/>
      <c r="I259" s="1909"/>
      <c r="J259" s="1909"/>
      <c r="K259" s="1909"/>
      <c r="L259" s="1909"/>
      <c r="M259" s="1909"/>
    </row>
    <row r="260" spans="1:13" x14ac:dyDescent="0.2">
      <c r="A260" s="1947"/>
      <c r="B260" s="1947"/>
      <c r="D260" s="1947"/>
      <c r="E260" s="1947"/>
      <c r="F260" s="1909"/>
      <c r="G260" s="1909"/>
      <c r="H260" s="1909"/>
      <c r="I260" s="1909"/>
      <c r="J260" s="1909"/>
      <c r="K260" s="1909"/>
      <c r="L260" s="1909"/>
      <c r="M260" s="1909"/>
    </row>
    <row r="261" spans="1:13" x14ac:dyDescent="0.2">
      <c r="A261" s="1947"/>
      <c r="B261" s="1947" t="s">
        <v>2376</v>
      </c>
      <c r="D261" s="1947"/>
      <c r="E261" s="1947"/>
      <c r="F261" s="1909"/>
      <c r="G261" s="1909"/>
      <c r="H261" s="1909"/>
      <c r="I261" s="1909"/>
      <c r="J261" s="1909"/>
      <c r="K261" s="1909"/>
      <c r="L261" s="1909"/>
      <c r="M261" s="1909"/>
    </row>
    <row r="262" spans="1:13" x14ac:dyDescent="0.2">
      <c r="A262" s="1947"/>
      <c r="B262" s="1947" t="s">
        <v>2377</v>
      </c>
      <c r="D262" s="1947"/>
      <c r="E262" s="1947"/>
      <c r="F262" s="1909"/>
      <c r="G262" s="1909"/>
      <c r="H262" s="1909"/>
      <c r="I262" s="1909"/>
      <c r="J262" s="1909"/>
      <c r="K262" s="1909"/>
      <c r="L262" s="1909"/>
      <c r="M262" s="1909"/>
    </row>
    <row r="263" spans="1:13" x14ac:dyDescent="0.2">
      <c r="A263" s="1947"/>
      <c r="B263" s="1947"/>
      <c r="D263" s="1947"/>
      <c r="E263" s="1947"/>
      <c r="F263" s="1909"/>
      <c r="G263" s="1909"/>
      <c r="H263" s="1909"/>
      <c r="I263" s="1909"/>
      <c r="J263" s="1909"/>
      <c r="K263" s="1909"/>
      <c r="L263" s="1909"/>
      <c r="M263" s="1909"/>
    </row>
    <row r="264" spans="1:13" x14ac:dyDescent="0.2">
      <c r="A264" s="1947"/>
      <c r="B264" s="1947"/>
      <c r="D264" s="1947"/>
      <c r="E264" s="1947"/>
      <c r="F264" s="1909"/>
      <c r="G264" s="1909"/>
      <c r="H264" s="1909"/>
      <c r="I264" s="1909"/>
      <c r="J264" s="1909"/>
      <c r="K264" s="1909"/>
      <c r="L264" s="1909"/>
      <c r="M264" s="1909"/>
    </row>
    <row r="265" spans="1:13" x14ac:dyDescent="0.2">
      <c r="A265" s="1947"/>
      <c r="B265" s="1947"/>
      <c r="D265" s="1947"/>
      <c r="E265" s="1947"/>
      <c r="F265" s="1909"/>
      <c r="G265" s="1909"/>
      <c r="H265" s="1909"/>
      <c r="I265" s="1909"/>
      <c r="J265" s="1909"/>
      <c r="K265" s="1909"/>
      <c r="L265" s="1909"/>
      <c r="M265" s="1909"/>
    </row>
    <row r="266" spans="1:13" x14ac:dyDescent="0.2">
      <c r="A266" s="1947"/>
      <c r="B266" s="1947"/>
      <c r="D266" s="1947"/>
      <c r="E266" s="1947"/>
      <c r="F266" s="1909"/>
      <c r="G266" s="1909"/>
      <c r="H266" s="1909"/>
      <c r="I266" s="1909"/>
      <c r="J266" s="1909"/>
      <c r="K266" s="1909"/>
      <c r="L266" s="1909"/>
      <c r="M266" s="1909"/>
    </row>
    <row r="267" spans="1:13" x14ac:dyDescent="0.2">
      <c r="A267" s="1947"/>
      <c r="B267" s="1947"/>
      <c r="D267" s="1947"/>
      <c r="E267" s="1947"/>
      <c r="F267" s="1909"/>
      <c r="G267" s="1909"/>
      <c r="H267" s="1909"/>
      <c r="I267" s="1909"/>
      <c r="J267" s="1909"/>
      <c r="K267" s="1909"/>
      <c r="L267" s="1909"/>
      <c r="M267" s="1909"/>
    </row>
    <row r="268" spans="1:13" x14ac:dyDescent="0.2">
      <c r="A268" s="1947"/>
      <c r="B268" s="1947"/>
      <c r="D268" s="1947"/>
      <c r="E268" s="1947"/>
      <c r="F268" s="1909"/>
      <c r="G268" s="1909"/>
      <c r="H268" s="1909"/>
      <c r="I268" s="1909"/>
      <c r="J268" s="1909"/>
      <c r="K268" s="1909"/>
      <c r="L268" s="1909"/>
      <c r="M268" s="1909"/>
    </row>
    <row r="269" spans="1:13" x14ac:dyDescent="0.2">
      <c r="A269" s="1947"/>
      <c r="B269" s="1947"/>
      <c r="D269" s="1947"/>
      <c r="E269" s="1947"/>
      <c r="F269" s="1909"/>
      <c r="G269" s="1909"/>
      <c r="H269" s="1909"/>
      <c r="I269" s="1909"/>
      <c r="J269" s="1909"/>
      <c r="K269" s="1909"/>
      <c r="L269" s="1909"/>
      <c r="M269" s="1909"/>
    </row>
    <row r="270" spans="1:13" x14ac:dyDescent="0.2">
      <c r="A270" s="1947"/>
      <c r="B270" s="1947"/>
      <c r="D270" s="1947"/>
      <c r="E270" s="1947"/>
      <c r="F270" s="1909"/>
      <c r="G270" s="1909"/>
      <c r="H270" s="1909"/>
      <c r="I270" s="1909"/>
      <c r="J270" s="1909"/>
      <c r="K270" s="1909"/>
      <c r="L270" s="1909"/>
      <c r="M270" s="1909"/>
    </row>
    <row r="271" spans="1:13" x14ac:dyDescent="0.2">
      <c r="A271" s="1947"/>
      <c r="B271" s="1947"/>
      <c r="D271" s="1947"/>
      <c r="E271" s="1947"/>
      <c r="F271" s="1909"/>
      <c r="G271" s="1909"/>
      <c r="H271" s="1909"/>
      <c r="I271" s="1909"/>
      <c r="J271" s="1909"/>
      <c r="K271" s="1909"/>
      <c r="L271" s="1909"/>
      <c r="M271" s="1909"/>
    </row>
    <row r="272" spans="1:13" x14ac:dyDescent="0.2">
      <c r="A272" s="1947"/>
      <c r="B272" s="1947"/>
      <c r="D272" s="1947"/>
      <c r="E272" s="1947"/>
      <c r="F272" s="1909"/>
      <c r="G272" s="1909"/>
      <c r="H272" s="1909"/>
      <c r="I272" s="1909"/>
      <c r="J272" s="1909"/>
      <c r="K272" s="1909"/>
      <c r="L272" s="1909"/>
      <c r="M272" s="1909"/>
    </row>
    <row r="273" spans="1:13" x14ac:dyDescent="0.2">
      <c r="A273" s="1947"/>
      <c r="B273" s="1947"/>
      <c r="D273" s="1947"/>
      <c r="E273" s="1947"/>
      <c r="F273" s="1909"/>
      <c r="G273" s="1909"/>
      <c r="H273" s="1909"/>
      <c r="I273" s="1909"/>
      <c r="J273" s="1909"/>
      <c r="K273" s="1909"/>
      <c r="L273" s="1909"/>
      <c r="M273" s="1909"/>
    </row>
    <row r="274" spans="1:13" x14ac:dyDescent="0.2">
      <c r="A274" s="1947"/>
      <c r="B274" s="1947"/>
      <c r="D274" s="1947"/>
      <c r="E274" s="1947"/>
      <c r="F274" s="1909"/>
      <c r="G274" s="1909"/>
      <c r="H274" s="1909"/>
      <c r="I274" s="1909"/>
      <c r="J274" s="1909"/>
      <c r="K274" s="1909"/>
      <c r="L274" s="1909"/>
      <c r="M274" s="1909"/>
    </row>
    <row r="275" spans="1:13" x14ac:dyDescent="0.2">
      <c r="A275" s="1947"/>
      <c r="B275" s="1947"/>
      <c r="D275" s="1947"/>
      <c r="E275" s="1947"/>
      <c r="F275" s="1909"/>
      <c r="G275" s="1909"/>
      <c r="H275" s="1909"/>
      <c r="I275" s="1909"/>
      <c r="J275" s="1909"/>
      <c r="K275" s="1909"/>
      <c r="L275" s="1909"/>
      <c r="M275" s="1909"/>
    </row>
    <row r="276" spans="1:13" x14ac:dyDescent="0.2">
      <c r="A276" s="1947"/>
      <c r="B276" s="1947"/>
      <c r="D276" s="1947"/>
      <c r="E276" s="1947"/>
      <c r="F276" s="1909"/>
      <c r="G276" s="1909"/>
      <c r="H276" s="1909"/>
      <c r="I276" s="1909"/>
      <c r="J276" s="1909"/>
      <c r="K276" s="1909"/>
      <c r="L276" s="1909"/>
      <c r="M276" s="1909"/>
    </row>
    <row r="277" spans="1:13" x14ac:dyDescent="0.2">
      <c r="A277" s="1947"/>
      <c r="B277" s="1947"/>
      <c r="D277" s="1947"/>
      <c r="E277" s="1947"/>
      <c r="F277" s="1909"/>
      <c r="G277" s="1909"/>
      <c r="H277" s="1909"/>
      <c r="I277" s="1909"/>
      <c r="J277" s="1909"/>
      <c r="K277" s="1909"/>
      <c r="L277" s="1909"/>
      <c r="M277" s="1909"/>
    </row>
    <row r="278" spans="1:13" x14ac:dyDescent="0.2">
      <c r="A278" s="1947"/>
      <c r="B278" s="1947"/>
      <c r="D278" s="1947"/>
      <c r="E278" s="1947"/>
      <c r="F278" s="1909"/>
      <c r="G278" s="1909"/>
      <c r="H278" s="1909"/>
      <c r="I278" s="1909"/>
      <c r="J278" s="1909"/>
      <c r="K278" s="1909"/>
      <c r="L278" s="1909"/>
      <c r="M278" s="1909"/>
    </row>
    <row r="279" spans="1:13" x14ac:dyDescent="0.2">
      <c r="A279" s="1947"/>
      <c r="B279" s="1947"/>
      <c r="D279" s="1947"/>
      <c r="E279" s="1947"/>
      <c r="F279" s="1909"/>
      <c r="G279" s="1909"/>
      <c r="H279" s="1909"/>
      <c r="I279" s="1909"/>
      <c r="J279" s="1909"/>
      <c r="K279" s="1909"/>
      <c r="L279" s="1909"/>
      <c r="M279" s="1909"/>
    </row>
    <row r="280" spans="1:13" x14ac:dyDescent="0.2">
      <c r="A280" s="1947"/>
      <c r="B280" s="1947"/>
      <c r="D280" s="1947"/>
      <c r="E280" s="1947"/>
      <c r="F280" s="1909"/>
      <c r="G280" s="1909"/>
      <c r="H280" s="1909"/>
      <c r="I280" s="1909"/>
      <c r="J280" s="1909"/>
      <c r="K280" s="1909"/>
      <c r="L280" s="1909"/>
      <c r="M280" s="1909"/>
    </row>
    <row r="281" spans="1:13" x14ac:dyDescent="0.2">
      <c r="A281" s="1947"/>
      <c r="B281" s="1947"/>
      <c r="D281" s="1947"/>
      <c r="E281" s="1947"/>
      <c r="F281" s="1909"/>
      <c r="G281" s="1909"/>
      <c r="H281" s="1909"/>
      <c r="I281" s="1909"/>
      <c r="J281" s="1909"/>
      <c r="K281" s="1909"/>
      <c r="L281" s="1909"/>
      <c r="M281" s="1909"/>
    </row>
    <row r="282" spans="1:13" x14ac:dyDescent="0.2">
      <c r="A282" s="1947"/>
      <c r="B282" s="1947"/>
      <c r="D282" s="1947"/>
      <c r="E282" s="1947"/>
      <c r="F282" s="1909"/>
      <c r="G282" s="1909"/>
      <c r="H282" s="1909"/>
      <c r="I282" s="1909"/>
      <c r="J282" s="1909"/>
      <c r="K282" s="1909"/>
      <c r="L282" s="1909"/>
      <c r="M282" s="1909"/>
    </row>
    <row r="283" spans="1:13" x14ac:dyDescent="0.2">
      <c r="A283" s="1947"/>
      <c r="B283" s="1947"/>
      <c r="D283" s="1947"/>
      <c r="E283" s="1947"/>
      <c r="F283" s="1909"/>
      <c r="G283" s="1909"/>
      <c r="H283" s="1909"/>
      <c r="I283" s="1909"/>
      <c r="J283" s="1909"/>
      <c r="K283" s="1909"/>
      <c r="L283" s="1909"/>
      <c r="M283" s="1909"/>
    </row>
    <row r="284" spans="1:13" x14ac:dyDescent="0.2">
      <c r="A284" s="1947"/>
      <c r="B284" s="1947"/>
      <c r="D284" s="1947"/>
      <c r="E284" s="1947"/>
      <c r="F284" s="1909"/>
      <c r="G284" s="1909"/>
      <c r="H284" s="1909"/>
      <c r="I284" s="1909"/>
      <c r="J284" s="1909"/>
      <c r="K284" s="1909"/>
      <c r="L284" s="1909"/>
      <c r="M284" s="1909"/>
    </row>
    <row r="285" spans="1:13" x14ac:dyDescent="0.2">
      <c r="A285" s="1947"/>
      <c r="B285" s="1947"/>
      <c r="D285" s="1947"/>
      <c r="E285" s="1947"/>
      <c r="F285" s="1909"/>
      <c r="G285" s="1909"/>
      <c r="H285" s="1909"/>
      <c r="I285" s="1909"/>
      <c r="J285" s="1909"/>
      <c r="K285" s="1909"/>
      <c r="L285" s="1909"/>
      <c r="M285" s="1909"/>
    </row>
    <row r="286" spans="1:13" x14ac:dyDescent="0.2">
      <c r="A286" s="1947"/>
      <c r="B286" s="1947"/>
      <c r="D286" s="1947"/>
      <c r="E286" s="1947"/>
      <c r="F286" s="1909"/>
      <c r="G286" s="1909"/>
      <c r="H286" s="1909"/>
      <c r="I286" s="1909"/>
      <c r="J286" s="1909"/>
      <c r="K286" s="1909"/>
      <c r="L286" s="1909"/>
      <c r="M286" s="1909"/>
    </row>
    <row r="287" spans="1:13" x14ac:dyDescent="0.2">
      <c r="A287" s="1947"/>
      <c r="B287" s="1947"/>
      <c r="D287" s="1947"/>
      <c r="E287" s="1947"/>
      <c r="F287" s="1909"/>
      <c r="G287" s="1909"/>
      <c r="H287" s="1909"/>
      <c r="I287" s="1909"/>
      <c r="J287" s="1909"/>
      <c r="K287" s="1909"/>
      <c r="L287" s="1909"/>
      <c r="M287" s="1909"/>
    </row>
    <row r="288" spans="1:13" x14ac:dyDescent="0.2">
      <c r="A288" s="1947"/>
      <c r="B288" s="1947"/>
      <c r="D288" s="1947"/>
      <c r="E288" s="1947"/>
      <c r="F288" s="1909"/>
      <c r="G288" s="1909"/>
      <c r="H288" s="1909"/>
      <c r="I288" s="1909"/>
      <c r="J288" s="1909"/>
      <c r="K288" s="1909"/>
      <c r="L288" s="1909"/>
      <c r="M288" s="1909"/>
    </row>
    <row r="289" spans="1:13" x14ac:dyDescent="0.2">
      <c r="A289" s="1947"/>
      <c r="B289" s="1947"/>
      <c r="D289" s="1947"/>
      <c r="E289" s="1947"/>
      <c r="F289" s="1909"/>
      <c r="G289" s="1909"/>
      <c r="H289" s="1909"/>
      <c r="I289" s="1909"/>
      <c r="J289" s="1909"/>
      <c r="K289" s="1909"/>
      <c r="L289" s="1909"/>
      <c r="M289" s="1909"/>
    </row>
    <row r="290" spans="1:13" x14ac:dyDescent="0.2">
      <c r="A290" s="1947"/>
      <c r="B290" s="1947"/>
      <c r="D290" s="1947"/>
      <c r="E290" s="1947"/>
      <c r="F290" s="1909"/>
      <c r="G290" s="1909"/>
      <c r="H290" s="1909"/>
      <c r="I290" s="1909"/>
      <c r="J290" s="1909"/>
      <c r="K290" s="1909"/>
      <c r="L290" s="1909"/>
      <c r="M290" s="1909"/>
    </row>
    <row r="291" spans="1:13" x14ac:dyDescent="0.2">
      <c r="A291" s="1947"/>
      <c r="B291" s="1947"/>
      <c r="D291" s="1947"/>
      <c r="E291" s="1947"/>
      <c r="F291" s="1909"/>
      <c r="G291" s="1909"/>
      <c r="H291" s="1909"/>
      <c r="I291" s="1909"/>
      <c r="J291" s="1909"/>
      <c r="K291" s="1909"/>
      <c r="L291" s="1909"/>
      <c r="M291" s="1909"/>
    </row>
    <row r="292" spans="1:13" x14ac:dyDescent="0.2">
      <c r="A292" s="1947"/>
      <c r="B292" s="1947"/>
      <c r="D292" s="1947"/>
      <c r="E292" s="1947"/>
      <c r="F292" s="1909"/>
      <c r="G292" s="1909"/>
      <c r="H292" s="1909"/>
      <c r="I292" s="1909"/>
      <c r="J292" s="1909"/>
      <c r="K292" s="1909"/>
      <c r="L292" s="1909"/>
      <c r="M292" s="1909"/>
    </row>
    <row r="293" spans="1:13" x14ac:dyDescent="0.2">
      <c r="A293" s="1947"/>
      <c r="B293" s="1947"/>
      <c r="D293" s="1947"/>
      <c r="E293" s="1947"/>
      <c r="F293" s="1909"/>
      <c r="G293" s="1909"/>
      <c r="H293" s="1909"/>
      <c r="I293" s="1909"/>
      <c r="J293" s="1909"/>
      <c r="K293" s="1909"/>
      <c r="L293" s="1909"/>
      <c r="M293" s="1909"/>
    </row>
    <row r="294" spans="1:13" x14ac:dyDescent="0.2">
      <c r="A294" s="1947"/>
      <c r="B294" s="1947"/>
      <c r="D294" s="1947"/>
      <c r="E294" s="1947"/>
      <c r="F294" s="1909"/>
      <c r="G294" s="1909"/>
      <c r="H294" s="1909"/>
      <c r="I294" s="1909"/>
      <c r="J294" s="1909"/>
      <c r="K294" s="1909"/>
      <c r="L294" s="1909"/>
      <c r="M294" s="1909"/>
    </row>
    <row r="295" spans="1:13" x14ac:dyDescent="0.2">
      <c r="A295" s="1947"/>
      <c r="B295" s="1947"/>
      <c r="D295" s="1947"/>
      <c r="E295" s="1947"/>
      <c r="F295" s="1909"/>
      <c r="G295" s="1909"/>
      <c r="H295" s="1909"/>
      <c r="I295" s="1909"/>
      <c r="J295" s="1909"/>
      <c r="K295" s="1909"/>
      <c r="L295" s="1909"/>
      <c r="M295" s="1909"/>
    </row>
    <row r="296" spans="1:13" x14ac:dyDescent="0.2">
      <c r="A296" s="1947"/>
      <c r="B296" s="1947"/>
      <c r="D296" s="1947"/>
      <c r="E296" s="1947"/>
      <c r="F296" s="1909"/>
      <c r="G296" s="1909"/>
      <c r="H296" s="1909"/>
      <c r="I296" s="1909"/>
      <c r="J296" s="1909"/>
      <c r="K296" s="1909"/>
      <c r="L296" s="1909"/>
      <c r="M296" s="1909"/>
    </row>
    <row r="297" spans="1:13" x14ac:dyDescent="0.2">
      <c r="A297" s="1947"/>
      <c r="B297" s="1947"/>
      <c r="D297" s="1947"/>
      <c r="E297" s="1947"/>
      <c r="F297" s="1909"/>
      <c r="G297" s="1909"/>
      <c r="H297" s="1909"/>
      <c r="I297" s="1909"/>
      <c r="J297" s="1909"/>
      <c r="K297" s="1909"/>
      <c r="L297" s="1909"/>
      <c r="M297" s="1909"/>
    </row>
    <row r="298" spans="1:13" x14ac:dyDescent="0.2">
      <c r="A298" s="1947"/>
      <c r="B298" s="1947"/>
      <c r="D298" s="1947"/>
      <c r="E298" s="1947"/>
      <c r="F298" s="1909"/>
      <c r="G298" s="1909"/>
      <c r="H298" s="1909"/>
      <c r="I298" s="1909"/>
      <c r="J298" s="1909"/>
      <c r="K298" s="1909"/>
      <c r="L298" s="1909"/>
      <c r="M298" s="1909"/>
    </row>
    <row r="299" spans="1:13" x14ac:dyDescent="0.2">
      <c r="A299" s="1947"/>
      <c r="B299" s="1947"/>
      <c r="D299" s="1947"/>
      <c r="E299" s="1947"/>
      <c r="F299" s="1909"/>
      <c r="G299" s="1909"/>
      <c r="H299" s="1909"/>
      <c r="I299" s="1909"/>
      <c r="J299" s="1909"/>
      <c r="K299" s="1909"/>
      <c r="L299" s="1909"/>
      <c r="M299" s="1909"/>
    </row>
    <row r="300" spans="1:13" x14ac:dyDescent="0.2">
      <c r="A300" s="1947"/>
      <c r="B300" s="1947"/>
      <c r="D300" s="1947"/>
      <c r="E300" s="1947"/>
      <c r="F300" s="1909"/>
      <c r="G300" s="1909"/>
      <c r="H300" s="1909"/>
      <c r="I300" s="1909"/>
      <c r="J300" s="1909"/>
      <c r="K300" s="1909"/>
      <c r="L300" s="1909"/>
      <c r="M300" s="1909"/>
    </row>
    <row r="301" spans="1:13" x14ac:dyDescent="0.2">
      <c r="A301" s="1947"/>
      <c r="B301" s="1947"/>
      <c r="D301" s="1947"/>
      <c r="E301" s="1947"/>
      <c r="F301" s="1909"/>
      <c r="G301" s="1909"/>
      <c r="H301" s="1909"/>
      <c r="I301" s="1909"/>
      <c r="J301" s="1909"/>
      <c r="K301" s="1909"/>
      <c r="L301" s="1909"/>
      <c r="M301" s="1909"/>
    </row>
    <row r="302" spans="1:13" x14ac:dyDescent="0.2">
      <c r="A302" s="1947"/>
      <c r="B302" s="1947"/>
      <c r="D302" s="1947"/>
      <c r="E302" s="1947"/>
      <c r="F302" s="1909"/>
      <c r="G302" s="1909"/>
      <c r="H302" s="1909"/>
      <c r="I302" s="1909"/>
      <c r="J302" s="1909"/>
      <c r="K302" s="1909"/>
      <c r="L302" s="1909"/>
      <c r="M302" s="1909"/>
    </row>
    <row r="303" spans="1:13" x14ac:dyDescent="0.2">
      <c r="A303" s="1947"/>
      <c r="B303" s="1947"/>
      <c r="D303" s="1947"/>
      <c r="E303" s="1947"/>
      <c r="F303" s="1909"/>
      <c r="G303" s="1909"/>
      <c r="H303" s="1909"/>
      <c r="I303" s="1909"/>
      <c r="J303" s="1909"/>
      <c r="K303" s="1909"/>
      <c r="L303" s="1909"/>
      <c r="M303" s="1909"/>
    </row>
    <row r="304" spans="1:13" x14ac:dyDescent="0.2">
      <c r="A304" s="1947"/>
      <c r="B304" s="1947"/>
      <c r="D304" s="1947"/>
      <c r="E304" s="1947"/>
      <c r="F304" s="1909"/>
      <c r="G304" s="1909"/>
      <c r="H304" s="1909"/>
      <c r="I304" s="1909"/>
      <c r="J304" s="1909"/>
      <c r="K304" s="1909"/>
      <c r="L304" s="1909"/>
      <c r="M304" s="1909"/>
    </row>
    <row r="305" spans="1:13" x14ac:dyDescent="0.2">
      <c r="A305" s="1947"/>
      <c r="B305" s="1947"/>
      <c r="D305" s="1947"/>
      <c r="E305" s="1947"/>
      <c r="F305" s="1909"/>
      <c r="G305" s="1909"/>
      <c r="H305" s="1909"/>
      <c r="I305" s="1909"/>
      <c r="J305" s="1909"/>
      <c r="K305" s="1909"/>
      <c r="L305" s="1909"/>
      <c r="M305" s="1909"/>
    </row>
    <row r="306" spans="1:13" x14ac:dyDescent="0.2">
      <c r="A306" s="1947"/>
      <c r="B306" s="1947"/>
      <c r="D306" s="1947"/>
      <c r="E306" s="1947"/>
      <c r="F306" s="1909"/>
      <c r="G306" s="1909"/>
      <c r="H306" s="1909"/>
      <c r="I306" s="1909"/>
      <c r="J306" s="1909"/>
      <c r="K306" s="1909"/>
      <c r="L306" s="1909"/>
      <c r="M306" s="1909"/>
    </row>
    <row r="307" spans="1:13" x14ac:dyDescent="0.2">
      <c r="A307" s="1947"/>
      <c r="B307" s="1947"/>
      <c r="D307" s="1947"/>
      <c r="E307" s="1947"/>
      <c r="F307" s="1909"/>
      <c r="G307" s="1909"/>
      <c r="H307" s="1909"/>
      <c r="I307" s="1909"/>
      <c r="J307" s="1909"/>
      <c r="K307" s="1909"/>
      <c r="L307" s="1909"/>
      <c r="M307" s="1909"/>
    </row>
    <row r="308" spans="1:13" x14ac:dyDescent="0.2">
      <c r="A308" s="1947"/>
      <c r="B308" s="1947"/>
      <c r="D308" s="1947"/>
      <c r="E308" s="1947"/>
      <c r="F308" s="1909"/>
      <c r="G308" s="1909"/>
      <c r="H308" s="1909"/>
      <c r="I308" s="1909"/>
      <c r="J308" s="1909"/>
      <c r="K308" s="1909"/>
      <c r="L308" s="1909"/>
      <c r="M308" s="1909"/>
    </row>
    <row r="309" spans="1:13" x14ac:dyDescent="0.2">
      <c r="A309" s="1947"/>
      <c r="B309" s="1947"/>
      <c r="D309" s="1947"/>
      <c r="E309" s="1947"/>
      <c r="F309" s="1909"/>
      <c r="G309" s="1909"/>
      <c r="H309" s="1909"/>
      <c r="I309" s="1909"/>
      <c r="J309" s="1909"/>
      <c r="K309" s="1909"/>
      <c r="L309" s="1909"/>
      <c r="M309" s="1909"/>
    </row>
    <row r="310" spans="1:13" x14ac:dyDescent="0.2">
      <c r="A310" s="1947"/>
      <c r="B310" s="1947"/>
      <c r="D310" s="1947"/>
      <c r="E310" s="1947"/>
      <c r="F310" s="1909"/>
      <c r="G310" s="1909"/>
      <c r="H310" s="1909"/>
      <c r="I310" s="1909"/>
      <c r="J310" s="1909"/>
      <c r="K310" s="1909"/>
      <c r="L310" s="1909"/>
      <c r="M310" s="1909"/>
    </row>
    <row r="311" spans="1:13" x14ac:dyDescent="0.2">
      <c r="A311" s="1947"/>
      <c r="B311" s="1947"/>
      <c r="D311" s="1947"/>
      <c r="E311" s="1947"/>
      <c r="F311" s="1909"/>
      <c r="G311" s="1909"/>
      <c r="H311" s="1909"/>
      <c r="I311" s="1909"/>
      <c r="J311" s="1909"/>
      <c r="K311" s="1909"/>
      <c r="L311" s="1909"/>
      <c r="M311" s="1909"/>
    </row>
    <row r="312" spans="1:13" x14ac:dyDescent="0.2">
      <c r="A312" s="1947"/>
      <c r="B312" s="1947"/>
      <c r="D312" s="1947"/>
      <c r="E312" s="1947"/>
      <c r="F312" s="1909"/>
      <c r="G312" s="1909"/>
      <c r="H312" s="1909"/>
      <c r="I312" s="1909"/>
      <c r="J312" s="1909"/>
      <c r="K312" s="1909"/>
      <c r="L312" s="1909"/>
      <c r="M312" s="1909"/>
    </row>
    <row r="313" spans="1:13" x14ac:dyDescent="0.2">
      <c r="A313" s="1947"/>
      <c r="B313" s="1947"/>
      <c r="D313" s="1947"/>
      <c r="E313" s="1947"/>
      <c r="F313" s="1909"/>
      <c r="G313" s="1909"/>
      <c r="H313" s="1909"/>
      <c r="I313" s="1909"/>
      <c r="J313" s="1909"/>
      <c r="K313" s="1909"/>
      <c r="L313" s="1909"/>
      <c r="M313" s="1909"/>
    </row>
    <row r="314" spans="1:13" x14ac:dyDescent="0.2">
      <c r="A314" s="1947"/>
      <c r="B314" s="1947"/>
      <c r="D314" s="1947"/>
      <c r="E314" s="1947"/>
      <c r="F314" s="1909"/>
      <c r="G314" s="1909"/>
      <c r="H314" s="1909"/>
      <c r="I314" s="1909"/>
      <c r="J314" s="1909"/>
      <c r="K314" s="1909"/>
      <c r="L314" s="1909"/>
      <c r="M314" s="1909"/>
    </row>
    <row r="315" spans="1:13" x14ac:dyDescent="0.2">
      <c r="A315" s="1947"/>
      <c r="B315" s="1947"/>
      <c r="D315" s="1947"/>
      <c r="E315" s="1947"/>
      <c r="F315" s="1909"/>
      <c r="G315" s="1909"/>
      <c r="H315" s="1909"/>
      <c r="I315" s="1909"/>
      <c r="J315" s="1909"/>
      <c r="K315" s="1909"/>
      <c r="L315" s="1909"/>
      <c r="M315" s="1909"/>
    </row>
    <row r="316" spans="1:13" x14ac:dyDescent="0.2">
      <c r="A316" s="1947"/>
      <c r="B316" s="1947"/>
      <c r="D316" s="1947"/>
      <c r="E316" s="1947"/>
      <c r="F316" s="1909"/>
      <c r="G316" s="1909"/>
      <c r="H316" s="1909"/>
      <c r="I316" s="1909"/>
      <c r="J316" s="1909"/>
      <c r="K316" s="1909"/>
      <c r="L316" s="1909"/>
      <c r="M316" s="1909"/>
    </row>
    <row r="317" spans="1:13" x14ac:dyDescent="0.2">
      <c r="A317" s="1947"/>
      <c r="B317" s="1947"/>
      <c r="D317" s="1947"/>
      <c r="E317" s="1947"/>
      <c r="F317" s="1909"/>
      <c r="G317" s="1909"/>
      <c r="H317" s="1909"/>
      <c r="I317" s="1909"/>
      <c r="J317" s="1909"/>
      <c r="K317" s="1909"/>
      <c r="L317" s="1909"/>
      <c r="M317" s="1909"/>
    </row>
    <row r="318" spans="1:13" x14ac:dyDescent="0.2">
      <c r="A318" s="1947"/>
      <c r="B318" s="1947"/>
      <c r="D318" s="1947"/>
      <c r="E318" s="1947"/>
      <c r="F318" s="1909"/>
      <c r="G318" s="1909"/>
      <c r="H318" s="1909"/>
      <c r="I318" s="1909"/>
      <c r="J318" s="1909"/>
      <c r="K318" s="1909"/>
      <c r="L318" s="1909"/>
      <c r="M318" s="1909"/>
    </row>
    <row r="319" spans="1:13" x14ac:dyDescent="0.2">
      <c r="A319" s="1947"/>
      <c r="B319" s="1947"/>
      <c r="D319" s="1947"/>
      <c r="E319" s="1947"/>
      <c r="F319" s="1909"/>
      <c r="G319" s="1909"/>
      <c r="H319" s="1909"/>
      <c r="I319" s="1909"/>
      <c r="J319" s="1909"/>
      <c r="K319" s="1909"/>
      <c r="L319" s="1909"/>
      <c r="M319" s="1909"/>
    </row>
    <row r="320" spans="1:13" x14ac:dyDescent="0.2">
      <c r="A320" s="1947"/>
      <c r="B320" s="1947"/>
      <c r="D320" s="1947"/>
      <c r="E320" s="1947"/>
      <c r="F320" s="1909"/>
      <c r="G320" s="1909"/>
      <c r="H320" s="1909"/>
      <c r="I320" s="1909"/>
      <c r="J320" s="1909"/>
      <c r="K320" s="1909"/>
      <c r="L320" s="1909"/>
      <c r="M320" s="1909"/>
    </row>
    <row r="321" spans="1:13" x14ac:dyDescent="0.2">
      <c r="A321" s="1947"/>
      <c r="B321" s="1947"/>
      <c r="D321" s="1947"/>
      <c r="E321" s="1947"/>
      <c r="F321" s="1909"/>
      <c r="G321" s="1909"/>
      <c r="H321" s="1909"/>
      <c r="I321" s="1909"/>
      <c r="J321" s="1909"/>
      <c r="K321" s="1909"/>
      <c r="L321" s="1909"/>
      <c r="M321" s="1909"/>
    </row>
    <row r="322" spans="1:13" x14ac:dyDescent="0.2">
      <c r="A322" s="1947"/>
      <c r="B322" s="1947"/>
      <c r="D322" s="1947"/>
      <c r="E322" s="1947"/>
      <c r="F322" s="1909"/>
      <c r="G322" s="1909"/>
      <c r="H322" s="1909"/>
      <c r="I322" s="1909"/>
      <c r="J322" s="1909"/>
      <c r="K322" s="1909"/>
      <c r="L322" s="1909"/>
      <c r="M322" s="1909"/>
    </row>
    <row r="323" spans="1:13" x14ac:dyDescent="0.2">
      <c r="A323" s="1947"/>
      <c r="B323" s="1947"/>
      <c r="D323" s="1947"/>
      <c r="E323" s="1947"/>
      <c r="F323" s="1909"/>
      <c r="G323" s="1909"/>
      <c r="H323" s="1909"/>
      <c r="I323" s="1909"/>
      <c r="J323" s="1909"/>
      <c r="K323" s="1909"/>
      <c r="L323" s="1909"/>
      <c r="M323" s="1909"/>
    </row>
    <row r="324" spans="1:13" x14ac:dyDescent="0.2">
      <c r="A324" s="1947"/>
      <c r="B324" s="1947"/>
      <c r="D324" s="1947"/>
      <c r="E324" s="1947"/>
      <c r="F324" s="1909"/>
      <c r="G324" s="1909"/>
      <c r="H324" s="1909"/>
      <c r="I324" s="1909"/>
      <c r="J324" s="1909"/>
      <c r="K324" s="1909"/>
      <c r="L324" s="1909"/>
      <c r="M324" s="1909"/>
    </row>
    <row r="325" spans="1:13" x14ac:dyDescent="0.2">
      <c r="A325" s="1947"/>
      <c r="B325" s="1947"/>
      <c r="D325" s="1947"/>
      <c r="E325" s="1947"/>
      <c r="F325" s="1909"/>
      <c r="G325" s="1909"/>
      <c r="H325" s="1909"/>
      <c r="I325" s="1909"/>
      <c r="J325" s="1909"/>
      <c r="K325" s="1909"/>
      <c r="L325" s="1909"/>
      <c r="M325" s="1909"/>
    </row>
    <row r="326" spans="1:13" x14ac:dyDescent="0.2">
      <c r="A326" s="1947"/>
      <c r="B326" s="1947"/>
      <c r="D326" s="1947"/>
      <c r="E326" s="1947"/>
      <c r="F326" s="1909"/>
      <c r="G326" s="1909"/>
      <c r="H326" s="1909"/>
      <c r="I326" s="1909"/>
      <c r="J326" s="1909"/>
      <c r="K326" s="1909"/>
      <c r="L326" s="1909"/>
      <c r="M326" s="1909"/>
    </row>
    <row r="327" spans="1:13" x14ac:dyDescent="0.2">
      <c r="A327" s="1947"/>
      <c r="B327" s="1947"/>
      <c r="D327" s="1947"/>
      <c r="E327" s="1947"/>
      <c r="F327" s="1909"/>
      <c r="G327" s="1909"/>
      <c r="H327" s="1909"/>
      <c r="I327" s="1909"/>
      <c r="J327" s="1909"/>
      <c r="K327" s="1909"/>
      <c r="L327" s="1909"/>
      <c r="M327" s="1909"/>
    </row>
    <row r="328" spans="1:13" x14ac:dyDescent="0.2">
      <c r="A328" s="1947"/>
      <c r="B328" s="1947"/>
      <c r="D328" s="1947"/>
      <c r="E328" s="1947"/>
      <c r="F328" s="1909"/>
      <c r="G328" s="1909"/>
      <c r="H328" s="1909"/>
      <c r="I328" s="1909"/>
      <c r="J328" s="1909"/>
      <c r="K328" s="1909"/>
      <c r="L328" s="1909"/>
      <c r="M328" s="1909"/>
    </row>
    <row r="329" spans="1:13" x14ac:dyDescent="0.2">
      <c r="A329" s="1947"/>
      <c r="B329" s="1947"/>
      <c r="D329" s="1947"/>
      <c r="E329" s="1947"/>
      <c r="F329" s="1909"/>
      <c r="G329" s="1909"/>
      <c r="H329" s="1909"/>
      <c r="I329" s="1909"/>
      <c r="J329" s="1909"/>
      <c r="K329" s="1909"/>
      <c r="L329" s="1909"/>
      <c r="M329" s="1909"/>
    </row>
    <row r="330" spans="1:13" x14ac:dyDescent="0.2">
      <c r="A330" s="1947"/>
      <c r="B330" s="1947"/>
      <c r="D330" s="1947"/>
      <c r="E330" s="1947"/>
      <c r="F330" s="1909"/>
      <c r="G330" s="1909"/>
      <c r="H330" s="1909"/>
      <c r="I330" s="1909"/>
      <c r="J330" s="1909"/>
      <c r="K330" s="1909"/>
      <c r="L330" s="1909"/>
      <c r="M330" s="1909"/>
    </row>
    <row r="331" spans="1:13" x14ac:dyDescent="0.2">
      <c r="A331" s="1947"/>
      <c r="B331" s="1947"/>
      <c r="D331" s="1947"/>
      <c r="E331" s="1947"/>
      <c r="F331" s="1909"/>
      <c r="G331" s="1909"/>
      <c r="H331" s="1909"/>
      <c r="I331" s="1909"/>
      <c r="J331" s="1909"/>
      <c r="K331" s="1909"/>
      <c r="L331" s="1909"/>
      <c r="M331" s="1909"/>
    </row>
    <row r="332" spans="1:13" x14ac:dyDescent="0.2">
      <c r="A332" s="1947"/>
      <c r="B332" s="1947"/>
      <c r="D332" s="1947"/>
      <c r="E332" s="1947"/>
      <c r="F332" s="1909"/>
      <c r="G332" s="1909"/>
      <c r="H332" s="1909"/>
      <c r="I332" s="1909"/>
      <c r="J332" s="1909"/>
      <c r="K332" s="1909"/>
      <c r="L332" s="1909"/>
      <c r="M332" s="1909"/>
    </row>
    <row r="333" spans="1:13" x14ac:dyDescent="0.2">
      <c r="A333" s="1947"/>
      <c r="B333" s="1947"/>
      <c r="D333" s="1947"/>
      <c r="E333" s="1947"/>
      <c r="F333" s="1909"/>
      <c r="G333" s="1909"/>
      <c r="H333" s="1909"/>
      <c r="I333" s="1909"/>
      <c r="J333" s="1909"/>
      <c r="K333" s="1909"/>
      <c r="L333" s="1909"/>
      <c r="M333" s="1909"/>
    </row>
    <row r="334" spans="1:13" x14ac:dyDescent="0.2">
      <c r="A334" s="1947"/>
      <c r="B334" s="1947"/>
      <c r="D334" s="1947"/>
      <c r="E334" s="1947"/>
      <c r="F334" s="1909"/>
      <c r="G334" s="1909"/>
      <c r="H334" s="1909"/>
      <c r="I334" s="1909"/>
      <c r="J334" s="1909"/>
      <c r="K334" s="1909"/>
      <c r="L334" s="1909"/>
      <c r="M334" s="1909"/>
    </row>
    <row r="335" spans="1:13" x14ac:dyDescent="0.2">
      <c r="A335" s="1947"/>
      <c r="B335" s="1947"/>
      <c r="D335" s="1947"/>
      <c r="E335" s="1947"/>
      <c r="F335" s="1909"/>
      <c r="G335" s="1909"/>
      <c r="H335" s="1909"/>
      <c r="I335" s="1909"/>
      <c r="J335" s="1909"/>
      <c r="K335" s="1909"/>
      <c r="L335" s="1909"/>
      <c r="M335" s="1909"/>
    </row>
    <row r="336" spans="1:13" x14ac:dyDescent="0.2">
      <c r="A336" s="1947"/>
      <c r="B336" s="1947"/>
      <c r="D336" s="1947"/>
      <c r="E336" s="1947"/>
      <c r="F336" s="1909"/>
      <c r="G336" s="1909"/>
      <c r="H336" s="1909"/>
      <c r="I336" s="1909"/>
      <c r="J336" s="1909"/>
      <c r="K336" s="1909"/>
      <c r="L336" s="1909"/>
      <c r="M336" s="1909"/>
    </row>
    <row r="337" spans="1:13" x14ac:dyDescent="0.2">
      <c r="A337" s="1947"/>
      <c r="B337" s="1947"/>
      <c r="D337" s="1947"/>
      <c r="E337" s="1947"/>
      <c r="F337" s="1909"/>
      <c r="G337" s="1909"/>
      <c r="H337" s="1909"/>
      <c r="I337" s="1909"/>
      <c r="J337" s="1909"/>
      <c r="K337" s="1909"/>
      <c r="L337" s="1909"/>
      <c r="M337" s="1909"/>
    </row>
    <row r="338" spans="1:13" x14ac:dyDescent="0.2">
      <c r="A338" s="1947"/>
      <c r="B338" s="1947"/>
      <c r="D338" s="1947"/>
      <c r="E338" s="1947"/>
      <c r="F338" s="1909"/>
      <c r="G338" s="1909"/>
      <c r="H338" s="1909"/>
      <c r="I338" s="1909"/>
      <c r="J338" s="1909"/>
      <c r="K338" s="1909"/>
      <c r="L338" s="1909"/>
      <c r="M338" s="1909"/>
    </row>
    <row r="339" spans="1:13" x14ac:dyDescent="0.2">
      <c r="A339" s="1947"/>
      <c r="B339" s="1947"/>
      <c r="D339" s="1947"/>
      <c r="E339" s="1947"/>
      <c r="F339" s="1909"/>
      <c r="G339" s="1909"/>
      <c r="H339" s="1909"/>
      <c r="I339" s="1909"/>
      <c r="J339" s="1909"/>
      <c r="K339" s="1909"/>
      <c r="L339" s="1909"/>
      <c r="M339" s="1909"/>
    </row>
    <row r="340" spans="1:13" x14ac:dyDescent="0.2">
      <c r="A340" s="1947"/>
      <c r="B340" s="1947"/>
      <c r="D340" s="1947"/>
      <c r="E340" s="1947"/>
      <c r="F340" s="1909"/>
      <c r="G340" s="1909"/>
      <c r="H340" s="1909"/>
      <c r="I340" s="1909"/>
      <c r="J340" s="1909"/>
      <c r="K340" s="1909"/>
      <c r="L340" s="1909"/>
      <c r="M340" s="1909"/>
    </row>
    <row r="341" spans="1:13" x14ac:dyDescent="0.2">
      <c r="A341" s="1947"/>
      <c r="B341" s="1947"/>
      <c r="D341" s="1947"/>
      <c r="E341" s="1947"/>
      <c r="F341" s="1909"/>
      <c r="G341" s="1909"/>
      <c r="H341" s="1909"/>
      <c r="I341" s="1909"/>
      <c r="J341" s="1909"/>
      <c r="K341" s="1909"/>
      <c r="L341" s="1909"/>
      <c r="M341" s="1909"/>
    </row>
    <row r="342" spans="1:13" x14ac:dyDescent="0.2">
      <c r="A342" s="1947"/>
      <c r="B342" s="1947"/>
      <c r="D342" s="1947"/>
      <c r="E342" s="1947"/>
      <c r="F342" s="1909"/>
      <c r="G342" s="1909"/>
      <c r="H342" s="1909"/>
      <c r="I342" s="1909"/>
      <c r="J342" s="1909"/>
      <c r="K342" s="1909"/>
      <c r="L342" s="1909"/>
      <c r="M342" s="1909"/>
    </row>
    <row r="343" spans="1:13" x14ac:dyDescent="0.2">
      <c r="A343" s="1947"/>
      <c r="B343" s="1947"/>
      <c r="D343" s="1947"/>
      <c r="E343" s="1947"/>
      <c r="F343" s="1909"/>
      <c r="G343" s="1909"/>
      <c r="H343" s="1909"/>
      <c r="I343" s="1909"/>
      <c r="J343" s="1909"/>
      <c r="K343" s="1909"/>
      <c r="L343" s="1909"/>
      <c r="M343" s="1909"/>
    </row>
    <row r="344" spans="1:13" x14ac:dyDescent="0.2">
      <c r="A344" s="1947"/>
      <c r="B344" s="1947"/>
      <c r="D344" s="1947"/>
      <c r="E344" s="1947"/>
      <c r="F344" s="1909"/>
      <c r="G344" s="1909"/>
      <c r="H344" s="1909"/>
      <c r="I344" s="1909"/>
      <c r="J344" s="1909"/>
      <c r="K344" s="1909"/>
      <c r="L344" s="1909"/>
      <c r="M344" s="1909"/>
    </row>
    <row r="345" spans="1:13" x14ac:dyDescent="0.2">
      <c r="A345" s="1947"/>
      <c r="B345" s="1947"/>
      <c r="D345" s="1947"/>
      <c r="E345" s="1947"/>
      <c r="F345" s="1909"/>
      <c r="G345" s="1909"/>
      <c r="H345" s="1909"/>
      <c r="I345" s="1909"/>
      <c r="J345" s="1909"/>
      <c r="K345" s="1909"/>
      <c r="L345" s="1909"/>
      <c r="M345" s="1909"/>
    </row>
    <row r="346" spans="1:13" x14ac:dyDescent="0.2">
      <c r="A346" s="1947"/>
      <c r="B346" s="1947"/>
      <c r="D346" s="1947"/>
      <c r="E346" s="1947"/>
      <c r="F346" s="1909"/>
      <c r="G346" s="1909"/>
      <c r="H346" s="1909"/>
      <c r="I346" s="1909"/>
      <c r="J346" s="1909"/>
      <c r="K346" s="1909"/>
      <c r="L346" s="1909"/>
      <c r="M346" s="1909"/>
    </row>
    <row r="347" spans="1:13" x14ac:dyDescent="0.2">
      <c r="A347" s="1947"/>
      <c r="B347" s="1947"/>
      <c r="D347" s="1947"/>
      <c r="E347" s="1947"/>
      <c r="F347" s="1909"/>
      <c r="G347" s="1909"/>
      <c r="H347" s="1909"/>
      <c r="I347" s="1909"/>
      <c r="J347" s="1909"/>
      <c r="K347" s="1909"/>
      <c r="L347" s="1909"/>
      <c r="M347" s="1909"/>
    </row>
    <row r="348" spans="1:13" x14ac:dyDescent="0.2">
      <c r="A348" s="1947"/>
      <c r="B348" s="1947"/>
      <c r="D348" s="1947"/>
      <c r="E348" s="1947"/>
      <c r="F348" s="1909"/>
      <c r="G348" s="1909"/>
      <c r="H348" s="1909"/>
      <c r="I348" s="1909"/>
      <c r="J348" s="1909"/>
      <c r="K348" s="1909"/>
      <c r="L348" s="1909"/>
      <c r="M348" s="1909"/>
    </row>
    <row r="349" spans="1:13" x14ac:dyDescent="0.2">
      <c r="A349" s="1947"/>
      <c r="B349" s="1947"/>
      <c r="D349" s="1947"/>
      <c r="E349" s="1947"/>
      <c r="F349" s="1909"/>
      <c r="G349" s="1909"/>
      <c r="H349" s="1909"/>
      <c r="I349" s="1909"/>
      <c r="J349" s="1909"/>
      <c r="K349" s="1909"/>
      <c r="L349" s="1909"/>
      <c r="M349" s="1909"/>
    </row>
    <row r="350" spans="1:13" x14ac:dyDescent="0.2">
      <c r="A350" s="1947"/>
      <c r="B350" s="1947"/>
      <c r="D350" s="1947"/>
      <c r="E350" s="1947"/>
      <c r="F350" s="1909"/>
      <c r="G350" s="1909"/>
      <c r="H350" s="1909"/>
      <c r="I350" s="1909"/>
      <c r="J350" s="1909"/>
      <c r="K350" s="1909"/>
      <c r="L350" s="1909"/>
      <c r="M350" s="1909"/>
    </row>
    <row r="351" spans="1:13" x14ac:dyDescent="0.2">
      <c r="A351" s="1947"/>
      <c r="B351" s="1947"/>
      <c r="D351" s="1947"/>
      <c r="E351" s="1947"/>
      <c r="F351" s="1909"/>
      <c r="G351" s="1909"/>
      <c r="H351" s="1909"/>
      <c r="I351" s="1909"/>
      <c r="J351" s="1909"/>
      <c r="K351" s="1909"/>
      <c r="L351" s="1909"/>
      <c r="M351" s="1909"/>
    </row>
    <row r="352" spans="1:13" x14ac:dyDescent="0.2">
      <c r="A352" s="1947"/>
      <c r="B352" s="1947"/>
      <c r="D352" s="1947"/>
      <c r="E352" s="1947"/>
      <c r="F352" s="1909"/>
      <c r="G352" s="1909"/>
      <c r="H352" s="1909"/>
      <c r="I352" s="1909"/>
      <c r="J352" s="1909"/>
      <c r="K352" s="1909"/>
      <c r="L352" s="1909"/>
      <c r="M352" s="1909"/>
    </row>
    <row r="353" spans="1:13" x14ac:dyDescent="0.2">
      <c r="A353" s="1947"/>
      <c r="B353" s="1947"/>
      <c r="D353" s="1947"/>
      <c r="E353" s="1947"/>
      <c r="F353" s="1909"/>
      <c r="G353" s="1909"/>
      <c r="H353" s="1909"/>
      <c r="I353" s="1909"/>
      <c r="J353" s="1909"/>
      <c r="K353" s="1909"/>
      <c r="L353" s="1909"/>
      <c r="M353" s="1909"/>
    </row>
    <row r="354" spans="1:13" x14ac:dyDescent="0.2">
      <c r="A354" s="1947"/>
      <c r="B354" s="1947"/>
      <c r="D354" s="1947"/>
      <c r="E354" s="1947"/>
      <c r="F354" s="1909"/>
      <c r="G354" s="1909"/>
      <c r="H354" s="1909"/>
      <c r="I354" s="1909"/>
      <c r="J354" s="1909"/>
      <c r="K354" s="1909"/>
      <c r="L354" s="1909"/>
      <c r="M354" s="1909"/>
    </row>
    <row r="355" spans="1:13" x14ac:dyDescent="0.2">
      <c r="A355" s="1947"/>
      <c r="B355" s="1947"/>
      <c r="D355" s="1947"/>
      <c r="E355" s="1947"/>
      <c r="F355" s="1909"/>
      <c r="G355" s="1909"/>
      <c r="H355" s="1909"/>
      <c r="I355" s="1909"/>
      <c r="J355" s="1909"/>
      <c r="K355" s="1909"/>
      <c r="L355" s="1909"/>
      <c r="M355" s="1909"/>
    </row>
    <row r="356" spans="1:13" x14ac:dyDescent="0.2">
      <c r="A356" s="1947"/>
      <c r="B356" s="1947"/>
      <c r="D356" s="1947"/>
      <c r="E356" s="1947"/>
      <c r="F356" s="1909"/>
      <c r="G356" s="1909"/>
      <c r="H356" s="1909"/>
      <c r="I356" s="1909"/>
      <c r="J356" s="1909"/>
      <c r="K356" s="1909"/>
      <c r="L356" s="1909"/>
      <c r="M356" s="1909"/>
    </row>
    <row r="357" spans="1:13" x14ac:dyDescent="0.2">
      <c r="A357" s="1947"/>
      <c r="B357" s="1947"/>
      <c r="D357" s="1947"/>
      <c r="E357" s="1947"/>
      <c r="F357" s="1909"/>
      <c r="G357" s="1909"/>
      <c r="H357" s="1909"/>
      <c r="I357" s="1909"/>
      <c r="J357" s="1909"/>
      <c r="K357" s="1909"/>
      <c r="L357" s="1909"/>
      <c r="M357" s="1909"/>
    </row>
    <row r="358" spans="1:13" x14ac:dyDescent="0.2">
      <c r="A358" s="1947"/>
      <c r="B358" s="1947"/>
      <c r="D358" s="1947"/>
      <c r="E358" s="1947"/>
      <c r="F358" s="1909"/>
      <c r="G358" s="1909"/>
      <c r="H358" s="1909"/>
      <c r="I358" s="1909"/>
      <c r="J358" s="1909"/>
      <c r="K358" s="1909"/>
      <c r="L358" s="1909"/>
      <c r="M358" s="1909"/>
    </row>
    <row r="359" spans="1:13" x14ac:dyDescent="0.2">
      <c r="A359" s="1947"/>
      <c r="B359" s="1947"/>
      <c r="D359" s="1947"/>
      <c r="E359" s="1947"/>
      <c r="F359" s="1909"/>
      <c r="G359" s="1909"/>
      <c r="H359" s="1909"/>
      <c r="I359" s="1909"/>
      <c r="J359" s="1909"/>
      <c r="K359" s="1909"/>
      <c r="L359" s="1909"/>
      <c r="M359" s="1909"/>
    </row>
    <row r="360" spans="1:13" x14ac:dyDescent="0.2">
      <c r="A360" s="1947"/>
      <c r="B360" s="1947"/>
      <c r="D360" s="1947"/>
      <c r="E360" s="1947"/>
      <c r="F360" s="1909"/>
      <c r="G360" s="1909"/>
      <c r="H360" s="1909"/>
      <c r="I360" s="1909"/>
      <c r="J360" s="1909"/>
      <c r="K360" s="1909"/>
      <c r="L360" s="1909"/>
      <c r="M360" s="1909"/>
    </row>
    <row r="361" spans="1:13" x14ac:dyDescent="0.2">
      <c r="A361" s="1947"/>
      <c r="B361" s="1947"/>
      <c r="D361" s="1947"/>
      <c r="E361" s="1947"/>
      <c r="F361" s="1909"/>
      <c r="G361" s="1909"/>
      <c r="H361" s="1909"/>
      <c r="I361" s="1909"/>
      <c r="J361" s="1909"/>
      <c r="K361" s="1909"/>
      <c r="L361" s="1909"/>
      <c r="M361" s="1909"/>
    </row>
    <row r="362" spans="1:13" x14ac:dyDescent="0.2">
      <c r="A362" s="1947"/>
      <c r="B362" s="1947"/>
      <c r="D362" s="1947"/>
      <c r="E362" s="1947"/>
      <c r="F362" s="1909"/>
      <c r="G362" s="1909"/>
      <c r="H362" s="1909"/>
      <c r="I362" s="1909"/>
      <c r="J362" s="1909"/>
      <c r="K362" s="1909"/>
      <c r="L362" s="1909"/>
      <c r="M362" s="1909"/>
    </row>
    <row r="363" spans="1:13" x14ac:dyDescent="0.2">
      <c r="A363" s="1947"/>
      <c r="B363" s="1947"/>
      <c r="D363" s="1947"/>
      <c r="E363" s="1947"/>
      <c r="F363" s="1909"/>
      <c r="G363" s="1909"/>
      <c r="H363" s="1909"/>
      <c r="I363" s="1909"/>
      <c r="J363" s="1909"/>
      <c r="K363" s="1909"/>
      <c r="L363" s="1909"/>
      <c r="M363" s="1909"/>
    </row>
    <row r="364" spans="1:13" x14ac:dyDescent="0.2">
      <c r="A364" s="1947"/>
      <c r="B364" s="1947"/>
      <c r="D364" s="1947"/>
      <c r="E364" s="1947"/>
      <c r="F364" s="1909"/>
      <c r="G364" s="1909"/>
      <c r="H364" s="1909"/>
      <c r="I364" s="1909"/>
      <c r="J364" s="1909"/>
      <c r="K364" s="1909"/>
      <c r="L364" s="1909"/>
      <c r="M364" s="1909"/>
    </row>
    <row r="365" spans="1:13" x14ac:dyDescent="0.2">
      <c r="A365" s="1947"/>
      <c r="B365" s="1947"/>
      <c r="D365" s="1947"/>
      <c r="E365" s="1947"/>
      <c r="F365" s="1909"/>
      <c r="G365" s="1909"/>
      <c r="H365" s="1909"/>
      <c r="I365" s="1909"/>
      <c r="J365" s="1909"/>
      <c r="K365" s="1909"/>
      <c r="L365" s="1909"/>
      <c r="M365" s="1909"/>
    </row>
    <row r="366" spans="1:13" x14ac:dyDescent="0.2">
      <c r="A366" s="1947"/>
      <c r="B366" s="1947"/>
      <c r="D366" s="1947"/>
      <c r="E366" s="1947"/>
      <c r="F366" s="1909"/>
      <c r="G366" s="1909"/>
      <c r="H366" s="1909"/>
      <c r="I366" s="1909"/>
      <c r="J366" s="1909"/>
      <c r="K366" s="1909"/>
      <c r="L366" s="1909"/>
      <c r="M366" s="1909"/>
    </row>
    <row r="367" spans="1:13" x14ac:dyDescent="0.2">
      <c r="A367" s="1947"/>
      <c r="B367" s="1947"/>
      <c r="D367" s="1947"/>
      <c r="E367" s="1947"/>
      <c r="F367" s="1909"/>
      <c r="G367" s="1909"/>
      <c r="H367" s="1909"/>
      <c r="I367" s="1909"/>
      <c r="J367" s="1909"/>
      <c r="K367" s="1909"/>
      <c r="L367" s="1909"/>
      <c r="M367" s="1909"/>
    </row>
    <row r="368" spans="1:13" x14ac:dyDescent="0.2">
      <c r="A368" s="1947"/>
      <c r="B368" s="1947"/>
      <c r="D368" s="1947"/>
      <c r="E368" s="1947"/>
      <c r="F368" s="1909"/>
      <c r="G368" s="1909"/>
      <c r="H368" s="1909"/>
      <c r="I368" s="1909"/>
      <c r="J368" s="1909"/>
      <c r="K368" s="1909"/>
      <c r="L368" s="1909"/>
      <c r="M368" s="1909"/>
    </row>
    <row r="369" spans="1:13" x14ac:dyDescent="0.2">
      <c r="A369" s="1947"/>
      <c r="B369" s="1947"/>
      <c r="D369" s="1947"/>
      <c r="E369" s="1947"/>
      <c r="F369" s="1909"/>
      <c r="G369" s="1909"/>
      <c r="H369" s="1909"/>
      <c r="I369" s="1909"/>
      <c r="J369" s="1909"/>
      <c r="K369" s="1909"/>
      <c r="L369" s="1909"/>
      <c r="M369" s="1909"/>
    </row>
    <row r="370" spans="1:13" x14ac:dyDescent="0.2">
      <c r="A370" s="1947"/>
      <c r="B370" s="1947"/>
      <c r="D370" s="1947"/>
      <c r="E370" s="1947"/>
      <c r="F370" s="1909"/>
      <c r="G370" s="1909"/>
      <c r="H370" s="1909"/>
      <c r="I370" s="1909"/>
      <c r="J370" s="1909"/>
      <c r="K370" s="1909"/>
      <c r="L370" s="1909"/>
      <c r="M370" s="1909"/>
    </row>
    <row r="371" spans="1:13" x14ac:dyDescent="0.2">
      <c r="A371" s="1947"/>
      <c r="B371" s="1947"/>
      <c r="D371" s="1947"/>
      <c r="E371" s="1947"/>
      <c r="F371" s="1909"/>
      <c r="G371" s="1909"/>
      <c r="H371" s="1909"/>
      <c r="I371" s="1909"/>
      <c r="J371" s="1909"/>
      <c r="K371" s="1909"/>
      <c r="L371" s="1909"/>
      <c r="M371" s="1909"/>
    </row>
    <row r="372" spans="1:13" x14ac:dyDescent="0.2">
      <c r="A372" s="1947"/>
      <c r="B372" s="1947"/>
      <c r="D372" s="1947"/>
      <c r="E372" s="1947"/>
      <c r="F372" s="1909"/>
      <c r="G372" s="1909"/>
      <c r="H372" s="1909"/>
      <c r="I372" s="1909"/>
      <c r="J372" s="1909"/>
      <c r="K372" s="1909"/>
      <c r="L372" s="1909"/>
      <c r="M372" s="1909"/>
    </row>
    <row r="373" spans="1:13" x14ac:dyDescent="0.2">
      <c r="A373" s="1947"/>
      <c r="B373" s="1947"/>
      <c r="D373" s="1947"/>
      <c r="E373" s="1947"/>
      <c r="F373" s="1909"/>
      <c r="G373" s="1909"/>
      <c r="H373" s="1909"/>
      <c r="I373" s="1909"/>
      <c r="J373" s="1909"/>
      <c r="K373" s="1909"/>
      <c r="L373" s="1909"/>
      <c r="M373" s="1909"/>
    </row>
    <row r="374" spans="1:13" x14ac:dyDescent="0.2">
      <c r="A374" s="1947"/>
      <c r="B374" s="1947"/>
      <c r="D374" s="1947"/>
      <c r="E374" s="1947"/>
      <c r="F374" s="1909"/>
      <c r="G374" s="1909"/>
      <c r="H374" s="1909"/>
      <c r="I374" s="1909"/>
      <c r="J374" s="1909"/>
      <c r="K374" s="1909"/>
      <c r="L374" s="1909"/>
      <c r="M374" s="1909"/>
    </row>
    <row r="375" spans="1:13" x14ac:dyDescent="0.2">
      <c r="A375" s="1947"/>
      <c r="B375" s="1947"/>
      <c r="D375" s="1947"/>
      <c r="E375" s="1947"/>
      <c r="F375" s="1909"/>
      <c r="G375" s="1909"/>
      <c r="H375" s="1909"/>
      <c r="I375" s="1909"/>
      <c r="J375" s="1909"/>
      <c r="K375" s="1909"/>
      <c r="L375" s="1909"/>
      <c r="M375" s="1909"/>
    </row>
    <row r="376" spans="1:13" x14ac:dyDescent="0.2">
      <c r="A376" s="1947"/>
      <c r="B376" s="1947"/>
      <c r="D376" s="1947"/>
      <c r="E376" s="1947"/>
      <c r="F376" s="1909"/>
      <c r="G376" s="1909"/>
      <c r="H376" s="1909"/>
      <c r="I376" s="1909"/>
      <c r="J376" s="1909"/>
      <c r="K376" s="1909"/>
      <c r="L376" s="1909"/>
      <c r="M376" s="1909"/>
    </row>
    <row r="377" spans="1:13" x14ac:dyDescent="0.2">
      <c r="A377" s="1947"/>
      <c r="B377" s="1947"/>
      <c r="D377" s="1947"/>
      <c r="E377" s="1947"/>
      <c r="F377" s="1909"/>
      <c r="G377" s="1909"/>
      <c r="H377" s="1909"/>
      <c r="I377" s="1909"/>
      <c r="J377" s="1909"/>
      <c r="K377" s="1909"/>
      <c r="L377" s="1909"/>
      <c r="M377" s="1909"/>
    </row>
    <row r="378" spans="1:13" x14ac:dyDescent="0.2">
      <c r="A378" s="1947"/>
      <c r="B378" s="1947"/>
      <c r="D378" s="1947"/>
      <c r="E378" s="1947"/>
      <c r="F378" s="1909"/>
      <c r="G378" s="1909"/>
      <c r="H378" s="1909"/>
      <c r="I378" s="1909"/>
      <c r="J378" s="1909"/>
      <c r="K378" s="1909"/>
      <c r="L378" s="1909"/>
      <c r="M378" s="1909"/>
    </row>
    <row r="379" spans="1:13" x14ac:dyDescent="0.2">
      <c r="A379" s="1947"/>
      <c r="B379" s="1947"/>
      <c r="D379" s="1947"/>
      <c r="E379" s="1947"/>
      <c r="F379" s="1909"/>
      <c r="G379" s="1909"/>
      <c r="H379" s="1909"/>
      <c r="I379" s="1909"/>
      <c r="J379" s="1909"/>
      <c r="K379" s="1909"/>
      <c r="L379" s="1909"/>
      <c r="M379" s="1909"/>
    </row>
    <row r="380" spans="1:13" x14ac:dyDescent="0.2">
      <c r="A380" s="1947"/>
      <c r="B380" s="1947"/>
      <c r="D380" s="1947"/>
      <c r="E380" s="1947"/>
      <c r="F380" s="1909"/>
      <c r="G380" s="1909"/>
      <c r="H380" s="1909"/>
      <c r="I380" s="1909"/>
      <c r="J380" s="1909"/>
      <c r="K380" s="1909"/>
      <c r="L380" s="1909"/>
      <c r="M380" s="1909"/>
    </row>
    <row r="381" spans="1:13" x14ac:dyDescent="0.2">
      <c r="A381" s="1947"/>
      <c r="B381" s="1947"/>
      <c r="D381" s="1947"/>
      <c r="E381" s="1947"/>
      <c r="F381" s="1909"/>
      <c r="G381" s="1909"/>
      <c r="H381" s="1909"/>
      <c r="I381" s="1909"/>
      <c r="J381" s="1909"/>
      <c r="K381" s="1909"/>
      <c r="L381" s="1909"/>
      <c r="M381" s="1909"/>
    </row>
    <row r="382" spans="1:13" x14ac:dyDescent="0.2">
      <c r="A382" s="1947"/>
      <c r="B382" s="1947"/>
      <c r="D382" s="1947"/>
      <c r="E382" s="1947"/>
      <c r="F382" s="1909"/>
      <c r="G382" s="1909"/>
      <c r="H382" s="1909"/>
      <c r="I382" s="1909"/>
      <c r="J382" s="1909"/>
      <c r="K382" s="1909"/>
      <c r="L382" s="1909"/>
      <c r="M382" s="1909"/>
    </row>
    <row r="383" spans="1:13" x14ac:dyDescent="0.2">
      <c r="A383" s="1947"/>
      <c r="B383" s="1947"/>
      <c r="D383" s="1947"/>
      <c r="E383" s="1947"/>
      <c r="F383" s="1909"/>
      <c r="G383" s="1909"/>
      <c r="H383" s="1909"/>
      <c r="I383" s="1909"/>
      <c r="J383" s="1909"/>
      <c r="K383" s="1909"/>
      <c r="L383" s="1909"/>
      <c r="M383" s="1909"/>
    </row>
    <row r="384" spans="1:13" x14ac:dyDescent="0.2">
      <c r="A384" s="1947"/>
      <c r="B384" s="1947"/>
      <c r="D384" s="1947"/>
      <c r="E384" s="1947"/>
      <c r="F384" s="1909"/>
      <c r="G384" s="1909"/>
      <c r="H384" s="1909"/>
      <c r="I384" s="1909"/>
      <c r="J384" s="1909"/>
      <c r="K384" s="1909"/>
      <c r="L384" s="1909"/>
      <c r="M384" s="1909"/>
    </row>
    <row r="385" spans="1:13" x14ac:dyDescent="0.2">
      <c r="A385" s="1947"/>
      <c r="B385" s="1947"/>
      <c r="D385" s="1947"/>
      <c r="E385" s="1947"/>
      <c r="F385" s="1909"/>
      <c r="G385" s="1909"/>
      <c r="H385" s="1909"/>
      <c r="I385" s="1909"/>
      <c r="J385" s="1909"/>
      <c r="K385" s="1909"/>
      <c r="L385" s="1909"/>
      <c r="M385" s="1909"/>
    </row>
    <row r="386" spans="1:13" x14ac:dyDescent="0.2">
      <c r="A386" s="1947"/>
      <c r="B386" s="1947"/>
      <c r="D386" s="1947"/>
      <c r="E386" s="1947"/>
      <c r="F386" s="1909"/>
      <c r="G386" s="1909"/>
      <c r="H386" s="1909"/>
      <c r="I386" s="1909"/>
      <c r="J386" s="1909"/>
      <c r="K386" s="1909"/>
      <c r="L386" s="1909"/>
      <c r="M386" s="1909"/>
    </row>
    <row r="387" spans="1:13" x14ac:dyDescent="0.2">
      <c r="A387" s="1947"/>
      <c r="B387" s="1947"/>
      <c r="D387" s="1947"/>
      <c r="E387" s="1947"/>
      <c r="F387" s="1909"/>
      <c r="G387" s="1909"/>
      <c r="H387" s="1909"/>
      <c r="I387" s="1909"/>
      <c r="J387" s="1909"/>
      <c r="K387" s="1909"/>
      <c r="L387" s="1909"/>
      <c r="M387" s="1909"/>
    </row>
    <row r="388" spans="1:13" x14ac:dyDescent="0.2">
      <c r="A388" s="1947"/>
      <c r="B388" s="1947"/>
      <c r="D388" s="1947"/>
      <c r="E388" s="1947"/>
      <c r="F388" s="1909"/>
      <c r="G388" s="1909"/>
      <c r="H388" s="1909"/>
      <c r="I388" s="1909"/>
      <c r="J388" s="1909"/>
      <c r="K388" s="1909"/>
      <c r="L388" s="1909"/>
      <c r="M388" s="1909"/>
    </row>
    <row r="389" spans="1:13" x14ac:dyDescent="0.2">
      <c r="A389" s="1947"/>
      <c r="B389" s="1947"/>
      <c r="D389" s="1947"/>
      <c r="E389" s="1947"/>
      <c r="F389" s="1909"/>
      <c r="G389" s="1909"/>
      <c r="H389" s="1909"/>
      <c r="I389" s="1909"/>
      <c r="J389" s="1909"/>
      <c r="K389" s="1909"/>
      <c r="L389" s="1909"/>
      <c r="M389" s="1909"/>
    </row>
    <row r="390" spans="1:13" x14ac:dyDescent="0.2">
      <c r="A390" s="1947"/>
      <c r="B390" s="1947"/>
      <c r="D390" s="1947"/>
      <c r="E390" s="1947"/>
      <c r="F390" s="1909"/>
      <c r="G390" s="1909"/>
      <c r="H390" s="1909"/>
      <c r="I390" s="1909"/>
      <c r="J390" s="1909"/>
      <c r="K390" s="1909"/>
      <c r="L390" s="1909"/>
      <c r="M390" s="1909"/>
    </row>
    <row r="391" spans="1:13" x14ac:dyDescent="0.2">
      <c r="A391" s="1947"/>
      <c r="B391" s="1947"/>
      <c r="D391" s="1947"/>
      <c r="E391" s="1947"/>
      <c r="F391" s="1909"/>
      <c r="G391" s="1909"/>
      <c r="H391" s="1909"/>
      <c r="I391" s="1909"/>
      <c r="J391" s="1909"/>
      <c r="K391" s="1909"/>
      <c r="L391" s="1909"/>
      <c r="M391" s="1909"/>
    </row>
    <row r="392" spans="1:13" x14ac:dyDescent="0.2">
      <c r="A392" s="1947"/>
      <c r="B392" s="1947"/>
      <c r="D392" s="1947"/>
      <c r="E392" s="1947"/>
      <c r="F392" s="1909"/>
      <c r="G392" s="1909"/>
      <c r="H392" s="1909"/>
      <c r="I392" s="1909"/>
      <c r="J392" s="1909"/>
      <c r="K392" s="1909"/>
      <c r="L392" s="1909"/>
      <c r="M392" s="1909"/>
    </row>
    <row r="393" spans="1:13" x14ac:dyDescent="0.2">
      <c r="A393" s="1947"/>
      <c r="B393" s="1947"/>
      <c r="D393" s="1947"/>
      <c r="E393" s="1947"/>
      <c r="F393" s="1909"/>
      <c r="G393" s="1909"/>
      <c r="H393" s="1909"/>
      <c r="I393" s="1909"/>
      <c r="J393" s="1909"/>
      <c r="K393" s="1909"/>
      <c r="L393" s="1909"/>
      <c r="M393" s="1909"/>
    </row>
    <row r="394" spans="1:13" x14ac:dyDescent="0.2">
      <c r="A394" s="1947"/>
      <c r="B394" s="1947"/>
      <c r="D394" s="1947"/>
      <c r="E394" s="1947"/>
      <c r="F394" s="1909"/>
      <c r="G394" s="1909"/>
      <c r="H394" s="1909"/>
      <c r="I394" s="1909"/>
      <c r="J394" s="1909"/>
      <c r="K394" s="1909"/>
      <c r="L394" s="1909"/>
      <c r="M394" s="1909"/>
    </row>
    <row r="395" spans="1:13" x14ac:dyDescent="0.2">
      <c r="A395" s="1947"/>
      <c r="B395" s="1947"/>
      <c r="D395" s="1947"/>
      <c r="E395" s="1947"/>
      <c r="F395" s="1909"/>
      <c r="G395" s="1909"/>
      <c r="H395" s="1909"/>
      <c r="I395" s="1909"/>
      <c r="J395" s="1909"/>
      <c r="K395" s="1909"/>
      <c r="L395" s="1909"/>
      <c r="M395" s="1909"/>
    </row>
    <row r="396" spans="1:13" x14ac:dyDescent="0.2">
      <c r="A396" s="1947"/>
      <c r="B396" s="1947"/>
      <c r="D396" s="1947"/>
      <c r="E396" s="1947"/>
      <c r="F396" s="1909"/>
      <c r="G396" s="1909"/>
      <c r="H396" s="1909"/>
      <c r="I396" s="1909"/>
      <c r="J396" s="1909"/>
      <c r="K396" s="1909"/>
      <c r="L396" s="1909"/>
      <c r="M396" s="1909"/>
    </row>
    <row r="397" spans="1:13" x14ac:dyDescent="0.2">
      <c r="A397" s="1947"/>
      <c r="B397" s="1947"/>
      <c r="D397" s="1947"/>
      <c r="E397" s="1947"/>
      <c r="F397" s="1909"/>
      <c r="G397" s="1909"/>
      <c r="H397" s="1909"/>
      <c r="I397" s="1909"/>
      <c r="J397" s="1909"/>
      <c r="K397" s="1909"/>
      <c r="L397" s="1909"/>
      <c r="M397" s="1909"/>
    </row>
    <row r="398" spans="1:13" x14ac:dyDescent="0.2">
      <c r="A398" s="1947"/>
      <c r="B398" s="1947"/>
      <c r="D398" s="1947"/>
      <c r="E398" s="1947"/>
      <c r="F398" s="1909"/>
      <c r="G398" s="1909"/>
      <c r="H398" s="1909"/>
      <c r="I398" s="1909"/>
      <c r="J398" s="1909"/>
      <c r="K398" s="1909"/>
      <c r="L398" s="1909"/>
      <c r="M398" s="1909"/>
    </row>
    <row r="399" spans="1:13" x14ac:dyDescent="0.2">
      <c r="A399" s="1947"/>
      <c r="B399" s="1947"/>
      <c r="D399" s="1947"/>
      <c r="E399" s="1947"/>
      <c r="F399" s="1909"/>
      <c r="G399" s="1909"/>
      <c r="H399" s="1909"/>
      <c r="I399" s="1909"/>
      <c r="J399" s="1909"/>
      <c r="K399" s="1909"/>
      <c r="L399" s="1909"/>
      <c r="M399" s="1909"/>
    </row>
    <row r="400" spans="1:13" x14ac:dyDescent="0.2">
      <c r="A400" s="1947"/>
      <c r="B400" s="1947"/>
      <c r="D400" s="1947"/>
      <c r="E400" s="1947"/>
      <c r="F400" s="1909"/>
      <c r="G400" s="1909"/>
      <c r="H400" s="1909"/>
      <c r="I400" s="1909"/>
      <c r="J400" s="1909"/>
      <c r="K400" s="1909"/>
      <c r="L400" s="1909"/>
      <c r="M400" s="1909"/>
    </row>
    <row r="401" spans="1:13" x14ac:dyDescent="0.2">
      <c r="A401" s="1947"/>
      <c r="B401" s="1947"/>
      <c r="D401" s="1947"/>
      <c r="E401" s="1947"/>
      <c r="F401" s="1909"/>
      <c r="G401" s="1909"/>
      <c r="H401" s="1909"/>
      <c r="I401" s="1909"/>
      <c r="J401" s="1909"/>
      <c r="K401" s="1909"/>
      <c r="L401" s="1909"/>
      <c r="M401" s="1909"/>
    </row>
    <row r="402" spans="1:13" x14ac:dyDescent="0.2">
      <c r="A402" s="1947"/>
      <c r="B402" s="1947"/>
      <c r="D402" s="1947"/>
      <c r="E402" s="1947"/>
      <c r="F402" s="1909"/>
      <c r="G402" s="1909"/>
      <c r="H402" s="1909"/>
      <c r="I402" s="1909"/>
      <c r="J402" s="1909"/>
      <c r="K402" s="1909"/>
      <c r="L402" s="1909"/>
      <c r="M402" s="1909"/>
    </row>
    <row r="403" spans="1:13" x14ac:dyDescent="0.2">
      <c r="A403" s="1947"/>
      <c r="B403" s="1947"/>
      <c r="D403" s="1947"/>
      <c r="E403" s="1947"/>
      <c r="F403" s="1909"/>
      <c r="G403" s="1909"/>
      <c r="H403" s="1909"/>
      <c r="I403" s="1909"/>
      <c r="J403" s="1909"/>
      <c r="K403" s="1909"/>
      <c r="L403" s="1909"/>
      <c r="M403" s="1909"/>
    </row>
    <row r="404" spans="1:13" x14ac:dyDescent="0.2">
      <c r="A404" s="1947"/>
      <c r="B404" s="1947"/>
      <c r="D404" s="1947"/>
      <c r="E404" s="1947"/>
      <c r="F404" s="1909"/>
      <c r="G404" s="1909"/>
      <c r="H404" s="1909"/>
      <c r="I404" s="1909"/>
      <c r="J404" s="1909"/>
      <c r="K404" s="1909"/>
      <c r="L404" s="1909"/>
      <c r="M404" s="1909"/>
    </row>
    <row r="405" spans="1:13" x14ac:dyDescent="0.2">
      <c r="A405" s="1947"/>
      <c r="B405" s="1947"/>
      <c r="D405" s="1947"/>
      <c r="E405" s="1947"/>
      <c r="F405" s="1909"/>
      <c r="G405" s="1909"/>
      <c r="H405" s="1909"/>
      <c r="I405" s="1909"/>
      <c r="J405" s="1909"/>
      <c r="K405" s="1909"/>
      <c r="L405" s="1909"/>
      <c r="M405" s="1909"/>
    </row>
    <row r="406" spans="1:13" x14ac:dyDescent="0.2">
      <c r="A406" s="1947"/>
      <c r="B406" s="1947"/>
      <c r="D406" s="1947"/>
      <c r="E406" s="1947"/>
      <c r="F406" s="1909"/>
      <c r="G406" s="1909"/>
      <c r="H406" s="1909"/>
      <c r="I406" s="1909"/>
      <c r="J406" s="1909"/>
      <c r="K406" s="1909"/>
      <c r="L406" s="1909"/>
      <c r="M406" s="1909"/>
    </row>
    <row r="407" spans="1:13" x14ac:dyDescent="0.2">
      <c r="A407" s="1947"/>
      <c r="B407" s="1947"/>
      <c r="D407" s="1947"/>
      <c r="E407" s="1947"/>
      <c r="F407" s="1909"/>
      <c r="G407" s="1909"/>
      <c r="H407" s="1909"/>
      <c r="I407" s="1909"/>
      <c r="J407" s="1909"/>
      <c r="K407" s="1909"/>
      <c r="L407" s="1909"/>
      <c r="M407" s="1909"/>
    </row>
    <row r="408" spans="1:13" x14ac:dyDescent="0.2">
      <c r="A408" s="1947"/>
      <c r="B408" s="1947"/>
      <c r="D408" s="1947"/>
      <c r="E408" s="1947"/>
      <c r="F408" s="1909"/>
      <c r="G408" s="1909"/>
      <c r="H408" s="1909"/>
      <c r="I408" s="1909"/>
      <c r="J408" s="1909"/>
      <c r="K408" s="1909"/>
      <c r="L408" s="1909"/>
      <c r="M408" s="1909"/>
    </row>
    <row r="409" spans="1:13" x14ac:dyDescent="0.2">
      <c r="A409" s="1947"/>
      <c r="B409" s="1947"/>
      <c r="D409" s="1947"/>
      <c r="E409" s="1947"/>
      <c r="F409" s="1909"/>
      <c r="G409" s="1909"/>
      <c r="H409" s="1909"/>
      <c r="I409" s="1909"/>
      <c r="J409" s="1909"/>
      <c r="K409" s="1909"/>
      <c r="L409" s="1909"/>
      <c r="M409" s="1909"/>
    </row>
    <row r="410" spans="1:13" x14ac:dyDescent="0.2">
      <c r="A410" s="1947"/>
      <c r="B410" s="1947"/>
      <c r="D410" s="1947"/>
      <c r="E410" s="1947"/>
      <c r="F410" s="1909"/>
      <c r="G410" s="1909"/>
      <c r="H410" s="1909"/>
      <c r="I410" s="1909"/>
      <c r="J410" s="1909"/>
      <c r="K410" s="1909"/>
      <c r="L410" s="1909"/>
      <c r="M410" s="1909"/>
    </row>
    <row r="411" spans="1:13" x14ac:dyDescent="0.2">
      <c r="A411" s="1947"/>
      <c r="B411" s="1947"/>
      <c r="D411" s="1947"/>
      <c r="E411" s="1947"/>
      <c r="F411" s="1909"/>
      <c r="G411" s="1909"/>
      <c r="H411" s="1909"/>
      <c r="I411" s="1909"/>
      <c r="J411" s="1909"/>
      <c r="K411" s="1909"/>
      <c r="L411" s="1909"/>
      <c r="M411" s="1909"/>
    </row>
    <row r="412" spans="1:13" x14ac:dyDescent="0.2">
      <c r="A412" s="1947"/>
      <c r="B412" s="1947"/>
      <c r="D412" s="1947"/>
      <c r="E412" s="1947"/>
      <c r="F412" s="1909"/>
      <c r="G412" s="1909"/>
      <c r="H412" s="1909"/>
      <c r="I412" s="1909"/>
      <c r="J412" s="1909"/>
      <c r="K412" s="1909"/>
      <c r="L412" s="1909"/>
      <c r="M412" s="1909"/>
    </row>
    <row r="413" spans="1:13" x14ac:dyDescent="0.2">
      <c r="A413" s="1947"/>
      <c r="B413" s="1947"/>
      <c r="D413" s="1947"/>
      <c r="E413" s="1947"/>
      <c r="F413" s="1909"/>
      <c r="G413" s="1909"/>
      <c r="H413" s="1909"/>
      <c r="I413" s="1909"/>
      <c r="J413" s="1909"/>
      <c r="K413" s="1909"/>
      <c r="L413" s="1909"/>
      <c r="M413" s="1909"/>
    </row>
    <row r="414" spans="1:13" x14ac:dyDescent="0.2">
      <c r="A414" s="1947"/>
      <c r="B414" s="1947"/>
      <c r="D414" s="1947"/>
      <c r="E414" s="1947"/>
      <c r="F414" s="1909"/>
      <c r="G414" s="1909"/>
      <c r="H414" s="1909"/>
      <c r="I414" s="1909"/>
      <c r="J414" s="1909"/>
      <c r="K414" s="1909"/>
      <c r="L414" s="1909"/>
      <c r="M414" s="1909"/>
    </row>
    <row r="415" spans="1:13" x14ac:dyDescent="0.2">
      <c r="A415" s="1947"/>
      <c r="B415" s="1947"/>
      <c r="D415" s="1947"/>
      <c r="E415" s="1947"/>
      <c r="F415" s="1909"/>
      <c r="G415" s="1909"/>
      <c r="H415" s="1909"/>
      <c r="I415" s="1909"/>
      <c r="J415" s="1909"/>
      <c r="K415" s="1909"/>
      <c r="L415" s="1909"/>
      <c r="M415" s="1909"/>
    </row>
    <row r="416" spans="1:13" x14ac:dyDescent="0.2">
      <c r="A416" s="1947"/>
      <c r="B416" s="1947"/>
      <c r="D416" s="1947"/>
      <c r="E416" s="1947"/>
      <c r="F416" s="1909"/>
      <c r="G416" s="1909"/>
      <c r="H416" s="1909"/>
      <c r="I416" s="1909"/>
      <c r="J416" s="1909"/>
      <c r="K416" s="1909"/>
      <c r="L416" s="1909"/>
      <c r="M416" s="1909"/>
    </row>
    <row r="417" spans="1:13" x14ac:dyDescent="0.2">
      <c r="A417" s="1947"/>
      <c r="B417" s="1947"/>
      <c r="D417" s="1947"/>
      <c r="E417" s="1947"/>
      <c r="F417" s="1909"/>
      <c r="G417" s="1909"/>
      <c r="H417" s="1909"/>
      <c r="I417" s="1909"/>
      <c r="J417" s="1909"/>
      <c r="K417" s="1909"/>
      <c r="L417" s="1909"/>
      <c r="M417" s="1909"/>
    </row>
    <row r="418" spans="1:13" x14ac:dyDescent="0.2">
      <c r="A418" s="1947"/>
      <c r="B418" s="1947"/>
      <c r="D418" s="1947"/>
      <c r="E418" s="1947"/>
      <c r="F418" s="1909"/>
      <c r="G418" s="1909"/>
      <c r="H418" s="1909"/>
      <c r="I418" s="1909"/>
      <c r="J418" s="1909"/>
      <c r="K418" s="1909"/>
      <c r="L418" s="1909"/>
      <c r="M418" s="1909"/>
    </row>
    <row r="419" spans="1:13" x14ac:dyDescent="0.2">
      <c r="A419" s="1947"/>
      <c r="B419" s="1947"/>
      <c r="D419" s="1947"/>
      <c r="E419" s="1947"/>
      <c r="F419" s="1909"/>
      <c r="G419" s="1909"/>
      <c r="H419" s="1909"/>
      <c r="I419" s="1909"/>
      <c r="J419" s="1909"/>
      <c r="K419" s="1909"/>
      <c r="L419" s="1909"/>
      <c r="M419" s="1909"/>
    </row>
    <row r="420" spans="1:13" x14ac:dyDescent="0.2">
      <c r="A420" s="1947"/>
      <c r="B420" s="1947"/>
      <c r="D420" s="1947"/>
      <c r="E420" s="1947"/>
      <c r="F420" s="1909"/>
      <c r="G420" s="1909"/>
      <c r="H420" s="1909"/>
      <c r="I420" s="1909"/>
      <c r="J420" s="1909"/>
      <c r="K420" s="1909"/>
      <c r="L420" s="1909"/>
      <c r="M420" s="1909"/>
    </row>
    <row r="421" spans="1:13" x14ac:dyDescent="0.2">
      <c r="A421" s="1947"/>
      <c r="B421" s="1947"/>
      <c r="D421" s="1947"/>
      <c r="E421" s="1947"/>
      <c r="F421" s="1909"/>
      <c r="G421" s="1909"/>
      <c r="H421" s="1909"/>
      <c r="I421" s="1909"/>
      <c r="J421" s="1909"/>
      <c r="K421" s="1909"/>
      <c r="L421" s="1909"/>
      <c r="M421" s="1909"/>
    </row>
    <row r="422" spans="1:13" x14ac:dyDescent="0.2">
      <c r="A422" s="1947"/>
      <c r="B422" s="1947"/>
      <c r="D422" s="1947"/>
      <c r="E422" s="1947"/>
      <c r="F422" s="1909"/>
      <c r="G422" s="1909"/>
      <c r="H422" s="1909"/>
      <c r="I422" s="1909"/>
      <c r="J422" s="1909"/>
      <c r="K422" s="1909"/>
      <c r="L422" s="1909"/>
      <c r="M422" s="1909"/>
    </row>
    <row r="423" spans="1:13" x14ac:dyDescent="0.2">
      <c r="A423" s="1947"/>
      <c r="B423" s="1947"/>
      <c r="D423" s="1947"/>
      <c r="E423" s="1947"/>
      <c r="F423" s="1909"/>
      <c r="G423" s="1909"/>
      <c r="H423" s="1909"/>
      <c r="I423" s="1909"/>
      <c r="J423" s="1909"/>
      <c r="K423" s="1909"/>
      <c r="L423" s="1909"/>
      <c r="M423" s="1909"/>
    </row>
    <row r="424" spans="1:13" x14ac:dyDescent="0.2">
      <c r="A424" s="1947"/>
      <c r="B424" s="1947"/>
      <c r="D424" s="1947"/>
      <c r="E424" s="1947"/>
      <c r="F424" s="1909"/>
      <c r="G424" s="1909"/>
      <c r="H424" s="1909"/>
      <c r="I424" s="1909"/>
      <c r="J424" s="1909"/>
      <c r="K424" s="1909"/>
      <c r="L424" s="1909"/>
      <c r="M424" s="1909"/>
    </row>
    <row r="425" spans="1:13" x14ac:dyDescent="0.2">
      <c r="A425" s="1947"/>
      <c r="B425" s="1947"/>
      <c r="D425" s="1947"/>
      <c r="E425" s="1947"/>
      <c r="F425" s="1909"/>
      <c r="G425" s="1909"/>
      <c r="H425" s="1909"/>
      <c r="I425" s="1909"/>
      <c r="J425" s="1909"/>
      <c r="K425" s="1909"/>
      <c r="L425" s="1909"/>
      <c r="M425" s="1909"/>
    </row>
    <row r="426" spans="1:13" x14ac:dyDescent="0.2">
      <c r="A426" s="1947"/>
      <c r="B426" s="1947"/>
      <c r="D426" s="1947"/>
      <c r="E426" s="1947"/>
      <c r="F426" s="1909"/>
      <c r="G426" s="1909"/>
      <c r="H426" s="1909"/>
      <c r="I426" s="1909"/>
      <c r="J426" s="1909"/>
      <c r="K426" s="1909"/>
      <c r="L426" s="1909"/>
      <c r="M426" s="1909"/>
    </row>
    <row r="427" spans="1:13" x14ac:dyDescent="0.2">
      <c r="A427" s="1947"/>
      <c r="B427" s="1947"/>
      <c r="D427" s="1947"/>
      <c r="E427" s="1947"/>
      <c r="F427" s="1909"/>
      <c r="G427" s="1909"/>
      <c r="H427" s="1909"/>
      <c r="I427" s="1909"/>
      <c r="J427" s="1909"/>
      <c r="K427" s="1909"/>
      <c r="L427" s="1909"/>
      <c r="M427" s="1909"/>
    </row>
    <row r="428" spans="1:13" x14ac:dyDescent="0.2">
      <c r="A428" s="1947"/>
      <c r="B428" s="1947"/>
      <c r="D428" s="1947"/>
      <c r="E428" s="1947"/>
      <c r="F428" s="1909"/>
      <c r="G428" s="1909"/>
      <c r="H428" s="1909"/>
      <c r="I428" s="1909"/>
      <c r="J428" s="1909"/>
      <c r="K428" s="1909"/>
      <c r="L428" s="1909"/>
      <c r="M428" s="1909"/>
    </row>
    <row r="429" spans="1:13" x14ac:dyDescent="0.2">
      <c r="A429" s="1947"/>
      <c r="B429" s="1947"/>
      <c r="D429" s="1947"/>
      <c r="E429" s="1947"/>
      <c r="F429" s="1909"/>
      <c r="G429" s="1909"/>
      <c r="H429" s="1909"/>
      <c r="I429" s="1909"/>
      <c r="J429" s="1909"/>
      <c r="K429" s="1909"/>
      <c r="L429" s="1909"/>
      <c r="M429" s="1909"/>
    </row>
    <row r="430" spans="1:13" x14ac:dyDescent="0.2">
      <c r="A430" s="1947"/>
      <c r="B430" s="1947"/>
      <c r="D430" s="1947"/>
      <c r="E430" s="1947"/>
      <c r="F430" s="1909"/>
      <c r="G430" s="1909"/>
      <c r="H430" s="1909"/>
      <c r="I430" s="1909"/>
      <c r="J430" s="1909"/>
      <c r="K430" s="1909"/>
      <c r="L430" s="1909"/>
      <c r="M430" s="1909"/>
    </row>
    <row r="431" spans="1:13" x14ac:dyDescent="0.2">
      <c r="A431" s="1947"/>
      <c r="B431" s="1947"/>
      <c r="D431" s="1947"/>
      <c r="E431" s="1947"/>
      <c r="F431" s="1909"/>
      <c r="G431" s="1909"/>
      <c r="H431" s="1909"/>
      <c r="I431" s="1909"/>
      <c r="J431" s="1909"/>
      <c r="K431" s="1909"/>
      <c r="L431" s="1909"/>
      <c r="M431" s="1909"/>
    </row>
    <row r="432" spans="1:13" x14ac:dyDescent="0.2">
      <c r="A432" s="1947"/>
      <c r="B432" s="1947"/>
      <c r="D432" s="1947"/>
      <c r="E432" s="1947"/>
      <c r="F432" s="1909"/>
      <c r="G432" s="1909"/>
      <c r="H432" s="1909"/>
      <c r="I432" s="1909"/>
      <c r="J432" s="1909"/>
      <c r="K432" s="1909"/>
      <c r="L432" s="1909"/>
      <c r="M432" s="1909"/>
    </row>
    <row r="433" spans="1:13" x14ac:dyDescent="0.2">
      <c r="A433" s="1947"/>
      <c r="B433" s="1947"/>
      <c r="D433" s="1947"/>
      <c r="E433" s="1947"/>
      <c r="F433" s="1909"/>
      <c r="G433" s="1909"/>
      <c r="H433" s="1909"/>
      <c r="I433" s="1909"/>
      <c r="J433" s="1909"/>
      <c r="K433" s="1909"/>
      <c r="L433" s="1909"/>
      <c r="M433" s="1909"/>
    </row>
    <row r="434" spans="1:13" x14ac:dyDescent="0.2">
      <c r="A434" s="1947"/>
      <c r="B434" s="1947"/>
      <c r="D434" s="1947"/>
      <c r="E434" s="1947"/>
      <c r="F434" s="1909"/>
      <c r="G434" s="1909"/>
      <c r="H434" s="1909"/>
      <c r="I434" s="1909"/>
      <c r="J434" s="1909"/>
      <c r="K434" s="1909"/>
      <c r="L434" s="1909"/>
      <c r="M434" s="1909"/>
    </row>
    <row r="435" spans="1:13" x14ac:dyDescent="0.2">
      <c r="A435" s="1947"/>
      <c r="B435" s="1947"/>
      <c r="D435" s="1947"/>
      <c r="E435" s="1947"/>
      <c r="F435" s="1909"/>
      <c r="G435" s="1909"/>
      <c r="H435" s="1909"/>
      <c r="I435" s="1909"/>
      <c r="J435" s="1909"/>
      <c r="K435" s="1909"/>
      <c r="L435" s="1909"/>
      <c r="M435" s="1909"/>
    </row>
    <row r="436" spans="1:13" x14ac:dyDescent="0.2">
      <c r="A436" s="1947"/>
      <c r="B436" s="1947"/>
      <c r="D436" s="1947"/>
      <c r="E436" s="1947"/>
      <c r="F436" s="1909"/>
      <c r="G436" s="1909"/>
      <c r="H436" s="1909"/>
      <c r="I436" s="1909"/>
      <c r="J436" s="1909"/>
      <c r="K436" s="1909"/>
      <c r="L436" s="1909"/>
      <c r="M436" s="1909"/>
    </row>
    <row r="437" spans="1:13" x14ac:dyDescent="0.2">
      <c r="A437" s="1947"/>
      <c r="B437" s="1947"/>
      <c r="D437" s="1947"/>
      <c r="E437" s="1947"/>
      <c r="F437" s="1909"/>
      <c r="G437" s="1909"/>
      <c r="H437" s="1909"/>
      <c r="I437" s="1909"/>
      <c r="J437" s="1909"/>
      <c r="K437" s="1909"/>
      <c r="L437" s="1909"/>
      <c r="M437" s="1909"/>
    </row>
    <row r="438" spans="1:13" x14ac:dyDescent="0.2">
      <c r="A438" s="1947"/>
      <c r="B438" s="1947"/>
      <c r="D438" s="1947"/>
      <c r="E438" s="1947"/>
      <c r="F438" s="1909"/>
      <c r="G438" s="1909"/>
      <c r="H438" s="1909"/>
      <c r="I438" s="1909"/>
      <c r="J438" s="1909"/>
      <c r="K438" s="1909"/>
      <c r="L438" s="1909"/>
      <c r="M438" s="1909"/>
    </row>
    <row r="439" spans="1:13" x14ac:dyDescent="0.2">
      <c r="A439" s="1947"/>
      <c r="B439" s="1947"/>
      <c r="D439" s="1947"/>
      <c r="E439" s="1947"/>
      <c r="F439" s="1909"/>
      <c r="G439" s="1909"/>
      <c r="H439" s="1909"/>
      <c r="I439" s="1909"/>
      <c r="J439" s="1909"/>
      <c r="K439" s="1909"/>
      <c r="L439" s="1909"/>
      <c r="M439" s="1909"/>
    </row>
    <row r="440" spans="1:13" x14ac:dyDescent="0.2">
      <c r="A440" s="1947"/>
      <c r="B440" s="1947"/>
      <c r="D440" s="1947"/>
      <c r="E440" s="1947"/>
      <c r="F440" s="1909"/>
      <c r="G440" s="1909"/>
      <c r="H440" s="1909"/>
      <c r="I440" s="1909"/>
      <c r="J440" s="1909"/>
      <c r="K440" s="1909"/>
      <c r="L440" s="1909"/>
      <c r="M440" s="1909"/>
    </row>
    <row r="441" spans="1:13" x14ac:dyDescent="0.2">
      <c r="A441" s="1947"/>
      <c r="B441" s="1947"/>
      <c r="D441" s="1947"/>
      <c r="E441" s="1947"/>
      <c r="F441" s="1909"/>
      <c r="G441" s="1909"/>
      <c r="H441" s="1909"/>
      <c r="I441" s="1909"/>
      <c r="J441" s="1909"/>
      <c r="K441" s="1909"/>
      <c r="L441" s="1909"/>
      <c r="M441" s="1909"/>
    </row>
    <row r="442" spans="1:13" x14ac:dyDescent="0.2">
      <c r="A442" s="1947"/>
      <c r="B442" s="1947"/>
      <c r="D442" s="1947"/>
      <c r="E442" s="1947"/>
      <c r="F442" s="1909"/>
      <c r="G442" s="1909"/>
      <c r="H442" s="1909"/>
      <c r="I442" s="1909"/>
      <c r="J442" s="1909"/>
      <c r="K442" s="1909"/>
      <c r="L442" s="1909"/>
      <c r="M442" s="1909"/>
    </row>
    <row r="443" spans="1:13" x14ac:dyDescent="0.2">
      <c r="A443" s="1947"/>
      <c r="B443" s="1947"/>
      <c r="D443" s="1947"/>
      <c r="E443" s="1947"/>
      <c r="F443" s="1909"/>
      <c r="G443" s="1909"/>
      <c r="H443" s="1909"/>
      <c r="I443" s="1909"/>
      <c r="J443" s="1909"/>
      <c r="K443" s="1909"/>
      <c r="L443" s="1909"/>
      <c r="M443" s="1909"/>
    </row>
    <row r="444" spans="1:13" x14ac:dyDescent="0.2">
      <c r="A444" s="1947"/>
      <c r="B444" s="1947"/>
      <c r="D444" s="1947"/>
      <c r="E444" s="1947"/>
      <c r="F444" s="1909"/>
      <c r="G444" s="1909"/>
      <c r="H444" s="1909"/>
      <c r="I444" s="1909"/>
      <c r="J444" s="1909"/>
      <c r="K444" s="1909"/>
      <c r="L444" s="1909"/>
      <c r="M444" s="1909"/>
    </row>
    <row r="445" spans="1:13" x14ac:dyDescent="0.2">
      <c r="A445" s="1947"/>
      <c r="B445" s="1947"/>
      <c r="D445" s="1947"/>
      <c r="E445" s="1947"/>
      <c r="F445" s="1909"/>
      <c r="G445" s="1909"/>
      <c r="H445" s="1909"/>
      <c r="I445" s="1909"/>
      <c r="J445" s="1909"/>
      <c r="K445" s="1909"/>
      <c r="L445" s="1909"/>
      <c r="M445" s="1909"/>
    </row>
    <row r="446" spans="1:13" x14ac:dyDescent="0.2">
      <c r="A446" s="1947"/>
      <c r="B446" s="1947"/>
      <c r="D446" s="1947"/>
      <c r="E446" s="1947"/>
      <c r="F446" s="1909"/>
      <c r="G446" s="1909"/>
      <c r="H446" s="1909"/>
      <c r="I446" s="1909"/>
      <c r="J446" s="1909"/>
      <c r="K446" s="1909"/>
      <c r="L446" s="1909"/>
      <c r="M446" s="1909"/>
    </row>
    <row r="447" spans="1:13" x14ac:dyDescent="0.2">
      <c r="A447" s="1947"/>
      <c r="B447" s="1947"/>
      <c r="D447" s="1947"/>
      <c r="E447" s="1947"/>
      <c r="F447" s="1909"/>
      <c r="G447" s="1909"/>
      <c r="H447" s="1909"/>
      <c r="I447" s="1909"/>
      <c r="J447" s="1909"/>
      <c r="K447" s="1909"/>
      <c r="L447" s="1909"/>
      <c r="M447" s="1909"/>
    </row>
    <row r="448" spans="1:13" x14ac:dyDescent="0.2">
      <c r="A448" s="1947"/>
      <c r="B448" s="1947"/>
      <c r="D448" s="1947"/>
      <c r="E448" s="1947"/>
      <c r="F448" s="1909"/>
      <c r="G448" s="1909"/>
      <c r="H448" s="1909"/>
      <c r="I448" s="1909"/>
      <c r="J448" s="1909"/>
      <c r="K448" s="1909"/>
      <c r="L448" s="1909"/>
      <c r="M448" s="1909"/>
    </row>
    <row r="449" spans="1:13" x14ac:dyDescent="0.2">
      <c r="A449" s="1947"/>
      <c r="B449" s="1947"/>
      <c r="D449" s="1947"/>
      <c r="E449" s="1947"/>
      <c r="F449" s="1909"/>
      <c r="G449" s="1909"/>
      <c r="H449" s="1909"/>
      <c r="I449" s="1909"/>
      <c r="J449" s="1909"/>
      <c r="K449" s="1909"/>
      <c r="L449" s="1909"/>
      <c r="M449" s="1909"/>
    </row>
    <row r="450" spans="1:13" x14ac:dyDescent="0.2">
      <c r="A450" s="1947"/>
      <c r="B450" s="1947"/>
      <c r="D450" s="1947"/>
      <c r="E450" s="1947"/>
      <c r="F450" s="1909"/>
      <c r="G450" s="1909"/>
      <c r="H450" s="1909"/>
      <c r="I450" s="1909"/>
      <c r="J450" s="1909"/>
      <c r="K450" s="1909"/>
      <c r="L450" s="1909"/>
      <c r="M450" s="1909"/>
    </row>
    <row r="451" spans="1:13" x14ac:dyDescent="0.2">
      <c r="A451" s="1947"/>
      <c r="B451" s="1947"/>
      <c r="D451" s="1947"/>
      <c r="E451" s="1947"/>
      <c r="F451" s="1909"/>
      <c r="G451" s="1909"/>
      <c r="H451" s="1909"/>
      <c r="I451" s="1909"/>
      <c r="J451" s="1909"/>
      <c r="K451" s="1909"/>
      <c r="L451" s="1909"/>
      <c r="M451" s="1909"/>
    </row>
    <row r="452" spans="1:13" x14ac:dyDescent="0.2">
      <c r="A452" s="1947"/>
      <c r="B452" s="1947"/>
      <c r="D452" s="1947"/>
      <c r="E452" s="1947"/>
      <c r="F452" s="1909"/>
      <c r="G452" s="1909"/>
      <c r="H452" s="1909"/>
      <c r="I452" s="1909"/>
      <c r="J452" s="1909"/>
      <c r="K452" s="1909"/>
      <c r="L452" s="1909"/>
      <c r="M452" s="1909"/>
    </row>
    <row r="453" spans="1:13" x14ac:dyDescent="0.2">
      <c r="A453" s="1947"/>
      <c r="B453" s="1947"/>
      <c r="D453" s="1947"/>
      <c r="E453" s="1947"/>
      <c r="F453" s="1909"/>
      <c r="G453" s="1909"/>
      <c r="H453" s="1909"/>
      <c r="I453" s="1909"/>
      <c r="J453" s="1909"/>
      <c r="K453" s="1909"/>
      <c r="L453" s="1909"/>
      <c r="M453" s="1909"/>
    </row>
    <row r="454" spans="1:13" x14ac:dyDescent="0.2">
      <c r="A454" s="1947"/>
      <c r="B454" s="1947"/>
      <c r="D454" s="1947"/>
      <c r="E454" s="1947"/>
      <c r="F454" s="1909"/>
      <c r="G454" s="1909"/>
      <c r="H454" s="1909"/>
      <c r="I454" s="1909"/>
      <c r="J454" s="1909"/>
      <c r="K454" s="1909"/>
      <c r="L454" s="1909"/>
      <c r="M454" s="1909"/>
    </row>
    <row r="455" spans="1:13" x14ac:dyDescent="0.2">
      <c r="A455" s="1947"/>
      <c r="B455" s="1947"/>
      <c r="D455" s="1947"/>
      <c r="E455" s="1947"/>
      <c r="F455" s="1909"/>
      <c r="G455" s="1909"/>
      <c r="H455" s="1909"/>
      <c r="I455" s="1909"/>
      <c r="J455" s="1909"/>
      <c r="K455" s="1909"/>
      <c r="L455" s="1909"/>
      <c r="M455" s="1909"/>
    </row>
    <row r="456" spans="1:13" x14ac:dyDescent="0.2">
      <c r="A456" s="1947"/>
      <c r="B456" s="1947"/>
      <c r="D456" s="1947"/>
      <c r="E456" s="1947"/>
      <c r="F456" s="1909"/>
      <c r="G456" s="1909"/>
      <c r="H456" s="1909"/>
      <c r="I456" s="1909"/>
      <c r="J456" s="1909"/>
      <c r="K456" s="1909"/>
      <c r="L456" s="1909"/>
      <c r="M456" s="1909"/>
    </row>
    <row r="457" spans="1:13" x14ac:dyDescent="0.2">
      <c r="A457" s="1947"/>
      <c r="B457" s="1947"/>
      <c r="D457" s="1947"/>
      <c r="E457" s="1947"/>
      <c r="F457" s="1909"/>
      <c r="G457" s="1909"/>
      <c r="H457" s="1909"/>
      <c r="I457" s="1909"/>
      <c r="J457" s="1909"/>
      <c r="K457" s="1909"/>
      <c r="L457" s="1909"/>
      <c r="M457" s="1909"/>
    </row>
    <row r="458" spans="1:13" x14ac:dyDescent="0.2">
      <c r="A458" s="1947"/>
      <c r="B458" s="1947"/>
      <c r="D458" s="1947"/>
      <c r="E458" s="1947"/>
      <c r="F458" s="1909"/>
      <c r="G458" s="1909"/>
      <c r="H458" s="1909"/>
      <c r="I458" s="1909"/>
      <c r="J458" s="1909"/>
      <c r="K458" s="1909"/>
      <c r="L458" s="1909"/>
      <c r="M458" s="1909"/>
    </row>
    <row r="459" spans="1:13" x14ac:dyDescent="0.2">
      <c r="A459" s="1947"/>
      <c r="B459" s="1947"/>
      <c r="D459" s="1947"/>
      <c r="E459" s="1947"/>
      <c r="F459" s="1909"/>
      <c r="G459" s="1909"/>
      <c r="H459" s="1909"/>
      <c r="I459" s="1909"/>
      <c r="J459" s="1909"/>
      <c r="K459" s="1909"/>
      <c r="L459" s="1909"/>
      <c r="M459" s="1909"/>
    </row>
    <row r="460" spans="1:13" x14ac:dyDescent="0.2">
      <c r="A460" s="1947"/>
      <c r="B460" s="1947"/>
      <c r="D460" s="1947"/>
      <c r="E460" s="1947"/>
      <c r="F460" s="1909"/>
      <c r="G460" s="1909"/>
      <c r="H460" s="1909"/>
      <c r="I460" s="1909"/>
      <c r="J460" s="1909"/>
      <c r="K460" s="1909"/>
      <c r="L460" s="1909"/>
      <c r="M460" s="1909"/>
    </row>
    <row r="461" spans="1:13" x14ac:dyDescent="0.2">
      <c r="A461" s="1947"/>
      <c r="B461" s="1947"/>
      <c r="D461" s="1947"/>
      <c r="E461" s="1947"/>
      <c r="F461" s="1909"/>
      <c r="G461" s="1909"/>
      <c r="H461" s="1909"/>
      <c r="I461" s="1909"/>
      <c r="J461" s="1909"/>
      <c r="K461" s="1909"/>
      <c r="L461" s="1909"/>
      <c r="M461" s="1909"/>
    </row>
    <row r="462" spans="1:13" x14ac:dyDescent="0.2">
      <c r="A462" s="1947"/>
      <c r="B462" s="1947"/>
      <c r="D462" s="1947"/>
      <c r="E462" s="1947"/>
      <c r="F462" s="1909"/>
      <c r="G462" s="1909"/>
      <c r="H462" s="1909"/>
      <c r="I462" s="1909"/>
      <c r="J462" s="1909"/>
      <c r="K462" s="1909"/>
      <c r="L462" s="1909"/>
      <c r="M462" s="1909"/>
    </row>
    <row r="463" spans="1:13" x14ac:dyDescent="0.2">
      <c r="A463" s="1947"/>
      <c r="B463" s="1947"/>
      <c r="D463" s="1947"/>
      <c r="E463" s="1947"/>
      <c r="F463" s="1909"/>
      <c r="G463" s="1909"/>
      <c r="H463" s="1909"/>
      <c r="I463" s="1909"/>
      <c r="J463" s="1909"/>
      <c r="K463" s="1909"/>
      <c r="L463" s="1909"/>
      <c r="M463" s="1909"/>
    </row>
    <row r="464" spans="1:13" x14ac:dyDescent="0.2">
      <c r="A464" s="1947"/>
      <c r="B464" s="1947"/>
      <c r="D464" s="1947"/>
      <c r="E464" s="1947"/>
      <c r="F464" s="1909"/>
      <c r="G464" s="1909"/>
      <c r="H464" s="1909"/>
      <c r="I464" s="1909"/>
      <c r="J464" s="1909"/>
      <c r="K464" s="1909"/>
      <c r="L464" s="1909"/>
      <c r="M464" s="1909"/>
    </row>
    <row r="465" spans="1:13" x14ac:dyDescent="0.2">
      <c r="A465" s="1947"/>
      <c r="B465" s="1947"/>
      <c r="D465" s="1947"/>
      <c r="E465" s="1947"/>
      <c r="F465" s="1909"/>
      <c r="G465" s="1909"/>
      <c r="H465" s="1909"/>
      <c r="I465" s="1909"/>
      <c r="J465" s="1909"/>
      <c r="K465" s="1909"/>
      <c r="L465" s="1909"/>
      <c r="M465" s="1909"/>
    </row>
    <row r="466" spans="1:13" x14ac:dyDescent="0.2">
      <c r="A466" s="1947"/>
      <c r="B466" s="1947"/>
      <c r="D466" s="1947"/>
      <c r="E466" s="1947"/>
      <c r="F466" s="1909"/>
      <c r="G466" s="1909"/>
      <c r="H466" s="1909"/>
      <c r="I466" s="1909"/>
      <c r="J466" s="1909"/>
      <c r="K466" s="1909"/>
      <c r="L466" s="1909"/>
      <c r="M466" s="1909"/>
    </row>
    <row r="467" spans="1:13" x14ac:dyDescent="0.2">
      <c r="A467" s="1947"/>
      <c r="B467" s="1947"/>
      <c r="D467" s="1947"/>
      <c r="E467" s="1947"/>
      <c r="F467" s="1909"/>
      <c r="G467" s="1909"/>
      <c r="H467" s="1909"/>
      <c r="I467" s="1909"/>
      <c r="J467" s="1909"/>
      <c r="K467" s="1909"/>
      <c r="L467" s="1909"/>
      <c r="M467" s="1909"/>
    </row>
    <row r="468" spans="1:13" x14ac:dyDescent="0.2">
      <c r="A468" s="1947"/>
      <c r="B468" s="1947"/>
      <c r="D468" s="1947"/>
      <c r="E468" s="1947"/>
      <c r="F468" s="1909"/>
      <c r="G468" s="1909"/>
      <c r="H468" s="1909"/>
      <c r="I468" s="1909"/>
      <c r="J468" s="1909"/>
      <c r="K468" s="1909"/>
      <c r="L468" s="1909"/>
      <c r="M468" s="1909"/>
    </row>
    <row r="469" spans="1:13" x14ac:dyDescent="0.2">
      <c r="A469" s="1947"/>
      <c r="B469" s="1947"/>
      <c r="D469" s="1947"/>
      <c r="E469" s="1947"/>
      <c r="F469" s="1909"/>
      <c r="G469" s="1909"/>
      <c r="H469" s="1909"/>
      <c r="I469" s="1909"/>
      <c r="J469" s="1909"/>
      <c r="K469" s="1909"/>
      <c r="L469" s="1909"/>
      <c r="M469" s="1909"/>
    </row>
    <row r="470" spans="1:13" x14ac:dyDescent="0.2">
      <c r="A470" s="1947"/>
      <c r="B470" s="1947"/>
      <c r="D470" s="1947"/>
      <c r="E470" s="1947"/>
      <c r="F470" s="1909"/>
      <c r="G470" s="1909"/>
      <c r="H470" s="1909"/>
      <c r="I470" s="1909"/>
      <c r="J470" s="1909"/>
      <c r="K470" s="1909"/>
      <c r="L470" s="1909"/>
      <c r="M470" s="1909"/>
    </row>
    <row r="471" spans="1:13" x14ac:dyDescent="0.2">
      <c r="A471" s="1947"/>
      <c r="B471" s="1947"/>
      <c r="D471" s="1947"/>
      <c r="E471" s="1947"/>
      <c r="F471" s="1909"/>
      <c r="G471" s="1909"/>
      <c r="H471" s="1909"/>
      <c r="I471" s="1909"/>
      <c r="J471" s="1909"/>
      <c r="K471" s="1909"/>
      <c r="L471" s="1909"/>
      <c r="M471" s="1909"/>
    </row>
    <row r="472" spans="1:13" x14ac:dyDescent="0.2">
      <c r="A472" s="1947"/>
      <c r="B472" s="1947"/>
      <c r="D472" s="1947"/>
      <c r="E472" s="1947"/>
      <c r="F472" s="1909"/>
      <c r="G472" s="1909"/>
      <c r="H472" s="1909"/>
      <c r="I472" s="1909"/>
      <c r="J472" s="1909"/>
      <c r="K472" s="1909"/>
      <c r="L472" s="1909"/>
      <c r="M472" s="1909"/>
    </row>
    <row r="473" spans="1:13" x14ac:dyDescent="0.2">
      <c r="A473" s="1947"/>
      <c r="B473" s="1947"/>
      <c r="D473" s="1947"/>
      <c r="E473" s="1947"/>
      <c r="F473" s="1909"/>
      <c r="G473" s="1909"/>
      <c r="H473" s="1909"/>
      <c r="I473" s="1909"/>
      <c r="J473" s="1909"/>
      <c r="K473" s="1909"/>
      <c r="L473" s="1909"/>
      <c r="M473" s="1909"/>
    </row>
    <row r="474" spans="1:13" x14ac:dyDescent="0.2">
      <c r="A474" s="1947"/>
      <c r="B474" s="1947"/>
      <c r="D474" s="1947"/>
      <c r="E474" s="1947"/>
      <c r="F474" s="1909"/>
      <c r="G474" s="1909"/>
      <c r="H474" s="1909"/>
      <c r="I474" s="1909"/>
      <c r="J474" s="1909"/>
      <c r="K474" s="1909"/>
      <c r="L474" s="1909"/>
      <c r="M474" s="1909"/>
    </row>
    <row r="475" spans="1:13" x14ac:dyDescent="0.2">
      <c r="A475" s="1947"/>
      <c r="B475" s="1947"/>
      <c r="D475" s="1947"/>
      <c r="E475" s="1947"/>
      <c r="F475" s="1909"/>
      <c r="G475" s="1909"/>
      <c r="H475" s="1909"/>
      <c r="I475" s="1909"/>
      <c r="J475" s="1909"/>
      <c r="K475" s="1909"/>
      <c r="L475" s="1909"/>
      <c r="M475" s="1909"/>
    </row>
    <row r="476" spans="1:13" x14ac:dyDescent="0.2">
      <c r="A476" s="1947"/>
      <c r="B476" s="1947"/>
      <c r="D476" s="1947"/>
      <c r="E476" s="1947"/>
      <c r="F476" s="1909"/>
      <c r="G476" s="1909"/>
      <c r="H476" s="1909"/>
      <c r="I476" s="1909"/>
      <c r="J476" s="1909"/>
      <c r="K476" s="1909"/>
      <c r="L476" s="1909"/>
      <c r="M476" s="1909"/>
    </row>
    <row r="477" spans="1:13" x14ac:dyDescent="0.2">
      <c r="A477" s="1947"/>
      <c r="B477" s="1947"/>
      <c r="D477" s="1947"/>
      <c r="E477" s="1947"/>
      <c r="F477" s="1909"/>
      <c r="G477" s="1909"/>
      <c r="H477" s="1909"/>
      <c r="I477" s="1909"/>
      <c r="J477" s="1909"/>
      <c r="K477" s="1909"/>
      <c r="L477" s="1909"/>
      <c r="M477" s="1909"/>
    </row>
    <row r="478" spans="1:13" x14ac:dyDescent="0.2">
      <c r="A478" s="1947"/>
      <c r="B478" s="1947"/>
      <c r="D478" s="1947"/>
      <c r="E478" s="1947"/>
      <c r="F478" s="1909"/>
      <c r="G478" s="1909"/>
      <c r="H478" s="1909"/>
      <c r="I478" s="1909"/>
      <c r="J478" s="1909"/>
      <c r="K478" s="1909"/>
      <c r="L478" s="1909"/>
      <c r="M478" s="1909"/>
    </row>
    <row r="479" spans="1:13" x14ac:dyDescent="0.2">
      <c r="A479" s="1947"/>
      <c r="B479" s="1947"/>
      <c r="D479" s="1947"/>
      <c r="E479" s="1947"/>
      <c r="F479" s="1909"/>
      <c r="G479" s="1909"/>
      <c r="H479" s="1909"/>
      <c r="I479" s="1909"/>
      <c r="J479" s="1909"/>
      <c r="K479" s="1909"/>
      <c r="L479" s="1909"/>
      <c r="M479" s="1909"/>
    </row>
    <row r="480" spans="1:13" x14ac:dyDescent="0.2">
      <c r="A480" s="1947"/>
      <c r="B480" s="1947"/>
      <c r="D480" s="1947"/>
      <c r="E480" s="1947"/>
      <c r="F480" s="1909"/>
      <c r="G480" s="1909"/>
      <c r="H480" s="1909"/>
      <c r="I480" s="1909"/>
      <c r="J480" s="1909"/>
      <c r="K480" s="1909"/>
      <c r="L480" s="1909"/>
      <c r="M480" s="1909"/>
    </row>
    <row r="481" spans="1:13" x14ac:dyDescent="0.2">
      <c r="A481" s="1947"/>
      <c r="B481" s="1947"/>
      <c r="D481" s="1947"/>
      <c r="E481" s="1947"/>
      <c r="F481" s="1909"/>
      <c r="G481" s="1909"/>
      <c r="H481" s="1909"/>
      <c r="I481" s="1909"/>
      <c r="J481" s="1909"/>
      <c r="K481" s="1909"/>
      <c r="L481" s="1909"/>
      <c r="M481" s="1909"/>
    </row>
    <row r="482" spans="1:13" x14ac:dyDescent="0.2">
      <c r="A482" s="1947"/>
      <c r="B482" s="1947"/>
      <c r="D482" s="1947"/>
      <c r="E482" s="1947"/>
      <c r="F482" s="1909"/>
      <c r="G482" s="1909"/>
      <c r="H482" s="1909"/>
      <c r="I482" s="1909"/>
      <c r="J482" s="1909"/>
      <c r="K482" s="1909"/>
      <c r="L482" s="1909"/>
      <c r="M482" s="1909"/>
    </row>
    <row r="483" spans="1:13" x14ac:dyDescent="0.2">
      <c r="A483" s="1947"/>
      <c r="B483" s="1947"/>
      <c r="D483" s="1947"/>
      <c r="E483" s="1947"/>
      <c r="F483" s="1909"/>
      <c r="G483" s="1909"/>
      <c r="H483" s="1909"/>
      <c r="I483" s="1909"/>
      <c r="J483" s="1909"/>
      <c r="K483" s="1909"/>
      <c r="L483" s="1909"/>
      <c r="M483" s="1909"/>
    </row>
    <row r="484" spans="1:13" x14ac:dyDescent="0.2">
      <c r="A484" s="1947"/>
      <c r="B484" s="1947"/>
      <c r="D484" s="1947"/>
      <c r="E484" s="1947"/>
      <c r="F484" s="1909"/>
      <c r="G484" s="1909"/>
      <c r="H484" s="1909"/>
      <c r="I484" s="1909"/>
      <c r="J484" s="1909"/>
      <c r="K484" s="1909"/>
      <c r="L484" s="1909"/>
      <c r="M484" s="1909"/>
    </row>
    <row r="485" spans="1:13" x14ac:dyDescent="0.2">
      <c r="A485" s="1947"/>
      <c r="B485" s="1947"/>
      <c r="D485" s="1947"/>
      <c r="E485" s="1947"/>
      <c r="F485" s="1909"/>
      <c r="G485" s="1909"/>
      <c r="H485" s="1909"/>
      <c r="I485" s="1909"/>
      <c r="J485" s="1909"/>
      <c r="K485" s="1909"/>
      <c r="L485" s="1909"/>
      <c r="M485" s="1909"/>
    </row>
    <row r="486" spans="1:13" x14ac:dyDescent="0.2">
      <c r="A486" s="1947"/>
      <c r="B486" s="1947"/>
      <c r="D486" s="1947"/>
      <c r="E486" s="1947"/>
      <c r="F486" s="1909"/>
      <c r="G486" s="1909"/>
      <c r="H486" s="1909"/>
      <c r="I486" s="1909"/>
      <c r="J486" s="1909"/>
      <c r="K486" s="1909"/>
      <c r="L486" s="1909"/>
      <c r="M486" s="1909"/>
    </row>
    <row r="487" spans="1:13" x14ac:dyDescent="0.2">
      <c r="A487" s="1947"/>
      <c r="B487" s="1947"/>
      <c r="D487" s="1947"/>
      <c r="E487" s="1947"/>
      <c r="F487" s="1909"/>
      <c r="G487" s="1909"/>
      <c r="H487" s="1909"/>
      <c r="I487" s="1909"/>
      <c r="J487" s="1909"/>
      <c r="K487" s="1909"/>
      <c r="L487" s="1909"/>
      <c r="M487" s="1909"/>
    </row>
    <row r="488" spans="1:13" x14ac:dyDescent="0.2">
      <c r="A488" s="1947"/>
      <c r="B488" s="1947"/>
      <c r="D488" s="1947"/>
      <c r="E488" s="1947"/>
      <c r="F488" s="1909"/>
      <c r="G488" s="1909"/>
      <c r="H488" s="1909"/>
      <c r="I488" s="1909"/>
      <c r="J488" s="1909"/>
      <c r="K488" s="1909"/>
      <c r="L488" s="1909"/>
      <c r="M488" s="1909"/>
    </row>
    <row r="489" spans="1:13" x14ac:dyDescent="0.2">
      <c r="A489" s="1947"/>
      <c r="B489" s="1947"/>
      <c r="D489" s="1947"/>
      <c r="E489" s="1947"/>
      <c r="F489" s="1909"/>
      <c r="G489" s="1909"/>
      <c r="H489" s="1909"/>
      <c r="I489" s="1909"/>
      <c r="J489" s="1909"/>
      <c r="K489" s="1909"/>
      <c r="L489" s="1909"/>
      <c r="M489" s="1909"/>
    </row>
    <row r="490" spans="1:13" x14ac:dyDescent="0.2">
      <c r="A490" s="1947"/>
      <c r="B490" s="1947"/>
      <c r="D490" s="1947"/>
      <c r="E490" s="1947"/>
      <c r="F490" s="1909"/>
      <c r="G490" s="1909"/>
      <c r="H490" s="1909"/>
      <c r="I490" s="1909"/>
      <c r="J490" s="1909"/>
      <c r="K490" s="1909"/>
      <c r="L490" s="1909"/>
      <c r="M490" s="1909"/>
    </row>
    <row r="491" spans="1:13" x14ac:dyDescent="0.2">
      <c r="A491" s="1947"/>
      <c r="B491" s="1947"/>
      <c r="D491" s="1947"/>
      <c r="E491" s="1947"/>
      <c r="F491" s="1909"/>
      <c r="G491" s="1909"/>
      <c r="H491" s="1909"/>
      <c r="I491" s="1909"/>
      <c r="J491" s="1909"/>
      <c r="K491" s="1909"/>
      <c r="L491" s="1909"/>
      <c r="M491" s="1909"/>
    </row>
    <row r="492" spans="1:13" x14ac:dyDescent="0.2">
      <c r="A492" s="1947"/>
      <c r="B492" s="1947"/>
      <c r="D492" s="1947"/>
      <c r="E492" s="1947"/>
      <c r="F492" s="1909"/>
      <c r="G492" s="1909"/>
      <c r="H492" s="1909"/>
      <c r="I492" s="1909"/>
      <c r="J492" s="1909"/>
      <c r="K492" s="1909"/>
      <c r="L492" s="1909"/>
      <c r="M492" s="1909"/>
    </row>
    <row r="493" spans="1:13" x14ac:dyDescent="0.2">
      <c r="A493" s="1947"/>
      <c r="B493" s="1947"/>
      <c r="D493" s="1947"/>
      <c r="E493" s="1947"/>
      <c r="F493" s="1909"/>
      <c r="G493" s="1909"/>
      <c r="H493" s="1909"/>
      <c r="I493" s="1909"/>
      <c r="J493" s="1909"/>
      <c r="K493" s="1909"/>
      <c r="L493" s="1909"/>
      <c r="M493" s="1909"/>
    </row>
    <row r="494" spans="1:13" x14ac:dyDescent="0.2">
      <c r="A494" s="1947"/>
      <c r="B494" s="1947"/>
      <c r="D494" s="1947"/>
      <c r="E494" s="1947"/>
      <c r="F494" s="1909"/>
      <c r="G494" s="1909"/>
      <c r="H494" s="1909"/>
      <c r="I494" s="1909"/>
      <c r="J494" s="1909"/>
      <c r="K494" s="1909"/>
      <c r="L494" s="1909"/>
      <c r="M494" s="1909"/>
    </row>
    <row r="495" spans="1:13" x14ac:dyDescent="0.2">
      <c r="A495" s="1947"/>
      <c r="B495" s="1947"/>
      <c r="D495" s="1947"/>
      <c r="E495" s="1947"/>
      <c r="F495" s="1909"/>
      <c r="G495" s="1909"/>
      <c r="H495" s="1909"/>
      <c r="I495" s="1909"/>
      <c r="J495" s="1909"/>
      <c r="K495" s="1909"/>
      <c r="L495" s="1909"/>
      <c r="M495" s="1909"/>
    </row>
    <row r="496" spans="1:13" x14ac:dyDescent="0.2">
      <c r="A496" s="1947"/>
      <c r="B496" s="1947"/>
      <c r="D496" s="1947"/>
      <c r="E496" s="1947"/>
      <c r="F496" s="1909"/>
      <c r="G496" s="1909"/>
      <c r="H496" s="1909"/>
      <c r="I496" s="1909"/>
      <c r="J496" s="1909"/>
      <c r="K496" s="1909"/>
      <c r="L496" s="1909"/>
      <c r="M496" s="1909"/>
    </row>
    <row r="497" spans="1:13" x14ac:dyDescent="0.2">
      <c r="A497" s="1947"/>
      <c r="B497" s="1947"/>
      <c r="D497" s="1947"/>
      <c r="E497" s="1947"/>
      <c r="F497" s="1909"/>
      <c r="G497" s="1909"/>
      <c r="H497" s="1909"/>
      <c r="I497" s="1909"/>
      <c r="J497" s="1909"/>
      <c r="K497" s="1909"/>
      <c r="L497" s="1909"/>
      <c r="M497" s="1909"/>
    </row>
    <row r="498" spans="1:13" x14ac:dyDescent="0.2">
      <c r="A498" s="1947"/>
      <c r="B498" s="1947"/>
      <c r="D498" s="1947"/>
      <c r="E498" s="1947"/>
      <c r="F498" s="1909"/>
      <c r="G498" s="1909"/>
      <c r="H498" s="1909"/>
      <c r="I498" s="1909"/>
      <c r="J498" s="1909"/>
      <c r="K498" s="1909"/>
      <c r="L498" s="1909"/>
      <c r="M498" s="1909"/>
    </row>
    <row r="499" spans="1:13" x14ac:dyDescent="0.2">
      <c r="A499" s="1947"/>
      <c r="B499" s="1947"/>
      <c r="D499" s="1947"/>
      <c r="E499" s="1947"/>
      <c r="F499" s="1909"/>
      <c r="G499" s="1909"/>
      <c r="H499" s="1909"/>
      <c r="I499" s="1909"/>
      <c r="J499" s="1909"/>
      <c r="K499" s="1909"/>
      <c r="L499" s="1909"/>
      <c r="M499" s="1909"/>
    </row>
    <row r="500" spans="1:13" x14ac:dyDescent="0.2">
      <c r="A500" s="1947"/>
      <c r="B500" s="1947"/>
      <c r="D500" s="1947"/>
      <c r="E500" s="1947"/>
      <c r="F500" s="1909"/>
      <c r="G500" s="1909"/>
      <c r="H500" s="1909"/>
      <c r="I500" s="1909"/>
      <c r="J500" s="1909"/>
      <c r="K500" s="1909"/>
      <c r="L500" s="1909"/>
      <c r="M500" s="1909"/>
    </row>
    <row r="501" spans="1:13" x14ac:dyDescent="0.2">
      <c r="A501" s="1947"/>
      <c r="B501" s="1947"/>
      <c r="D501" s="1947"/>
      <c r="E501" s="1947"/>
      <c r="F501" s="1909"/>
      <c r="G501" s="1909"/>
      <c r="H501" s="1909"/>
      <c r="I501" s="1909"/>
      <c r="J501" s="1909"/>
      <c r="K501" s="1909"/>
      <c r="L501" s="1909"/>
      <c r="M501" s="1909"/>
    </row>
    <row r="502" spans="1:13" x14ac:dyDescent="0.2">
      <c r="A502" s="1947"/>
      <c r="B502" s="1947"/>
      <c r="D502" s="1947"/>
      <c r="E502" s="1947"/>
      <c r="F502" s="1909"/>
      <c r="G502" s="1909"/>
      <c r="H502" s="1909"/>
      <c r="I502" s="1909"/>
      <c r="J502" s="1909"/>
      <c r="K502" s="1909"/>
      <c r="L502" s="1909"/>
      <c r="M502" s="1909"/>
    </row>
    <row r="503" spans="1:13" x14ac:dyDescent="0.2">
      <c r="A503" s="1947"/>
      <c r="B503" s="1947"/>
      <c r="D503" s="1947"/>
      <c r="E503" s="1947"/>
      <c r="F503" s="1909"/>
      <c r="G503" s="1909"/>
      <c r="H503" s="1909"/>
      <c r="I503" s="1909"/>
      <c r="J503" s="1909"/>
      <c r="K503" s="1909"/>
      <c r="L503" s="1909"/>
      <c r="M503" s="1909"/>
    </row>
    <row r="504" spans="1:13" x14ac:dyDescent="0.2">
      <c r="A504" s="1947"/>
      <c r="B504" s="1947"/>
      <c r="D504" s="1947"/>
      <c r="E504" s="1947"/>
      <c r="F504" s="1909"/>
      <c r="G504" s="1909"/>
      <c r="H504" s="1909"/>
      <c r="I504" s="1909"/>
      <c r="J504" s="1909"/>
      <c r="K504" s="1909"/>
      <c r="L504" s="1909"/>
      <c r="M504" s="1909"/>
    </row>
    <row r="505" spans="1:13" x14ac:dyDescent="0.2">
      <c r="A505" s="1947"/>
      <c r="B505" s="1947"/>
      <c r="D505" s="1947"/>
      <c r="E505" s="1947"/>
      <c r="F505" s="1909"/>
      <c r="G505" s="1909"/>
      <c r="H505" s="1909"/>
      <c r="I505" s="1909"/>
      <c r="J505" s="1909"/>
      <c r="K505" s="1909"/>
      <c r="L505" s="1909"/>
      <c r="M505" s="1909"/>
    </row>
    <row r="506" spans="1:13" x14ac:dyDescent="0.2">
      <c r="A506" s="1947"/>
      <c r="B506" s="1947"/>
      <c r="D506" s="1947"/>
      <c r="E506" s="1947"/>
      <c r="F506" s="1909"/>
      <c r="G506" s="1909"/>
      <c r="H506" s="1909"/>
      <c r="I506" s="1909"/>
      <c r="J506" s="1909"/>
      <c r="K506" s="1909"/>
      <c r="L506" s="1909"/>
      <c r="M506" s="1909"/>
    </row>
    <row r="507" spans="1:13" x14ac:dyDescent="0.2">
      <c r="A507" s="1947"/>
      <c r="B507" s="1947"/>
      <c r="D507" s="1947"/>
      <c r="E507" s="1947"/>
      <c r="F507" s="1909"/>
      <c r="G507" s="1909"/>
      <c r="H507" s="1909"/>
      <c r="I507" s="1909"/>
      <c r="J507" s="1909"/>
      <c r="K507" s="1909"/>
      <c r="L507" s="1909"/>
      <c r="M507" s="1909"/>
    </row>
    <row r="508" spans="1:13" x14ac:dyDescent="0.2">
      <c r="A508" s="1947"/>
      <c r="B508" s="1947"/>
      <c r="D508" s="1947"/>
      <c r="E508" s="1947"/>
      <c r="F508" s="1909"/>
      <c r="G508" s="1909"/>
      <c r="H508" s="1909"/>
      <c r="I508" s="1909"/>
      <c r="J508" s="1909"/>
      <c r="K508" s="1909"/>
      <c r="L508" s="1909"/>
      <c r="M508" s="1909"/>
    </row>
    <row r="509" spans="1:13" x14ac:dyDescent="0.2">
      <c r="A509" s="1947"/>
      <c r="B509" s="1947"/>
      <c r="D509" s="1947"/>
      <c r="E509" s="1947"/>
      <c r="F509" s="1909"/>
      <c r="G509" s="1909"/>
      <c r="H509" s="1909"/>
      <c r="I509" s="1909"/>
      <c r="J509" s="1909"/>
      <c r="K509" s="1909"/>
      <c r="L509" s="1909"/>
      <c r="M509" s="1909"/>
    </row>
    <row r="510" spans="1:13" x14ac:dyDescent="0.2">
      <c r="A510" s="1947"/>
      <c r="B510" s="1947"/>
      <c r="D510" s="1947"/>
      <c r="E510" s="1947"/>
      <c r="F510" s="1909"/>
      <c r="G510" s="1909"/>
      <c r="H510" s="1909"/>
      <c r="I510" s="1909"/>
      <c r="J510" s="1909"/>
      <c r="K510" s="1909"/>
      <c r="L510" s="1909"/>
      <c r="M510" s="1909"/>
    </row>
    <row r="511" spans="1:13" x14ac:dyDescent="0.2">
      <c r="A511" s="1947"/>
      <c r="B511" s="1947"/>
      <c r="D511" s="1947"/>
      <c r="E511" s="1947"/>
      <c r="F511" s="1909"/>
      <c r="G511" s="1909"/>
      <c r="H511" s="1909"/>
      <c r="I511" s="1909"/>
      <c r="J511" s="1909"/>
      <c r="K511" s="1909"/>
      <c r="L511" s="1909"/>
      <c r="M511" s="1909"/>
    </row>
    <row r="512" spans="1:13" x14ac:dyDescent="0.2">
      <c r="A512" s="1947"/>
      <c r="B512" s="1947"/>
      <c r="D512" s="1947"/>
      <c r="E512" s="1947"/>
      <c r="F512" s="1909"/>
      <c r="G512" s="1909"/>
      <c r="H512" s="1909"/>
      <c r="I512" s="1909"/>
      <c r="J512" s="1909"/>
      <c r="K512" s="1909"/>
      <c r="L512" s="1909"/>
      <c r="M512" s="1909"/>
    </row>
    <row r="513" spans="1:13" x14ac:dyDescent="0.2">
      <c r="A513" s="1947"/>
      <c r="B513" s="1947"/>
      <c r="D513" s="1947"/>
      <c r="E513" s="1947"/>
      <c r="F513" s="1909"/>
      <c r="G513" s="1909"/>
      <c r="H513" s="1909"/>
      <c r="I513" s="1909"/>
      <c r="J513" s="1909"/>
      <c r="K513" s="1909"/>
      <c r="L513" s="1909"/>
      <c r="M513" s="1909"/>
    </row>
    <row r="514" spans="1:13" x14ac:dyDescent="0.2">
      <c r="A514" s="1947"/>
      <c r="B514" s="1947"/>
      <c r="D514" s="1947"/>
      <c r="E514" s="1947"/>
      <c r="F514" s="1909"/>
      <c r="G514" s="1909"/>
      <c r="H514" s="1909"/>
      <c r="I514" s="1909"/>
      <c r="J514" s="1909"/>
      <c r="K514" s="1909"/>
      <c r="L514" s="1909"/>
      <c r="M514" s="1909"/>
    </row>
    <row r="515" spans="1:13" x14ac:dyDescent="0.2">
      <c r="A515" s="1947"/>
      <c r="B515" s="1947"/>
      <c r="D515" s="1947"/>
      <c r="E515" s="1947"/>
      <c r="F515" s="1909"/>
      <c r="G515" s="1909"/>
      <c r="H515" s="1909"/>
      <c r="I515" s="1909"/>
      <c r="J515" s="1909"/>
      <c r="K515" s="1909"/>
      <c r="L515" s="1909"/>
      <c r="M515" s="1909"/>
    </row>
    <row r="516" spans="1:13" x14ac:dyDescent="0.2">
      <c r="A516" s="1947"/>
      <c r="B516" s="1947"/>
      <c r="D516" s="1947"/>
      <c r="E516" s="1947"/>
      <c r="F516" s="1909"/>
      <c r="G516" s="1909"/>
      <c r="H516" s="1909"/>
      <c r="I516" s="1909"/>
      <c r="J516" s="1909"/>
      <c r="K516" s="1909"/>
      <c r="L516" s="1909"/>
      <c r="M516" s="1909"/>
    </row>
    <row r="517" spans="1:13" x14ac:dyDescent="0.2">
      <c r="A517" s="1947"/>
      <c r="B517" s="1947"/>
      <c r="D517" s="1947"/>
      <c r="E517" s="1947"/>
      <c r="F517" s="1909"/>
      <c r="G517" s="1909"/>
      <c r="H517" s="1909"/>
      <c r="I517" s="1909"/>
      <c r="J517" s="1909"/>
      <c r="K517" s="1909"/>
      <c r="L517" s="1909"/>
      <c r="M517" s="1909"/>
    </row>
    <row r="518" spans="1:13" x14ac:dyDescent="0.2">
      <c r="A518" s="1947"/>
      <c r="B518" s="1947"/>
      <c r="D518" s="1947"/>
      <c r="E518" s="1947"/>
      <c r="F518" s="1909"/>
      <c r="G518" s="1909"/>
      <c r="H518" s="1909"/>
      <c r="I518" s="1909"/>
      <c r="J518" s="1909"/>
      <c r="K518" s="1909"/>
      <c r="L518" s="1909"/>
      <c r="M518" s="1909"/>
    </row>
    <row r="519" spans="1:13" x14ac:dyDescent="0.2">
      <c r="A519" s="1947"/>
      <c r="B519" s="1947"/>
      <c r="D519" s="1947"/>
      <c r="E519" s="1947"/>
      <c r="F519" s="1909"/>
      <c r="G519" s="1909"/>
      <c r="H519" s="1909"/>
      <c r="I519" s="1909"/>
      <c r="J519" s="1909"/>
      <c r="K519" s="1909"/>
      <c r="L519" s="1909"/>
      <c r="M519" s="1909"/>
    </row>
    <row r="520" spans="1:13" x14ac:dyDescent="0.2">
      <c r="A520" s="1947"/>
      <c r="B520" s="1947"/>
      <c r="D520" s="1947"/>
      <c r="E520" s="1947"/>
      <c r="F520" s="1909"/>
      <c r="G520" s="1909"/>
      <c r="H520" s="1909"/>
      <c r="I520" s="1909"/>
      <c r="J520" s="1909"/>
      <c r="K520" s="1909"/>
      <c r="L520" s="1909"/>
      <c r="M520" s="1909"/>
    </row>
    <row r="521" spans="1:13" x14ac:dyDescent="0.2">
      <c r="A521" s="1947"/>
      <c r="B521" s="1947"/>
      <c r="D521" s="1947"/>
      <c r="E521" s="1947"/>
      <c r="F521" s="1909"/>
      <c r="G521" s="1909"/>
      <c r="H521" s="1909"/>
      <c r="I521" s="1909"/>
      <c r="J521" s="1909"/>
      <c r="K521" s="1909"/>
      <c r="L521" s="1909"/>
      <c r="M521" s="1909"/>
    </row>
    <row r="522" spans="1:13" x14ac:dyDescent="0.2">
      <c r="A522" s="1947"/>
      <c r="B522" s="1947"/>
      <c r="D522" s="1947"/>
      <c r="E522" s="1947"/>
      <c r="F522" s="1909"/>
      <c r="G522" s="1909"/>
      <c r="H522" s="1909"/>
      <c r="I522" s="1909"/>
      <c r="J522" s="1909"/>
      <c r="K522" s="1909"/>
      <c r="L522" s="1909"/>
      <c r="M522" s="1909"/>
    </row>
    <row r="523" spans="1:13" x14ac:dyDescent="0.2">
      <c r="A523" s="1947"/>
      <c r="B523" s="1947"/>
      <c r="D523" s="1947"/>
      <c r="E523" s="1947"/>
      <c r="F523" s="1909"/>
      <c r="G523" s="1909"/>
      <c r="H523" s="1909"/>
      <c r="I523" s="1909"/>
      <c r="J523" s="1909"/>
      <c r="K523" s="1909"/>
      <c r="L523" s="1909"/>
      <c r="M523" s="1909"/>
    </row>
    <row r="524" spans="1:13" x14ac:dyDescent="0.2">
      <c r="A524" s="1947"/>
      <c r="B524" s="1947"/>
      <c r="D524" s="1947"/>
      <c r="E524" s="1947"/>
      <c r="F524" s="1909"/>
      <c r="G524" s="1909"/>
      <c r="H524" s="1909"/>
      <c r="I524" s="1909"/>
      <c r="J524" s="1909"/>
      <c r="K524" s="1909"/>
      <c r="L524" s="1909"/>
      <c r="M524" s="1909"/>
    </row>
    <row r="525" spans="1:13" x14ac:dyDescent="0.2">
      <c r="A525" s="1947"/>
      <c r="B525" s="1947"/>
      <c r="D525" s="1947"/>
      <c r="E525" s="1947"/>
      <c r="F525" s="1909"/>
      <c r="G525" s="1909"/>
      <c r="H525" s="1909"/>
      <c r="I525" s="1909"/>
      <c r="J525" s="1909"/>
      <c r="K525" s="1909"/>
      <c r="L525" s="1909"/>
      <c r="M525" s="1909"/>
    </row>
    <row r="526" spans="1:13" x14ac:dyDescent="0.2">
      <c r="A526" s="1947"/>
      <c r="B526" s="1947"/>
      <c r="D526" s="1947"/>
      <c r="E526" s="1947"/>
      <c r="F526" s="1909"/>
      <c r="G526" s="1909"/>
      <c r="H526" s="1909"/>
      <c r="I526" s="1909"/>
      <c r="J526" s="1909"/>
      <c r="K526" s="1909"/>
      <c r="L526" s="1909"/>
      <c r="M526" s="1909"/>
    </row>
    <row r="527" spans="1:13" x14ac:dyDescent="0.2">
      <c r="A527" s="1947"/>
      <c r="B527" s="1947"/>
      <c r="D527" s="1947"/>
      <c r="E527" s="1947"/>
      <c r="F527" s="1909"/>
      <c r="G527" s="1909"/>
      <c r="H527" s="1909"/>
      <c r="I527" s="1909"/>
      <c r="J527" s="1909"/>
      <c r="K527" s="1909"/>
      <c r="L527" s="1909"/>
      <c r="M527" s="1909"/>
    </row>
    <row r="528" spans="1:13" x14ac:dyDescent="0.2">
      <c r="A528" s="1947"/>
      <c r="B528" s="1947"/>
      <c r="D528" s="1947"/>
      <c r="E528" s="1947"/>
      <c r="F528" s="1909"/>
      <c r="G528" s="1909"/>
      <c r="H528" s="1909"/>
      <c r="I528" s="1909"/>
      <c r="J528" s="1909"/>
      <c r="K528" s="1909"/>
      <c r="L528" s="1909"/>
      <c r="M528" s="1909"/>
    </row>
    <row r="529" spans="1:13" x14ac:dyDescent="0.2">
      <c r="A529" s="1947"/>
      <c r="B529" s="1947"/>
      <c r="D529" s="1947"/>
      <c r="E529" s="1947"/>
      <c r="F529" s="1909"/>
      <c r="G529" s="1909"/>
      <c r="H529" s="1909"/>
      <c r="I529" s="1909"/>
      <c r="J529" s="1909"/>
      <c r="K529" s="1909"/>
      <c r="L529" s="1909"/>
      <c r="M529" s="1909"/>
    </row>
    <row r="530" spans="1:13" x14ac:dyDescent="0.2">
      <c r="A530" s="1947"/>
      <c r="B530" s="1947"/>
      <c r="D530" s="1947"/>
      <c r="E530" s="1947"/>
      <c r="F530" s="1909"/>
      <c r="G530" s="1909"/>
      <c r="H530" s="1909"/>
      <c r="I530" s="1909"/>
      <c r="J530" s="1909"/>
      <c r="K530" s="1909"/>
      <c r="L530" s="1909"/>
      <c r="M530" s="1909"/>
    </row>
    <row r="531" spans="1:13" x14ac:dyDescent="0.2">
      <c r="A531" s="1947"/>
      <c r="B531" s="1947"/>
      <c r="D531" s="1947"/>
      <c r="E531" s="1947"/>
      <c r="F531" s="1909"/>
      <c r="G531" s="1909"/>
      <c r="H531" s="1909"/>
      <c r="I531" s="1909"/>
      <c r="J531" s="1909"/>
      <c r="K531" s="1909"/>
      <c r="L531" s="1909"/>
      <c r="M531" s="1909"/>
    </row>
    <row r="532" spans="1:13" x14ac:dyDescent="0.2">
      <c r="A532" s="1947"/>
      <c r="B532" s="1947"/>
      <c r="D532" s="1947"/>
      <c r="E532" s="1947"/>
      <c r="F532" s="1909"/>
      <c r="G532" s="1909"/>
      <c r="H532" s="1909"/>
      <c r="I532" s="1909"/>
      <c r="J532" s="1909"/>
      <c r="K532" s="1909"/>
      <c r="L532" s="1909"/>
      <c r="M532" s="1909"/>
    </row>
    <row r="533" spans="1:13" x14ac:dyDescent="0.2">
      <c r="A533" s="1947"/>
      <c r="B533" s="1947"/>
      <c r="D533" s="1947"/>
      <c r="E533" s="1947"/>
      <c r="F533" s="1909"/>
      <c r="G533" s="1909"/>
      <c r="H533" s="1909"/>
      <c r="I533" s="1909"/>
      <c r="J533" s="1909"/>
      <c r="K533" s="1909"/>
      <c r="L533" s="1909"/>
      <c r="M533" s="1909"/>
    </row>
    <row r="534" spans="1:13" x14ac:dyDescent="0.2">
      <c r="A534" s="1947"/>
      <c r="B534" s="1947"/>
      <c r="D534" s="1947"/>
      <c r="E534" s="1947"/>
      <c r="F534" s="1909"/>
      <c r="G534" s="1909"/>
      <c r="H534" s="1909"/>
      <c r="I534" s="1909"/>
      <c r="J534" s="1909"/>
      <c r="K534" s="1909"/>
      <c r="L534" s="1909"/>
      <c r="M534" s="1909"/>
    </row>
    <row r="535" spans="1:13" x14ac:dyDescent="0.2">
      <c r="A535" s="1947"/>
      <c r="B535" s="1947"/>
      <c r="D535" s="1947"/>
      <c r="E535" s="1947"/>
      <c r="F535" s="1909"/>
      <c r="G535" s="1909"/>
      <c r="H535" s="1909"/>
      <c r="I535" s="1909"/>
      <c r="J535" s="1909"/>
      <c r="K535" s="1909"/>
      <c r="L535" s="1909"/>
      <c r="M535" s="1909"/>
    </row>
    <row r="536" spans="1:13" x14ac:dyDescent="0.2">
      <c r="A536" s="1947"/>
      <c r="B536" s="1947"/>
      <c r="D536" s="1947"/>
      <c r="E536" s="1947"/>
      <c r="F536" s="1909"/>
      <c r="G536" s="1909"/>
      <c r="H536" s="1909"/>
      <c r="I536" s="1909"/>
      <c r="J536" s="1909"/>
      <c r="K536" s="1909"/>
      <c r="L536" s="1909"/>
      <c r="M536" s="1909"/>
    </row>
    <row r="537" spans="1:13" x14ac:dyDescent="0.2">
      <c r="A537" s="1947"/>
      <c r="B537" s="1947"/>
      <c r="D537" s="1947"/>
      <c r="E537" s="1947"/>
      <c r="F537" s="1909"/>
      <c r="G537" s="1909"/>
      <c r="H537" s="1909"/>
      <c r="I537" s="1909"/>
      <c r="J537" s="1909"/>
      <c r="K537" s="1909"/>
      <c r="L537" s="1909"/>
      <c r="M537" s="1909"/>
    </row>
    <row r="538" spans="1:13" x14ac:dyDescent="0.2">
      <c r="A538" s="1947"/>
      <c r="B538" s="1947"/>
      <c r="D538" s="1947"/>
      <c r="E538" s="1947"/>
      <c r="F538" s="1909"/>
      <c r="G538" s="1909"/>
      <c r="H538" s="1909"/>
      <c r="I538" s="1909"/>
      <c r="J538" s="1909"/>
      <c r="K538" s="1909"/>
      <c r="L538" s="1909"/>
      <c r="M538" s="1909"/>
    </row>
    <row r="539" spans="1:13" x14ac:dyDescent="0.2">
      <c r="A539" s="1947"/>
      <c r="B539" s="1947"/>
      <c r="D539" s="1947"/>
      <c r="E539" s="1947"/>
      <c r="F539" s="1909"/>
      <c r="G539" s="1909"/>
      <c r="H539" s="1909"/>
      <c r="I539" s="1909"/>
      <c r="J539" s="1909"/>
      <c r="K539" s="1909"/>
      <c r="L539" s="1909"/>
      <c r="M539" s="1909"/>
    </row>
    <row r="540" spans="1:13" x14ac:dyDescent="0.2">
      <c r="A540" s="1947"/>
      <c r="B540" s="1947"/>
      <c r="D540" s="1947"/>
      <c r="E540" s="1947"/>
      <c r="F540" s="1909"/>
      <c r="G540" s="1909"/>
      <c r="H540" s="1909"/>
      <c r="I540" s="1909"/>
      <c r="J540" s="1909"/>
      <c r="K540" s="1909"/>
      <c r="L540" s="1909"/>
      <c r="M540" s="1909"/>
    </row>
    <row r="541" spans="1:13" x14ac:dyDescent="0.2">
      <c r="A541" s="1947"/>
      <c r="B541" s="1947"/>
      <c r="D541" s="1947"/>
      <c r="E541" s="1947"/>
      <c r="F541" s="1909"/>
      <c r="G541" s="1909"/>
      <c r="H541" s="1909"/>
      <c r="I541" s="1909"/>
      <c r="J541" s="1909"/>
      <c r="K541" s="1909"/>
      <c r="L541" s="1909"/>
      <c r="M541" s="1909"/>
    </row>
    <row r="542" spans="1:13" x14ac:dyDescent="0.2">
      <c r="A542" s="1947"/>
      <c r="B542" s="1947"/>
      <c r="D542" s="1947"/>
      <c r="E542" s="1947"/>
      <c r="F542" s="1909"/>
      <c r="G542" s="1909"/>
      <c r="H542" s="1909"/>
      <c r="I542" s="1909"/>
      <c r="J542" s="1909"/>
      <c r="K542" s="1909"/>
      <c r="L542" s="1909"/>
      <c r="M542" s="1909"/>
    </row>
    <row r="543" spans="1:13" x14ac:dyDescent="0.2">
      <c r="A543" s="1947"/>
      <c r="B543" s="1947"/>
      <c r="D543" s="1947"/>
      <c r="E543" s="1947"/>
      <c r="F543" s="1909"/>
      <c r="G543" s="1909"/>
      <c r="H543" s="1909"/>
      <c r="I543" s="1909"/>
      <c r="J543" s="1909"/>
      <c r="K543" s="1909"/>
      <c r="L543" s="1909"/>
      <c r="M543" s="1909"/>
    </row>
    <row r="544" spans="1:13" x14ac:dyDescent="0.2">
      <c r="A544" s="1947"/>
      <c r="B544" s="1947"/>
      <c r="D544" s="1947"/>
      <c r="E544" s="1947"/>
      <c r="F544" s="1909"/>
      <c r="G544" s="1909"/>
      <c r="H544" s="1909"/>
      <c r="I544" s="1909"/>
      <c r="J544" s="1909"/>
      <c r="K544" s="1909"/>
      <c r="L544" s="1909"/>
      <c r="M544" s="1909"/>
    </row>
    <row r="545" spans="1:13" x14ac:dyDescent="0.2">
      <c r="A545" s="1947"/>
      <c r="B545" s="1947"/>
      <c r="D545" s="1947"/>
      <c r="E545" s="1947"/>
      <c r="F545" s="1909"/>
      <c r="G545" s="1909"/>
      <c r="H545" s="1909"/>
      <c r="I545" s="1909"/>
      <c r="J545" s="1909"/>
      <c r="K545" s="1909"/>
      <c r="L545" s="1909"/>
      <c r="M545" s="1909"/>
    </row>
    <row r="546" spans="1:13" x14ac:dyDescent="0.2">
      <c r="A546" s="1947"/>
      <c r="B546" s="1947"/>
      <c r="D546" s="1947"/>
      <c r="E546" s="1947"/>
      <c r="F546" s="1909"/>
      <c r="G546" s="1909"/>
      <c r="H546" s="1909"/>
      <c r="I546" s="1909"/>
      <c r="J546" s="1909"/>
      <c r="K546" s="1909"/>
      <c r="L546" s="1909"/>
      <c r="M546" s="1909"/>
    </row>
    <row r="547" spans="1:13" x14ac:dyDescent="0.2">
      <c r="A547" s="1947"/>
      <c r="B547" s="1947"/>
      <c r="D547" s="1947"/>
      <c r="E547" s="1947"/>
      <c r="F547" s="1909"/>
      <c r="G547" s="1909"/>
      <c r="H547" s="1909"/>
      <c r="I547" s="1909"/>
      <c r="J547" s="1909"/>
      <c r="K547" s="1909"/>
      <c r="L547" s="1909"/>
      <c r="M547" s="1909"/>
    </row>
    <row r="548" spans="1:13" x14ac:dyDescent="0.2">
      <c r="A548" s="1947"/>
      <c r="B548" s="1947"/>
      <c r="D548" s="1947"/>
      <c r="E548" s="1947"/>
      <c r="F548" s="1909"/>
      <c r="G548" s="1909"/>
      <c r="H548" s="1909"/>
      <c r="I548" s="1909"/>
      <c r="J548" s="1909"/>
      <c r="K548" s="1909"/>
      <c r="L548" s="1909"/>
      <c r="M548" s="1909"/>
    </row>
    <row r="549" spans="1:13" x14ac:dyDescent="0.2">
      <c r="A549" s="1947"/>
      <c r="B549" s="1947"/>
      <c r="D549" s="1947"/>
      <c r="E549" s="1947"/>
      <c r="F549" s="1909"/>
      <c r="G549" s="1909"/>
      <c r="H549" s="1909"/>
      <c r="I549" s="1909"/>
      <c r="J549" s="1909"/>
      <c r="K549" s="1909"/>
      <c r="L549" s="1909"/>
      <c r="M549" s="1909"/>
    </row>
    <row r="550" spans="1:13" x14ac:dyDescent="0.2">
      <c r="A550" s="1947"/>
      <c r="B550" s="1947"/>
      <c r="D550" s="1947"/>
      <c r="E550" s="1947"/>
      <c r="F550" s="1909"/>
      <c r="G550" s="1909"/>
      <c r="H550" s="1909"/>
      <c r="I550" s="1909"/>
      <c r="J550" s="1909"/>
      <c r="K550" s="1909"/>
      <c r="L550" s="1909"/>
      <c r="M550" s="1909"/>
    </row>
    <row r="551" spans="1:13" x14ac:dyDescent="0.2">
      <c r="A551" s="1947"/>
      <c r="B551" s="1947"/>
      <c r="D551" s="1947"/>
      <c r="E551" s="1947"/>
      <c r="F551" s="1909"/>
      <c r="G551" s="1909"/>
      <c r="H551" s="1909"/>
      <c r="I551" s="1909"/>
      <c r="J551" s="1909"/>
      <c r="K551" s="1909"/>
      <c r="L551" s="1909"/>
      <c r="M551" s="1909"/>
    </row>
    <row r="552" spans="1:13" x14ac:dyDescent="0.2">
      <c r="A552" s="1947"/>
      <c r="B552" s="1947"/>
      <c r="D552" s="1947"/>
      <c r="E552" s="1947"/>
      <c r="F552" s="1909"/>
      <c r="G552" s="1909"/>
      <c r="H552" s="1909"/>
      <c r="I552" s="1909"/>
      <c r="J552" s="1909"/>
      <c r="K552" s="1909"/>
      <c r="L552" s="1909"/>
      <c r="M552" s="1909"/>
    </row>
    <row r="553" spans="1:13" x14ac:dyDescent="0.2">
      <c r="A553" s="1947"/>
      <c r="B553" s="1947"/>
      <c r="D553" s="1947"/>
      <c r="E553" s="1947"/>
      <c r="F553" s="1909"/>
      <c r="G553" s="1909"/>
      <c r="H553" s="1909"/>
      <c r="I553" s="1909"/>
      <c r="J553" s="1909"/>
      <c r="K553" s="1909"/>
      <c r="L553" s="1909"/>
      <c r="M553" s="1909"/>
    </row>
    <row r="554" spans="1:13" x14ac:dyDescent="0.2">
      <c r="A554" s="1947"/>
      <c r="B554" s="1947"/>
      <c r="D554" s="1947"/>
      <c r="E554" s="1947"/>
      <c r="F554" s="1909"/>
      <c r="G554" s="1909"/>
      <c r="H554" s="1909"/>
      <c r="I554" s="1909"/>
      <c r="J554" s="1909"/>
      <c r="K554" s="1909"/>
      <c r="L554" s="1909"/>
      <c r="M554" s="1909"/>
    </row>
    <row r="555" spans="1:13" x14ac:dyDescent="0.2">
      <c r="A555" s="1947"/>
      <c r="B555" s="1947"/>
      <c r="D555" s="1947"/>
      <c r="E555" s="1947"/>
      <c r="F555" s="1909"/>
      <c r="G555" s="1909"/>
      <c r="H555" s="1909"/>
      <c r="I555" s="1909"/>
      <c r="J555" s="1909"/>
      <c r="K555" s="1909"/>
      <c r="L555" s="1909"/>
      <c r="M555" s="1909"/>
    </row>
    <row r="556" spans="1:13" x14ac:dyDescent="0.2">
      <c r="A556" s="1947"/>
      <c r="B556" s="1947"/>
      <c r="D556" s="1947"/>
      <c r="E556" s="1947"/>
      <c r="F556" s="1909"/>
      <c r="G556" s="1909"/>
      <c r="H556" s="1909"/>
      <c r="I556" s="1909"/>
      <c r="J556" s="1909"/>
      <c r="K556" s="1909"/>
      <c r="L556" s="1909"/>
      <c r="M556" s="1909"/>
    </row>
    <row r="557" spans="1:13" x14ac:dyDescent="0.2">
      <c r="A557" s="1947"/>
      <c r="B557" s="1947"/>
      <c r="D557" s="1947"/>
      <c r="E557" s="1947"/>
      <c r="F557" s="1909"/>
      <c r="G557" s="1909"/>
      <c r="H557" s="1909"/>
      <c r="I557" s="1909"/>
      <c r="J557" s="1909"/>
      <c r="K557" s="1909"/>
      <c r="L557" s="1909"/>
      <c r="M557" s="1909"/>
    </row>
    <row r="558" spans="1:13" x14ac:dyDescent="0.2">
      <c r="A558" s="1947"/>
      <c r="B558" s="1947"/>
      <c r="D558" s="1947"/>
      <c r="E558" s="1947"/>
      <c r="F558" s="1909"/>
      <c r="G558" s="1909"/>
      <c r="H558" s="1909"/>
      <c r="I558" s="1909"/>
      <c r="J558" s="1909"/>
      <c r="K558" s="1909"/>
      <c r="L558" s="1909"/>
      <c r="M558" s="1909"/>
    </row>
    <row r="559" spans="1:13" x14ac:dyDescent="0.2">
      <c r="A559" s="1947"/>
      <c r="B559" s="1947"/>
      <c r="D559" s="1947"/>
      <c r="E559" s="1947"/>
      <c r="F559" s="1909"/>
      <c r="G559" s="1909"/>
      <c r="H559" s="1909"/>
      <c r="I559" s="1909"/>
      <c r="J559" s="1909"/>
      <c r="K559" s="1909"/>
      <c r="L559" s="1909"/>
      <c r="M559" s="1909"/>
    </row>
    <row r="560" spans="1:13" x14ac:dyDescent="0.2">
      <c r="A560" s="1947"/>
      <c r="B560" s="1947"/>
      <c r="D560" s="1947"/>
      <c r="E560" s="1947"/>
      <c r="F560" s="1909"/>
      <c r="G560" s="1909"/>
      <c r="H560" s="1909"/>
      <c r="I560" s="1909"/>
      <c r="J560" s="1909"/>
      <c r="K560" s="1909"/>
      <c r="L560" s="1909"/>
      <c r="M560" s="1909"/>
    </row>
    <row r="561" spans="1:13" x14ac:dyDescent="0.2">
      <c r="A561" s="1947"/>
      <c r="B561" s="1947"/>
      <c r="D561" s="1947"/>
      <c r="E561" s="1947"/>
      <c r="F561" s="1909"/>
      <c r="G561" s="1909"/>
      <c r="H561" s="1909"/>
      <c r="I561" s="1909"/>
      <c r="J561" s="1909"/>
      <c r="K561" s="1909"/>
      <c r="L561" s="1909"/>
      <c r="M561" s="1909"/>
    </row>
    <row r="562" spans="1:13" x14ac:dyDescent="0.2">
      <c r="A562" s="1947"/>
      <c r="B562" s="1947"/>
      <c r="D562" s="1947"/>
      <c r="E562" s="1947"/>
      <c r="F562" s="1909"/>
      <c r="G562" s="1909"/>
      <c r="H562" s="1909"/>
      <c r="I562" s="1909"/>
      <c r="J562" s="1909"/>
      <c r="K562" s="1909"/>
      <c r="L562" s="1909"/>
      <c r="M562" s="1909"/>
    </row>
    <row r="563" spans="1:13" x14ac:dyDescent="0.2">
      <c r="A563" s="1947"/>
      <c r="B563" s="1947"/>
      <c r="D563" s="1947"/>
      <c r="E563" s="1947"/>
      <c r="F563" s="1909"/>
      <c r="G563" s="1909"/>
      <c r="H563" s="1909"/>
      <c r="I563" s="1909"/>
      <c r="J563" s="1909"/>
      <c r="K563" s="1909"/>
      <c r="L563" s="1909"/>
      <c r="M563" s="1909"/>
    </row>
    <row r="564" spans="1:13" x14ac:dyDescent="0.2">
      <c r="A564" s="1947"/>
      <c r="B564" s="1947"/>
      <c r="D564" s="1947"/>
      <c r="E564" s="1947"/>
      <c r="F564" s="1909"/>
      <c r="G564" s="1909"/>
      <c r="H564" s="1909"/>
      <c r="I564" s="1909"/>
      <c r="J564" s="1909"/>
      <c r="K564" s="1909"/>
      <c r="L564" s="1909"/>
      <c r="M564" s="1909"/>
    </row>
    <row r="565" spans="1:13" x14ac:dyDescent="0.2">
      <c r="A565" s="1947"/>
      <c r="B565" s="1947"/>
      <c r="D565" s="1947"/>
      <c r="E565" s="1947"/>
      <c r="F565" s="1909"/>
      <c r="G565" s="1909"/>
      <c r="H565" s="1909"/>
      <c r="I565" s="1909"/>
      <c r="J565" s="1909"/>
      <c r="K565" s="1909"/>
      <c r="L565" s="1909"/>
      <c r="M565" s="1909"/>
    </row>
    <row r="566" spans="1:13" x14ac:dyDescent="0.2">
      <c r="A566" s="1947"/>
      <c r="B566" s="1947"/>
      <c r="D566" s="1947"/>
      <c r="E566" s="1947"/>
      <c r="F566" s="1909"/>
      <c r="G566" s="1909"/>
      <c r="H566" s="1909"/>
      <c r="I566" s="1909"/>
      <c r="J566" s="1909"/>
      <c r="K566" s="1909"/>
      <c r="L566" s="1909"/>
      <c r="M566" s="1909"/>
    </row>
    <row r="567" spans="1:13" x14ac:dyDescent="0.2">
      <c r="A567" s="1947"/>
      <c r="B567" s="1947"/>
      <c r="D567" s="1947"/>
      <c r="E567" s="1947"/>
      <c r="F567" s="1909"/>
      <c r="G567" s="1909"/>
      <c r="H567" s="1909"/>
      <c r="I567" s="1909"/>
      <c r="J567" s="1909"/>
      <c r="K567" s="1909"/>
      <c r="L567" s="1909"/>
      <c r="M567" s="1909"/>
    </row>
    <row r="568" spans="1:13" x14ac:dyDescent="0.2">
      <c r="A568" s="1947"/>
      <c r="B568" s="1947"/>
      <c r="D568" s="1947"/>
      <c r="E568" s="1947"/>
      <c r="F568" s="1909"/>
      <c r="G568" s="1909"/>
      <c r="H568" s="1909"/>
      <c r="I568" s="1909"/>
      <c r="J568" s="1909"/>
      <c r="K568" s="1909"/>
      <c r="L568" s="1909"/>
      <c r="M568" s="1909"/>
    </row>
    <row r="569" spans="1:13" x14ac:dyDescent="0.2">
      <c r="A569" s="1947"/>
      <c r="B569" s="1947"/>
      <c r="D569" s="1947"/>
      <c r="E569" s="1947"/>
      <c r="F569" s="1909"/>
      <c r="G569" s="1909"/>
      <c r="H569" s="1909"/>
      <c r="I569" s="1909"/>
      <c r="J569" s="1909"/>
      <c r="K569" s="1909"/>
      <c r="L569" s="1909"/>
      <c r="M569" s="1909"/>
    </row>
    <row r="570" spans="1:13" x14ac:dyDescent="0.2">
      <c r="A570" s="1947"/>
      <c r="B570" s="1947"/>
      <c r="D570" s="1947"/>
      <c r="E570" s="1947"/>
      <c r="F570" s="1909"/>
      <c r="G570" s="1909"/>
      <c r="H570" s="1909"/>
      <c r="I570" s="1909"/>
      <c r="J570" s="1909"/>
      <c r="K570" s="1909"/>
      <c r="L570" s="1909"/>
      <c r="M570" s="1909"/>
    </row>
    <row r="571" spans="1:13" x14ac:dyDescent="0.2">
      <c r="A571" s="1947"/>
      <c r="B571" s="1947"/>
      <c r="D571" s="1947"/>
      <c r="E571" s="1947"/>
      <c r="F571" s="1909"/>
      <c r="G571" s="1909"/>
      <c r="H571" s="1909"/>
      <c r="I571" s="1909"/>
      <c r="J571" s="1909"/>
      <c r="K571" s="1909"/>
      <c r="L571" s="1909"/>
      <c r="M571" s="1909"/>
    </row>
    <row r="572" spans="1:13" x14ac:dyDescent="0.2">
      <c r="A572" s="1947"/>
      <c r="B572" s="1947"/>
      <c r="D572" s="1947"/>
      <c r="E572" s="1947"/>
      <c r="F572" s="1909"/>
      <c r="G572" s="1909"/>
      <c r="H572" s="1909"/>
      <c r="I572" s="1909"/>
      <c r="J572" s="1909"/>
      <c r="K572" s="1909"/>
      <c r="L572" s="1909"/>
      <c r="M572" s="1909"/>
    </row>
    <row r="573" spans="1:13" x14ac:dyDescent="0.2">
      <c r="A573" s="1947"/>
      <c r="B573" s="1947"/>
      <c r="D573" s="1947"/>
      <c r="E573" s="1947"/>
      <c r="F573" s="1909"/>
      <c r="G573" s="1909"/>
      <c r="H573" s="1909"/>
      <c r="I573" s="1909"/>
      <c r="J573" s="1909"/>
      <c r="K573" s="1909"/>
      <c r="L573" s="1909"/>
      <c r="M573" s="1909"/>
    </row>
    <row r="574" spans="1:13" x14ac:dyDescent="0.2">
      <c r="A574" s="1947"/>
      <c r="B574" s="1947"/>
      <c r="D574" s="1947"/>
      <c r="E574" s="1947"/>
      <c r="F574" s="1909"/>
      <c r="G574" s="1909"/>
      <c r="H574" s="1909"/>
      <c r="I574" s="1909"/>
      <c r="J574" s="1909"/>
      <c r="K574" s="1909"/>
      <c r="L574" s="1909"/>
      <c r="M574" s="1909"/>
    </row>
    <row r="575" spans="1:13" x14ac:dyDescent="0.2">
      <c r="A575" s="1947"/>
      <c r="B575" s="1947"/>
      <c r="D575" s="1947"/>
      <c r="E575" s="1947"/>
      <c r="F575" s="1909"/>
      <c r="G575" s="1909"/>
      <c r="H575" s="1909"/>
      <c r="I575" s="1909"/>
      <c r="J575" s="1909"/>
      <c r="K575" s="1909"/>
      <c r="L575" s="1909"/>
      <c r="M575" s="1909"/>
    </row>
    <row r="576" spans="1:13" x14ac:dyDescent="0.2">
      <c r="A576" s="1947"/>
      <c r="B576" s="1947"/>
      <c r="D576" s="1947"/>
      <c r="E576" s="1947"/>
      <c r="F576" s="1909"/>
      <c r="G576" s="1909"/>
      <c r="H576" s="1909"/>
      <c r="I576" s="1909"/>
      <c r="J576" s="1909"/>
      <c r="K576" s="1909"/>
      <c r="L576" s="1909"/>
      <c r="M576" s="1909"/>
    </row>
    <row r="577" spans="1:13" x14ac:dyDescent="0.2">
      <c r="A577" s="1947"/>
      <c r="B577" s="1947"/>
      <c r="D577" s="1947"/>
      <c r="E577" s="1947"/>
      <c r="F577" s="1909"/>
      <c r="G577" s="1909"/>
      <c r="H577" s="1909"/>
      <c r="I577" s="1909"/>
      <c r="J577" s="1909"/>
      <c r="K577" s="1909"/>
      <c r="L577" s="1909"/>
      <c r="M577" s="1909"/>
    </row>
    <row r="578" spans="1:13" x14ac:dyDescent="0.2">
      <c r="A578" s="1947"/>
      <c r="B578" s="1947"/>
      <c r="D578" s="1947"/>
      <c r="E578" s="1947"/>
      <c r="F578" s="1909"/>
      <c r="G578" s="1909"/>
      <c r="H578" s="1909"/>
      <c r="I578" s="1909"/>
      <c r="J578" s="1909"/>
      <c r="K578" s="1909"/>
      <c r="L578" s="1909"/>
      <c r="M578" s="1909"/>
    </row>
    <row r="579" spans="1:13" x14ac:dyDescent="0.2">
      <c r="A579" s="1947"/>
      <c r="B579" s="1947"/>
      <c r="D579" s="1947"/>
      <c r="E579" s="1947"/>
      <c r="F579" s="1909"/>
      <c r="G579" s="1909"/>
      <c r="H579" s="1909"/>
      <c r="I579" s="1909"/>
      <c r="J579" s="1909"/>
      <c r="K579" s="1909"/>
      <c r="L579" s="1909"/>
      <c r="M579" s="1909"/>
    </row>
    <row r="580" spans="1:13" x14ac:dyDescent="0.2">
      <c r="A580" s="1947"/>
      <c r="B580" s="1947"/>
      <c r="D580" s="1947"/>
      <c r="E580" s="1947"/>
      <c r="F580" s="1909"/>
      <c r="G580" s="1909"/>
      <c r="H580" s="1909"/>
      <c r="I580" s="1909"/>
      <c r="J580" s="1909"/>
      <c r="K580" s="1909"/>
      <c r="L580" s="1909"/>
      <c r="M580" s="1909"/>
    </row>
    <row r="581" spans="1:13" x14ac:dyDescent="0.2">
      <c r="A581" s="1947"/>
      <c r="B581" s="1947"/>
      <c r="D581" s="1947"/>
      <c r="E581" s="1947"/>
      <c r="F581" s="1909"/>
      <c r="G581" s="1909"/>
      <c r="H581" s="1909"/>
      <c r="I581" s="1909"/>
      <c r="J581" s="1909"/>
      <c r="K581" s="1909"/>
      <c r="L581" s="1909"/>
      <c r="M581" s="1909"/>
    </row>
    <row r="582" spans="1:13" x14ac:dyDescent="0.2">
      <c r="A582" s="1947"/>
      <c r="B582" s="1947"/>
      <c r="D582" s="1947"/>
      <c r="E582" s="1947"/>
      <c r="F582" s="1909"/>
      <c r="G582" s="1909"/>
      <c r="H582" s="1909"/>
      <c r="I582" s="1909"/>
      <c r="J582" s="1909"/>
      <c r="K582" s="1909"/>
      <c r="L582" s="1909"/>
      <c r="M582" s="1909"/>
    </row>
    <row r="583" spans="1:13" x14ac:dyDescent="0.2">
      <c r="A583" s="1947"/>
      <c r="B583" s="1947"/>
      <c r="D583" s="1947"/>
      <c r="E583" s="1947"/>
      <c r="F583" s="1909"/>
      <c r="G583" s="1909"/>
      <c r="H583" s="1909"/>
      <c r="I583" s="1909"/>
      <c r="J583" s="1909"/>
      <c r="K583" s="1909"/>
      <c r="L583" s="1909"/>
      <c r="M583" s="1909"/>
    </row>
    <row r="584" spans="1:13" x14ac:dyDescent="0.2">
      <c r="A584" s="1947"/>
      <c r="B584" s="1947"/>
      <c r="D584" s="1947"/>
      <c r="E584" s="1947"/>
      <c r="F584" s="1909"/>
      <c r="G584" s="1909"/>
      <c r="H584" s="1909"/>
      <c r="I584" s="1909"/>
      <c r="J584" s="1909"/>
      <c r="K584" s="1909"/>
      <c r="L584" s="1909"/>
      <c r="M584" s="1909"/>
    </row>
    <row r="585" spans="1:13" x14ac:dyDescent="0.2">
      <c r="A585" s="1947"/>
      <c r="B585" s="1947"/>
      <c r="D585" s="1947"/>
      <c r="E585" s="1947"/>
      <c r="F585" s="1909"/>
      <c r="G585" s="1909"/>
      <c r="H585" s="1909"/>
      <c r="I585" s="1909"/>
      <c r="J585" s="1909"/>
      <c r="K585" s="1909"/>
      <c r="L585" s="1909"/>
      <c r="M585" s="1909"/>
    </row>
    <row r="586" spans="1:13" x14ac:dyDescent="0.2">
      <c r="A586" s="1947"/>
      <c r="B586" s="1947"/>
      <c r="D586" s="1947"/>
      <c r="E586" s="1947"/>
      <c r="F586" s="1909"/>
      <c r="G586" s="1909"/>
      <c r="H586" s="1909"/>
      <c r="I586" s="1909"/>
      <c r="J586" s="1909"/>
      <c r="K586" s="1909"/>
      <c r="L586" s="1909"/>
      <c r="M586" s="1909"/>
    </row>
    <row r="587" spans="1:13" x14ac:dyDescent="0.2">
      <c r="A587" s="1947"/>
      <c r="B587" s="1947"/>
      <c r="D587" s="1947"/>
      <c r="E587" s="1947"/>
      <c r="F587" s="1909"/>
      <c r="G587" s="1909"/>
      <c r="H587" s="1909"/>
      <c r="I587" s="1909"/>
      <c r="J587" s="1909"/>
      <c r="K587" s="1909"/>
      <c r="L587" s="1909"/>
      <c r="M587" s="1909"/>
    </row>
    <row r="588" spans="1:13" x14ac:dyDescent="0.2">
      <c r="A588" s="1947"/>
      <c r="B588" s="1947"/>
      <c r="D588" s="1947"/>
      <c r="E588" s="1947"/>
      <c r="F588" s="1909"/>
      <c r="G588" s="1909"/>
      <c r="H588" s="1909"/>
      <c r="I588" s="1909"/>
      <c r="J588" s="1909"/>
      <c r="K588" s="1909"/>
      <c r="L588" s="1909"/>
      <c r="M588" s="1909"/>
    </row>
    <row r="589" spans="1:13" x14ac:dyDescent="0.2">
      <c r="A589" s="1947"/>
      <c r="B589" s="1947"/>
      <c r="D589" s="1947"/>
      <c r="E589" s="1947"/>
      <c r="F589" s="1909"/>
      <c r="G589" s="1909"/>
      <c r="H589" s="1909"/>
      <c r="I589" s="1909"/>
      <c r="J589" s="1909"/>
      <c r="K589" s="1909"/>
      <c r="L589" s="1909"/>
      <c r="M589" s="1909"/>
    </row>
    <row r="590" spans="1:13" x14ac:dyDescent="0.2">
      <c r="A590" s="1947"/>
      <c r="B590" s="1947"/>
      <c r="D590" s="1947"/>
      <c r="E590" s="1947"/>
      <c r="F590" s="1909"/>
      <c r="G590" s="1909"/>
      <c r="H590" s="1909"/>
      <c r="I590" s="1909"/>
      <c r="J590" s="1909"/>
      <c r="K590" s="1909"/>
      <c r="L590" s="1909"/>
      <c r="M590" s="1909"/>
    </row>
    <row r="591" spans="1:13" x14ac:dyDescent="0.2">
      <c r="A591" s="1947"/>
      <c r="B591" s="1947"/>
      <c r="D591" s="1947"/>
      <c r="E591" s="1947"/>
      <c r="F591" s="1909"/>
      <c r="G591" s="1909"/>
      <c r="H591" s="1909"/>
      <c r="I591" s="1909"/>
      <c r="J591" s="1909"/>
      <c r="K591" s="1909"/>
      <c r="L591" s="1909"/>
      <c r="M591" s="1909"/>
    </row>
    <row r="592" spans="1:13" x14ac:dyDescent="0.2">
      <c r="A592" s="1947"/>
      <c r="B592" s="1947"/>
      <c r="D592" s="1947"/>
      <c r="E592" s="1947"/>
      <c r="F592" s="1909"/>
      <c r="G592" s="1909"/>
      <c r="H592" s="1909"/>
      <c r="I592" s="1909"/>
      <c r="J592" s="1909"/>
      <c r="K592" s="1909"/>
      <c r="L592" s="1909"/>
      <c r="M592" s="1909"/>
    </row>
    <row r="593" spans="1:13" x14ac:dyDescent="0.2">
      <c r="A593" s="1947"/>
      <c r="B593" s="1947"/>
      <c r="D593" s="1947"/>
      <c r="E593" s="1947"/>
      <c r="F593" s="1909"/>
      <c r="G593" s="1909"/>
      <c r="H593" s="1909"/>
      <c r="I593" s="1909"/>
      <c r="J593" s="1909"/>
      <c r="K593" s="1909"/>
      <c r="L593" s="1909"/>
      <c r="M593" s="1909"/>
    </row>
    <row r="594" spans="1:13" x14ac:dyDescent="0.2">
      <c r="A594" s="1947"/>
      <c r="B594" s="1947"/>
      <c r="D594" s="1947"/>
      <c r="E594" s="1947"/>
      <c r="F594" s="1909"/>
      <c r="G594" s="1909"/>
      <c r="H594" s="1909"/>
      <c r="I594" s="1909"/>
      <c r="J594" s="1909"/>
      <c r="K594" s="1909"/>
      <c r="L594" s="1909"/>
      <c r="M594" s="1909"/>
    </row>
    <row r="595" spans="1:13" x14ac:dyDescent="0.2">
      <c r="A595" s="1947"/>
      <c r="B595" s="1947"/>
      <c r="D595" s="1947"/>
      <c r="E595" s="1947"/>
      <c r="F595" s="1909"/>
      <c r="G595" s="1909"/>
      <c r="H595" s="1909"/>
      <c r="I595" s="1909"/>
      <c r="J595" s="1909"/>
      <c r="K595" s="1909"/>
      <c r="L595" s="1909"/>
      <c r="M595" s="1909"/>
    </row>
    <row r="596" spans="1:13" x14ac:dyDescent="0.2">
      <c r="A596" s="1947"/>
      <c r="B596" s="1947"/>
      <c r="D596" s="1947"/>
      <c r="E596" s="1947"/>
      <c r="F596" s="1909"/>
      <c r="G596" s="1909"/>
      <c r="H596" s="1909"/>
      <c r="I596" s="1909"/>
      <c r="J596" s="1909"/>
      <c r="K596" s="1909"/>
      <c r="L596" s="1909"/>
      <c r="M596" s="1909"/>
    </row>
    <row r="597" spans="1:13" x14ac:dyDescent="0.2">
      <c r="A597" s="1947"/>
      <c r="B597" s="1947"/>
      <c r="D597" s="1947"/>
      <c r="E597" s="1947"/>
      <c r="F597" s="1909"/>
      <c r="G597" s="1909"/>
      <c r="H597" s="1909"/>
      <c r="I597" s="1909"/>
      <c r="J597" s="1909"/>
      <c r="K597" s="1909"/>
      <c r="L597" s="1909"/>
      <c r="M597" s="1909"/>
    </row>
    <row r="598" spans="1:13" x14ac:dyDescent="0.2">
      <c r="A598" s="1947"/>
      <c r="B598" s="1947"/>
      <c r="D598" s="1947"/>
      <c r="E598" s="1947"/>
      <c r="F598" s="1909"/>
      <c r="G598" s="1909"/>
      <c r="H598" s="1909"/>
      <c r="I598" s="1909"/>
      <c r="J598" s="1909"/>
      <c r="K598" s="1909"/>
      <c r="L598" s="1909"/>
      <c r="M598" s="1909"/>
    </row>
    <row r="599" spans="1:13" x14ac:dyDescent="0.2">
      <c r="A599" s="1947"/>
      <c r="B599" s="1947"/>
      <c r="D599" s="1947"/>
      <c r="E599" s="1947"/>
      <c r="F599" s="1909"/>
      <c r="G599" s="1909"/>
      <c r="H599" s="1909"/>
      <c r="I599" s="1909"/>
      <c r="J599" s="1909"/>
      <c r="K599" s="1909"/>
      <c r="L599" s="1909"/>
      <c r="M599" s="1909"/>
    </row>
    <row r="600" spans="1:13" x14ac:dyDescent="0.2">
      <c r="A600" s="1947"/>
      <c r="B600" s="1947"/>
      <c r="D600" s="1947"/>
      <c r="E600" s="1947"/>
      <c r="F600" s="1909"/>
      <c r="G600" s="1909"/>
      <c r="H600" s="1909"/>
      <c r="I600" s="1909"/>
      <c r="J600" s="1909"/>
      <c r="K600" s="1909"/>
      <c r="L600" s="1909"/>
      <c r="M600" s="1909"/>
    </row>
    <row r="601" spans="1:13" x14ac:dyDescent="0.2">
      <c r="A601" s="1947"/>
      <c r="B601" s="1947"/>
      <c r="D601" s="1947"/>
      <c r="E601" s="1947"/>
      <c r="F601" s="1909"/>
      <c r="G601" s="1909"/>
      <c r="H601" s="1909"/>
      <c r="I601" s="1909"/>
      <c r="J601" s="1909"/>
      <c r="K601" s="1909"/>
      <c r="L601" s="1909"/>
      <c r="M601" s="1909"/>
    </row>
    <row r="602" spans="1:13" x14ac:dyDescent="0.2">
      <c r="A602" s="1947"/>
      <c r="B602" s="1947"/>
      <c r="D602" s="1947"/>
      <c r="E602" s="1947"/>
      <c r="F602" s="1909"/>
      <c r="G602" s="1909"/>
      <c r="H602" s="1909"/>
      <c r="I602" s="1909"/>
      <c r="J602" s="1909"/>
      <c r="K602" s="1909"/>
      <c r="L602" s="1909"/>
      <c r="M602" s="1909"/>
    </row>
    <row r="603" spans="1:13" x14ac:dyDescent="0.2">
      <c r="A603" s="1947"/>
      <c r="B603" s="1947"/>
      <c r="D603" s="1947"/>
      <c r="E603" s="1947"/>
      <c r="F603" s="1909"/>
      <c r="G603" s="1909"/>
      <c r="H603" s="1909"/>
      <c r="I603" s="1909"/>
      <c r="J603" s="1909"/>
      <c r="K603" s="1909"/>
      <c r="L603" s="1909"/>
      <c r="M603" s="1909"/>
    </row>
    <row r="604" spans="1:13" x14ac:dyDescent="0.2">
      <c r="A604" s="1947"/>
      <c r="B604" s="1947"/>
      <c r="D604" s="1947"/>
      <c r="E604" s="1947"/>
      <c r="F604" s="1909"/>
      <c r="G604" s="1909"/>
      <c r="H604" s="1909"/>
      <c r="I604" s="1909"/>
      <c r="J604" s="1909"/>
      <c r="K604" s="1909"/>
      <c r="L604" s="1909"/>
      <c r="M604" s="1909"/>
    </row>
    <row r="605" spans="1:13" x14ac:dyDescent="0.2">
      <c r="A605" s="1947"/>
      <c r="B605" s="1947"/>
      <c r="D605" s="1947"/>
      <c r="E605" s="1947"/>
      <c r="F605" s="1909"/>
      <c r="G605" s="1909"/>
      <c r="H605" s="1909"/>
      <c r="I605" s="1909"/>
      <c r="J605" s="1909"/>
      <c r="K605" s="1909"/>
      <c r="L605" s="1909"/>
      <c r="M605" s="1909"/>
    </row>
    <row r="606" spans="1:13" x14ac:dyDescent="0.2">
      <c r="A606" s="1947"/>
      <c r="B606" s="1947"/>
      <c r="D606" s="1947"/>
      <c r="E606" s="1947"/>
      <c r="F606" s="1909"/>
      <c r="G606" s="1909"/>
      <c r="H606" s="1909"/>
      <c r="I606" s="1909"/>
      <c r="J606" s="1909"/>
      <c r="K606" s="1909"/>
      <c r="L606" s="1909"/>
      <c r="M606" s="1909"/>
    </row>
    <row r="607" spans="1:13" x14ac:dyDescent="0.2">
      <c r="A607" s="1947"/>
      <c r="B607" s="1947"/>
      <c r="D607" s="1947"/>
      <c r="E607" s="1947"/>
      <c r="F607" s="1909"/>
      <c r="G607" s="1909"/>
      <c r="H607" s="1909"/>
      <c r="I607" s="1909"/>
      <c r="J607" s="1909"/>
      <c r="K607" s="1909"/>
      <c r="L607" s="1909"/>
      <c r="M607" s="1909"/>
    </row>
    <row r="608" spans="1:13" x14ac:dyDescent="0.2">
      <c r="A608" s="1947"/>
      <c r="B608" s="1947"/>
      <c r="D608" s="1947"/>
      <c r="E608" s="1947"/>
      <c r="F608" s="1909"/>
      <c r="G608" s="1909"/>
      <c r="H608" s="1909"/>
      <c r="I608" s="1909"/>
      <c r="J608" s="1909"/>
      <c r="K608" s="1909"/>
      <c r="L608" s="1909"/>
      <c r="M608" s="1909"/>
    </row>
    <row r="609" spans="1:13" x14ac:dyDescent="0.2">
      <c r="A609" s="1947"/>
      <c r="B609" s="1947"/>
      <c r="D609" s="1947"/>
      <c r="E609" s="1947"/>
      <c r="F609" s="1909"/>
      <c r="G609" s="1909"/>
      <c r="H609" s="1909"/>
      <c r="I609" s="1909"/>
      <c r="J609" s="1909"/>
      <c r="K609" s="1909"/>
      <c r="L609" s="1909"/>
      <c r="M609" s="1909"/>
    </row>
    <row r="610" spans="1:13" x14ac:dyDescent="0.2">
      <c r="A610" s="1947"/>
      <c r="B610" s="1947"/>
      <c r="D610" s="1947"/>
      <c r="E610" s="1947"/>
      <c r="F610" s="1909"/>
      <c r="G610" s="1909"/>
      <c r="H610" s="1909"/>
      <c r="I610" s="1909"/>
      <c r="J610" s="1909"/>
      <c r="K610" s="1909"/>
      <c r="L610" s="1909"/>
      <c r="M610" s="1909"/>
    </row>
    <row r="611" spans="1:13" x14ac:dyDescent="0.2">
      <c r="A611" s="1947"/>
      <c r="B611" s="1947"/>
      <c r="D611" s="1947"/>
      <c r="E611" s="1947"/>
      <c r="F611" s="1909"/>
      <c r="G611" s="1909"/>
      <c r="H611" s="1909"/>
      <c r="I611" s="1909"/>
      <c r="J611" s="1909"/>
      <c r="K611" s="1909"/>
      <c r="L611" s="1909"/>
      <c r="M611" s="1909"/>
    </row>
    <row r="612" spans="1:13" x14ac:dyDescent="0.2">
      <c r="A612" s="1947"/>
      <c r="B612" s="1947"/>
      <c r="D612" s="1947"/>
      <c r="E612" s="1947"/>
      <c r="F612" s="1909"/>
      <c r="G612" s="1909"/>
      <c r="H612" s="1909"/>
      <c r="I612" s="1909"/>
      <c r="J612" s="1909"/>
      <c r="K612" s="1909"/>
      <c r="L612" s="1909"/>
      <c r="M612" s="1909"/>
    </row>
    <row r="613" spans="1:13" x14ac:dyDescent="0.2">
      <c r="A613" s="1947"/>
      <c r="B613" s="1947"/>
      <c r="D613" s="1947"/>
      <c r="E613" s="1947"/>
      <c r="F613" s="1909"/>
      <c r="G613" s="1909"/>
      <c r="H613" s="1909"/>
      <c r="I613" s="1909"/>
      <c r="J613" s="1909"/>
      <c r="K613" s="1909"/>
      <c r="L613" s="1909"/>
      <c r="M613" s="1909"/>
    </row>
    <row r="614" spans="1:13" x14ac:dyDescent="0.2">
      <c r="A614" s="1947"/>
      <c r="B614" s="1947"/>
      <c r="D614" s="1947"/>
      <c r="E614" s="1947"/>
      <c r="F614" s="1909"/>
      <c r="G614" s="1909"/>
      <c r="H614" s="1909"/>
      <c r="I614" s="1909"/>
      <c r="J614" s="1909"/>
      <c r="K614" s="1909"/>
      <c r="L614" s="1909"/>
      <c r="M614" s="1909"/>
    </row>
    <row r="615" spans="1:13" x14ac:dyDescent="0.2">
      <c r="A615" s="1947"/>
      <c r="B615" s="1947"/>
      <c r="D615" s="1947"/>
      <c r="E615" s="1947"/>
      <c r="F615" s="1909"/>
      <c r="G615" s="1909"/>
      <c r="H615" s="1909"/>
      <c r="I615" s="1909"/>
      <c r="J615" s="1909"/>
      <c r="K615" s="1909"/>
      <c r="L615" s="1909"/>
      <c r="M615" s="1909"/>
    </row>
    <row r="616" spans="1:13" x14ac:dyDescent="0.2">
      <c r="A616" s="1947"/>
      <c r="B616" s="1947"/>
      <c r="D616" s="1947"/>
      <c r="E616" s="1947"/>
      <c r="F616" s="1909"/>
      <c r="G616" s="1909"/>
      <c r="H616" s="1909"/>
      <c r="I616" s="1909"/>
      <c r="J616" s="1909"/>
      <c r="K616" s="1909"/>
      <c r="L616" s="1909"/>
      <c r="M616" s="1909"/>
    </row>
    <row r="617" spans="1:13" x14ac:dyDescent="0.2">
      <c r="A617" s="1947"/>
      <c r="B617" s="1947"/>
      <c r="D617" s="1947"/>
      <c r="E617" s="1947"/>
      <c r="F617" s="1909"/>
      <c r="G617" s="1909"/>
      <c r="H617" s="1909"/>
      <c r="I617" s="1909"/>
      <c r="J617" s="1909"/>
      <c r="K617" s="1909"/>
      <c r="L617" s="1909"/>
      <c r="M617" s="1909"/>
    </row>
    <row r="618" spans="1:13" x14ac:dyDescent="0.2">
      <c r="A618" s="1947"/>
      <c r="B618" s="1947"/>
      <c r="D618" s="1947"/>
      <c r="E618" s="1947"/>
      <c r="F618" s="1909"/>
      <c r="G618" s="1909"/>
      <c r="H618" s="1909"/>
      <c r="I618" s="1909"/>
      <c r="J618" s="1909"/>
      <c r="K618" s="1909"/>
      <c r="L618" s="1909"/>
      <c r="M618" s="1909"/>
    </row>
    <row r="619" spans="1:13" x14ac:dyDescent="0.2">
      <c r="A619" s="1947"/>
      <c r="B619" s="1947"/>
      <c r="D619" s="1947"/>
      <c r="E619" s="1947"/>
      <c r="F619" s="1909"/>
      <c r="G619" s="1909"/>
      <c r="H619" s="1909"/>
      <c r="I619" s="1909"/>
      <c r="J619" s="1909"/>
      <c r="K619" s="1909"/>
      <c r="L619" s="1909"/>
      <c r="M619" s="1909"/>
    </row>
    <row r="620" spans="1:13" x14ac:dyDescent="0.2">
      <c r="A620" s="1947"/>
      <c r="B620" s="1947"/>
      <c r="D620" s="1947"/>
      <c r="E620" s="1947"/>
      <c r="F620" s="1909"/>
      <c r="G620" s="1909"/>
      <c r="H620" s="1909"/>
      <c r="I620" s="1909"/>
      <c r="J620" s="1909"/>
      <c r="K620" s="1909"/>
      <c r="L620" s="1909"/>
      <c r="M620" s="1909"/>
    </row>
    <row r="621" spans="1:13" x14ac:dyDescent="0.2">
      <c r="A621" s="1947"/>
      <c r="B621" s="1947"/>
      <c r="D621" s="1947"/>
      <c r="E621" s="1947"/>
      <c r="F621" s="1909"/>
      <c r="G621" s="1909"/>
      <c r="H621" s="1909"/>
      <c r="I621" s="1909"/>
      <c r="J621" s="1909"/>
      <c r="K621" s="1909"/>
      <c r="L621" s="1909"/>
      <c r="M621" s="1909"/>
    </row>
    <row r="622" spans="1:13" x14ac:dyDescent="0.2">
      <c r="A622" s="1947"/>
      <c r="B622" s="1947"/>
      <c r="D622" s="1947"/>
      <c r="E622" s="1947"/>
      <c r="F622" s="1909"/>
      <c r="G622" s="1909"/>
      <c r="H622" s="1909"/>
      <c r="I622" s="1909"/>
      <c r="J622" s="1909"/>
      <c r="K622" s="1909"/>
      <c r="L622" s="1909"/>
      <c r="M622" s="1909"/>
    </row>
    <row r="623" spans="1:13" x14ac:dyDescent="0.2">
      <c r="A623" s="1947"/>
      <c r="B623" s="1947"/>
      <c r="D623" s="1947"/>
      <c r="E623" s="1947"/>
      <c r="F623" s="1909"/>
      <c r="G623" s="1909"/>
      <c r="H623" s="1909"/>
      <c r="I623" s="1909"/>
      <c r="J623" s="1909"/>
      <c r="K623" s="1909"/>
      <c r="L623" s="1909"/>
      <c r="M623" s="1909"/>
    </row>
    <row r="624" spans="1:13" x14ac:dyDescent="0.2">
      <c r="A624" s="1947"/>
      <c r="B624" s="1947"/>
      <c r="D624" s="1947"/>
      <c r="E624" s="1947"/>
      <c r="F624" s="1909"/>
      <c r="G624" s="1909"/>
      <c r="H624" s="1909"/>
      <c r="I624" s="1909"/>
      <c r="J624" s="1909"/>
      <c r="K624" s="1909"/>
      <c r="L624" s="1909"/>
      <c r="M624" s="1909"/>
    </row>
    <row r="625" spans="1:13" x14ac:dyDescent="0.2">
      <c r="A625" s="1947"/>
      <c r="B625" s="1947"/>
      <c r="D625" s="1947"/>
      <c r="E625" s="1947"/>
      <c r="F625" s="1909"/>
      <c r="G625" s="1909"/>
      <c r="H625" s="1909"/>
      <c r="I625" s="1909"/>
      <c r="J625" s="1909"/>
      <c r="K625" s="1909"/>
      <c r="L625" s="1909"/>
      <c r="M625" s="1909"/>
    </row>
    <row r="626" spans="1:13" x14ac:dyDescent="0.2">
      <c r="A626" s="1947"/>
      <c r="B626" s="1947"/>
      <c r="D626" s="1947"/>
      <c r="E626" s="1947"/>
      <c r="F626" s="1909"/>
      <c r="G626" s="1909"/>
      <c r="H626" s="1909"/>
      <c r="I626" s="1909"/>
      <c r="J626" s="1909"/>
      <c r="K626" s="1909"/>
      <c r="L626" s="1909"/>
      <c r="M626" s="1909"/>
    </row>
    <row r="627" spans="1:13" x14ac:dyDescent="0.2">
      <c r="A627" s="1947"/>
      <c r="B627" s="1947"/>
      <c r="D627" s="1947"/>
      <c r="E627" s="1947"/>
      <c r="F627" s="1909"/>
      <c r="G627" s="1909"/>
      <c r="H627" s="1909"/>
      <c r="I627" s="1909"/>
      <c r="J627" s="1909"/>
      <c r="K627" s="1909"/>
      <c r="L627" s="1909"/>
      <c r="M627" s="1909"/>
    </row>
    <row r="628" spans="1:13" x14ac:dyDescent="0.2">
      <c r="A628" s="1947"/>
      <c r="B628" s="1947"/>
      <c r="D628" s="1947"/>
      <c r="E628" s="1947"/>
      <c r="F628" s="1909"/>
      <c r="G628" s="1909"/>
      <c r="H628" s="1909"/>
      <c r="I628" s="1909"/>
      <c r="J628" s="1909"/>
      <c r="K628" s="1909"/>
      <c r="L628" s="1909"/>
      <c r="M628" s="1909"/>
    </row>
    <row r="629" spans="1:13" x14ac:dyDescent="0.2">
      <c r="A629" s="1947"/>
      <c r="B629" s="1947"/>
      <c r="D629" s="1947"/>
      <c r="E629" s="1947"/>
      <c r="F629" s="1909"/>
      <c r="G629" s="1909"/>
      <c r="H629" s="1909"/>
      <c r="I629" s="1909"/>
      <c r="J629" s="1909"/>
      <c r="K629" s="1909"/>
      <c r="L629" s="1909"/>
      <c r="M629" s="1909"/>
    </row>
    <row r="630" spans="1:13" x14ac:dyDescent="0.2">
      <c r="A630" s="1947"/>
      <c r="B630" s="1947"/>
      <c r="D630" s="1947"/>
      <c r="E630" s="1947"/>
      <c r="F630" s="1909"/>
      <c r="G630" s="1909"/>
      <c r="H630" s="1909"/>
      <c r="I630" s="1909"/>
      <c r="J630" s="1909"/>
      <c r="K630" s="1909"/>
      <c r="L630" s="1909"/>
      <c r="M630" s="1909"/>
    </row>
    <row r="631" spans="1:13" x14ac:dyDescent="0.2">
      <c r="A631" s="1947"/>
      <c r="B631" s="1947"/>
      <c r="D631" s="1947"/>
      <c r="E631" s="1947"/>
      <c r="F631" s="1909"/>
      <c r="G631" s="1909"/>
      <c r="H631" s="1909"/>
      <c r="I631" s="1909"/>
      <c r="J631" s="1909"/>
      <c r="K631" s="1909"/>
      <c r="L631" s="1909"/>
      <c r="M631" s="1909"/>
    </row>
    <row r="632" spans="1:13" x14ac:dyDescent="0.2">
      <c r="A632" s="1947"/>
      <c r="B632" s="1947"/>
      <c r="D632" s="1947"/>
      <c r="E632" s="1947"/>
      <c r="F632" s="1909"/>
      <c r="G632" s="1909"/>
      <c r="H632" s="1909"/>
      <c r="I632" s="1909"/>
      <c r="J632" s="1909"/>
      <c r="K632" s="1909"/>
      <c r="L632" s="1909"/>
      <c r="M632" s="1909"/>
    </row>
    <row r="633" spans="1:13" x14ac:dyDescent="0.2">
      <c r="A633" s="1947"/>
      <c r="B633" s="1947"/>
      <c r="D633" s="1947"/>
      <c r="E633" s="1947"/>
      <c r="F633" s="1909"/>
      <c r="G633" s="1909"/>
      <c r="H633" s="1909"/>
      <c r="I633" s="1909"/>
      <c r="J633" s="1909"/>
      <c r="K633" s="1909"/>
      <c r="L633" s="1909"/>
      <c r="M633" s="1909"/>
    </row>
    <row r="634" spans="1:13" x14ac:dyDescent="0.2">
      <c r="A634" s="1947"/>
      <c r="B634" s="1947"/>
      <c r="D634" s="1947"/>
      <c r="E634" s="1947"/>
      <c r="F634" s="1909"/>
      <c r="G634" s="1909"/>
      <c r="H634" s="1909"/>
      <c r="I634" s="1909"/>
      <c r="J634" s="1909"/>
      <c r="K634" s="1909"/>
      <c r="L634" s="1909"/>
      <c r="M634" s="1909"/>
    </row>
    <row r="635" spans="1:13" x14ac:dyDescent="0.2">
      <c r="A635" s="1947"/>
      <c r="B635" s="1947"/>
      <c r="D635" s="1947"/>
      <c r="E635" s="1947"/>
      <c r="F635" s="1909"/>
      <c r="G635" s="1909"/>
      <c r="H635" s="1909"/>
      <c r="I635" s="1909"/>
      <c r="J635" s="1909"/>
      <c r="K635" s="1909"/>
      <c r="L635" s="1909"/>
      <c r="M635" s="1909"/>
    </row>
    <row r="636" spans="1:13" x14ac:dyDescent="0.2">
      <c r="A636" s="1947"/>
      <c r="B636" s="1947"/>
      <c r="D636" s="1947"/>
      <c r="E636" s="1947"/>
      <c r="F636" s="1909"/>
      <c r="G636" s="1909"/>
      <c r="H636" s="1909"/>
      <c r="I636" s="1909"/>
      <c r="J636" s="1909"/>
      <c r="K636" s="1909"/>
      <c r="L636" s="1909"/>
      <c r="M636" s="1909"/>
    </row>
    <row r="637" spans="1:13" x14ac:dyDescent="0.2">
      <c r="A637" s="1947"/>
      <c r="B637" s="1947"/>
      <c r="D637" s="1947"/>
      <c r="E637" s="1947"/>
      <c r="F637" s="1909"/>
      <c r="G637" s="1909"/>
      <c r="H637" s="1909"/>
      <c r="I637" s="1909"/>
      <c r="J637" s="1909"/>
      <c r="K637" s="1909"/>
      <c r="L637" s="1909"/>
      <c r="M637" s="1909"/>
    </row>
    <row r="638" spans="1:13" x14ac:dyDescent="0.2">
      <c r="A638" s="1947"/>
      <c r="B638" s="1947"/>
      <c r="D638" s="1947"/>
      <c r="E638" s="1947"/>
      <c r="F638" s="1909"/>
      <c r="G638" s="1909"/>
      <c r="H638" s="1909"/>
      <c r="I638" s="1909"/>
      <c r="J638" s="1909"/>
      <c r="K638" s="1909"/>
      <c r="L638" s="1909"/>
      <c r="M638" s="1909"/>
    </row>
    <row r="639" spans="1:13" x14ac:dyDescent="0.2">
      <c r="A639" s="1947"/>
      <c r="B639" s="1947"/>
      <c r="D639" s="1947"/>
      <c r="E639" s="1947"/>
      <c r="F639" s="1909"/>
      <c r="G639" s="1909"/>
      <c r="H639" s="1909"/>
      <c r="I639" s="1909"/>
      <c r="J639" s="1909"/>
      <c r="K639" s="1909"/>
      <c r="L639" s="1909"/>
      <c r="M639" s="1909"/>
    </row>
    <row r="640" spans="1:13" x14ac:dyDescent="0.2">
      <c r="A640" s="1947"/>
      <c r="B640" s="1947"/>
      <c r="D640" s="1947"/>
      <c r="E640" s="1947"/>
      <c r="F640" s="1909"/>
      <c r="G640" s="1909"/>
      <c r="H640" s="1909"/>
      <c r="I640" s="1909"/>
      <c r="J640" s="1909"/>
      <c r="K640" s="1909"/>
      <c r="L640" s="1909"/>
      <c r="M640" s="1909"/>
    </row>
    <row r="641" spans="1:13" x14ac:dyDescent="0.2">
      <c r="A641" s="1947"/>
      <c r="B641" s="1947"/>
      <c r="D641" s="1947"/>
      <c r="E641" s="1947"/>
      <c r="F641" s="1909"/>
      <c r="G641" s="1909"/>
      <c r="H641" s="1909"/>
      <c r="I641" s="1909"/>
      <c r="J641" s="1909"/>
      <c r="K641" s="1909"/>
      <c r="L641" s="1909"/>
      <c r="M641" s="1909"/>
    </row>
    <row r="642" spans="1:13" x14ac:dyDescent="0.2">
      <c r="A642" s="1947"/>
      <c r="B642" s="1947"/>
      <c r="D642" s="1947"/>
      <c r="E642" s="1947"/>
      <c r="F642" s="1909"/>
      <c r="G642" s="1909"/>
      <c r="H642" s="1909"/>
      <c r="I642" s="1909"/>
      <c r="J642" s="1909"/>
      <c r="K642" s="1909"/>
      <c r="L642" s="1909"/>
      <c r="M642" s="1909"/>
    </row>
    <row r="643" spans="1:13" x14ac:dyDescent="0.2">
      <c r="A643" s="1947"/>
      <c r="B643" s="1947"/>
      <c r="D643" s="1947"/>
      <c r="E643" s="1947"/>
      <c r="F643" s="1909"/>
      <c r="G643" s="1909"/>
      <c r="H643" s="1909"/>
      <c r="I643" s="1909"/>
      <c r="J643" s="1909"/>
      <c r="K643" s="1909"/>
      <c r="L643" s="1909"/>
      <c r="M643" s="1909"/>
    </row>
    <row r="644" spans="1:13" x14ac:dyDescent="0.2">
      <c r="A644" s="1947"/>
      <c r="B644" s="1947"/>
      <c r="D644" s="1947"/>
      <c r="E644" s="1947"/>
      <c r="F644" s="1909"/>
      <c r="G644" s="1909"/>
      <c r="H644" s="1909"/>
      <c r="I644" s="1909"/>
      <c r="J644" s="1909"/>
      <c r="K644" s="1909"/>
      <c r="L644" s="1909"/>
      <c r="M644" s="1909"/>
    </row>
    <row r="645" spans="1:13" x14ac:dyDescent="0.2">
      <c r="A645" s="1947"/>
      <c r="B645" s="1947"/>
      <c r="D645" s="1947"/>
      <c r="E645" s="1947"/>
      <c r="F645" s="1909"/>
      <c r="G645" s="1909"/>
      <c r="H645" s="1909"/>
      <c r="I645" s="1909"/>
      <c r="J645" s="1909"/>
      <c r="K645" s="1909"/>
      <c r="L645" s="1909"/>
      <c r="M645" s="1909"/>
    </row>
    <row r="646" spans="1:13" x14ac:dyDescent="0.2">
      <c r="A646" s="1947"/>
      <c r="B646" s="1947"/>
      <c r="D646" s="1947"/>
      <c r="E646" s="1947"/>
      <c r="F646" s="1909"/>
      <c r="G646" s="1909"/>
      <c r="H646" s="1909"/>
      <c r="I646" s="1909"/>
      <c r="J646" s="1909"/>
      <c r="K646" s="1909"/>
      <c r="L646" s="1909"/>
      <c r="M646" s="1909"/>
    </row>
    <row r="647" spans="1:13" x14ac:dyDescent="0.2">
      <c r="A647" s="1947"/>
      <c r="B647" s="1947"/>
      <c r="D647" s="1947"/>
      <c r="E647" s="1947"/>
      <c r="F647" s="1909"/>
      <c r="G647" s="1909"/>
      <c r="H647" s="1909"/>
      <c r="I647" s="1909"/>
      <c r="J647" s="1909"/>
      <c r="K647" s="1909"/>
      <c r="L647" s="1909"/>
      <c r="M647" s="1909"/>
    </row>
    <row r="648" spans="1:13" x14ac:dyDescent="0.2">
      <c r="A648" s="1947"/>
      <c r="B648" s="1947"/>
      <c r="D648" s="1947"/>
      <c r="E648" s="1947"/>
      <c r="F648" s="1909"/>
      <c r="G648" s="1909"/>
      <c r="H648" s="1909"/>
      <c r="I648" s="1909"/>
      <c r="J648" s="1909"/>
      <c r="K648" s="1909"/>
      <c r="L648" s="1909"/>
      <c r="M648" s="1909"/>
    </row>
    <row r="649" spans="1:13" x14ac:dyDescent="0.2">
      <c r="A649" s="1947"/>
      <c r="B649" s="1947"/>
      <c r="D649" s="1947"/>
      <c r="E649" s="1947"/>
      <c r="F649" s="1909"/>
      <c r="G649" s="1909"/>
      <c r="H649" s="1909"/>
      <c r="I649" s="1909"/>
      <c r="J649" s="1909"/>
      <c r="K649" s="1909"/>
      <c r="L649" s="1909"/>
      <c r="M649" s="1909"/>
    </row>
    <row r="650" spans="1:13" x14ac:dyDescent="0.2">
      <c r="A650" s="1947"/>
      <c r="B650" s="1947"/>
      <c r="D650" s="1947"/>
      <c r="E650" s="1947"/>
      <c r="F650" s="1909"/>
      <c r="G650" s="1909"/>
      <c r="H650" s="1909"/>
      <c r="I650" s="1909"/>
      <c r="J650" s="1909"/>
      <c r="K650" s="1909"/>
      <c r="L650" s="1909"/>
      <c r="M650" s="1909"/>
    </row>
    <row r="651" spans="1:13" x14ac:dyDescent="0.2">
      <c r="A651" s="1947"/>
      <c r="B651" s="1947"/>
      <c r="D651" s="1947"/>
      <c r="E651" s="1947"/>
      <c r="F651" s="1909"/>
      <c r="G651" s="1909"/>
      <c r="H651" s="1909"/>
      <c r="I651" s="1909"/>
      <c r="J651" s="1909"/>
      <c r="K651" s="1909"/>
      <c r="L651" s="1909"/>
      <c r="M651" s="1909"/>
    </row>
    <row r="652" spans="1:13" x14ac:dyDescent="0.2">
      <c r="A652" s="1947"/>
      <c r="B652" s="1947"/>
      <c r="D652" s="1947"/>
      <c r="E652" s="1947"/>
      <c r="F652" s="1909"/>
      <c r="G652" s="1909"/>
      <c r="H652" s="1909"/>
      <c r="I652" s="1909"/>
      <c r="J652" s="1909"/>
      <c r="K652" s="1909"/>
      <c r="L652" s="1909"/>
      <c r="M652" s="1909"/>
    </row>
    <row r="653" spans="1:13" x14ac:dyDescent="0.2">
      <c r="A653" s="1947"/>
      <c r="B653" s="1947"/>
      <c r="D653" s="1947"/>
      <c r="E653" s="1947"/>
      <c r="F653" s="1909"/>
      <c r="G653" s="1909"/>
      <c r="H653" s="1909"/>
      <c r="I653" s="1909"/>
      <c r="J653" s="1909"/>
      <c r="K653" s="1909"/>
      <c r="L653" s="1909"/>
      <c r="M653" s="1909"/>
    </row>
    <row r="654" spans="1:13" x14ac:dyDescent="0.2">
      <c r="A654" s="1947"/>
      <c r="B654" s="1947"/>
      <c r="D654" s="1947"/>
      <c r="E654" s="1947"/>
      <c r="F654" s="1909"/>
      <c r="G654" s="1909"/>
      <c r="H654" s="1909"/>
      <c r="I654" s="1909"/>
      <c r="J654" s="1909"/>
      <c r="K654" s="1909"/>
      <c r="L654" s="1909"/>
      <c r="M654" s="1909"/>
    </row>
    <row r="655" spans="1:13" x14ac:dyDescent="0.2">
      <c r="A655" s="1947"/>
      <c r="B655" s="1947"/>
      <c r="D655" s="1947"/>
      <c r="E655" s="1947"/>
      <c r="F655" s="1909"/>
      <c r="G655" s="1909"/>
      <c r="H655" s="1909"/>
      <c r="I655" s="1909"/>
      <c r="J655" s="1909"/>
      <c r="K655" s="1909"/>
      <c r="L655" s="1909"/>
      <c r="M655" s="1909"/>
    </row>
    <row r="656" spans="1:13" x14ac:dyDescent="0.2">
      <c r="A656" s="1947"/>
      <c r="B656" s="1947"/>
      <c r="D656" s="1947"/>
      <c r="E656" s="1947"/>
      <c r="F656" s="1909"/>
      <c r="G656" s="1909"/>
      <c r="H656" s="1909"/>
      <c r="I656" s="1909"/>
      <c r="J656" s="1909"/>
      <c r="K656" s="1909"/>
      <c r="L656" s="1909"/>
      <c r="M656" s="1909"/>
    </row>
    <row r="657" spans="1:13" x14ac:dyDescent="0.2">
      <c r="A657" s="1947"/>
      <c r="B657" s="1947"/>
      <c r="D657" s="1947"/>
      <c r="E657" s="1947"/>
      <c r="F657" s="1909"/>
      <c r="G657" s="1909"/>
      <c r="H657" s="1909"/>
      <c r="I657" s="1909"/>
      <c r="J657" s="1909"/>
      <c r="K657" s="1909"/>
      <c r="L657" s="1909"/>
      <c r="M657" s="1909"/>
    </row>
    <row r="658" spans="1:13" x14ac:dyDescent="0.2">
      <c r="A658" s="1947"/>
      <c r="B658" s="1947"/>
      <c r="D658" s="1947"/>
      <c r="E658" s="1947"/>
      <c r="F658" s="1909"/>
      <c r="G658" s="1909"/>
      <c r="H658" s="1909"/>
      <c r="I658" s="1909"/>
      <c r="J658" s="1909"/>
      <c r="K658" s="1909"/>
      <c r="L658" s="1909"/>
      <c r="M658" s="1909"/>
    </row>
    <row r="659" spans="1:13" x14ac:dyDescent="0.2">
      <c r="A659" s="1947"/>
      <c r="B659" s="1947"/>
      <c r="D659" s="1947"/>
      <c r="E659" s="1947"/>
      <c r="F659" s="1909"/>
      <c r="G659" s="1909"/>
      <c r="H659" s="1909"/>
      <c r="I659" s="1909"/>
      <c r="J659" s="1909"/>
      <c r="K659" s="1909"/>
      <c r="L659" s="1909"/>
      <c r="M659" s="1909"/>
    </row>
    <row r="660" spans="1:13" x14ac:dyDescent="0.2">
      <c r="A660" s="1947"/>
      <c r="B660" s="1947"/>
      <c r="D660" s="1947"/>
      <c r="E660" s="1947"/>
      <c r="F660" s="1909"/>
      <c r="G660" s="1909"/>
      <c r="H660" s="1909"/>
      <c r="I660" s="1909"/>
      <c r="J660" s="1909"/>
      <c r="K660" s="1909"/>
      <c r="L660" s="1909"/>
      <c r="M660" s="1909"/>
    </row>
    <row r="661" spans="1:13" x14ac:dyDescent="0.2">
      <c r="A661" s="1947"/>
      <c r="B661" s="1947"/>
      <c r="D661" s="1947"/>
      <c r="E661" s="1947"/>
      <c r="F661" s="1909"/>
      <c r="G661" s="1909"/>
      <c r="H661" s="1909"/>
      <c r="I661" s="1909"/>
      <c r="J661" s="1909"/>
      <c r="K661" s="1909"/>
      <c r="L661" s="1909"/>
      <c r="M661" s="1909"/>
    </row>
    <row r="662" spans="1:13" x14ac:dyDescent="0.2">
      <c r="A662" s="1947"/>
      <c r="B662" s="1947"/>
      <c r="D662" s="1947"/>
      <c r="E662" s="1947"/>
      <c r="F662" s="1909"/>
      <c r="G662" s="1909"/>
      <c r="H662" s="1909"/>
      <c r="I662" s="1909"/>
      <c r="J662" s="1909"/>
      <c r="K662" s="1909"/>
      <c r="L662" s="1909"/>
      <c r="M662" s="1909"/>
    </row>
    <row r="663" spans="1:13" x14ac:dyDescent="0.2">
      <c r="A663" s="1947"/>
      <c r="B663" s="1947"/>
      <c r="D663" s="1947"/>
      <c r="E663" s="1947"/>
      <c r="F663" s="1909"/>
      <c r="G663" s="1909"/>
      <c r="H663" s="1909"/>
      <c r="I663" s="1909"/>
      <c r="J663" s="1909"/>
      <c r="K663" s="1909"/>
      <c r="L663" s="1909"/>
      <c r="M663" s="1909"/>
    </row>
    <row r="664" spans="1:13" x14ac:dyDescent="0.2">
      <c r="A664" s="1947"/>
      <c r="B664" s="1947"/>
      <c r="D664" s="1947"/>
      <c r="E664" s="1947"/>
      <c r="F664" s="1909"/>
      <c r="G664" s="1909"/>
      <c r="H664" s="1909"/>
      <c r="I664" s="1909"/>
      <c r="J664" s="1909"/>
      <c r="K664" s="1909"/>
      <c r="L664" s="1909"/>
      <c r="M664" s="1909"/>
    </row>
    <row r="665" spans="1:13" x14ac:dyDescent="0.2">
      <c r="A665" s="1947"/>
      <c r="B665" s="1947"/>
      <c r="D665" s="1947"/>
      <c r="E665" s="1947"/>
      <c r="F665" s="1909"/>
      <c r="G665" s="1909"/>
      <c r="H665" s="1909"/>
      <c r="I665" s="1909"/>
      <c r="J665" s="1909"/>
      <c r="K665" s="1909"/>
      <c r="L665" s="1909"/>
      <c r="M665" s="1909"/>
    </row>
    <row r="666" spans="1:13" x14ac:dyDescent="0.2">
      <c r="A666" s="1947"/>
      <c r="B666" s="1947"/>
      <c r="D666" s="1947"/>
      <c r="E666" s="1947"/>
      <c r="F666" s="1909"/>
      <c r="G666" s="1909"/>
      <c r="H666" s="1909"/>
      <c r="I666" s="1909"/>
      <c r="J666" s="1909"/>
      <c r="K666" s="1909"/>
      <c r="L666" s="1909"/>
      <c r="M666" s="1909"/>
    </row>
    <row r="667" spans="1:13" x14ac:dyDescent="0.2">
      <c r="A667" s="1947"/>
      <c r="B667" s="1947"/>
      <c r="D667" s="1947"/>
      <c r="E667" s="1947"/>
      <c r="F667" s="1909"/>
      <c r="G667" s="1909"/>
      <c r="H667" s="1909"/>
      <c r="I667" s="1909"/>
      <c r="J667" s="1909"/>
      <c r="K667" s="1909"/>
      <c r="L667" s="1909"/>
      <c r="M667" s="1909"/>
    </row>
    <row r="668" spans="1:13" x14ac:dyDescent="0.2">
      <c r="A668" s="1947"/>
      <c r="B668" s="1947"/>
      <c r="D668" s="1947"/>
      <c r="E668" s="1947"/>
      <c r="F668" s="1909"/>
      <c r="G668" s="1909"/>
      <c r="H668" s="1909"/>
      <c r="I668" s="1909"/>
      <c r="J668" s="1909"/>
      <c r="K668" s="1909"/>
      <c r="L668" s="1909"/>
      <c r="M668" s="1909"/>
    </row>
    <row r="669" spans="1:13" x14ac:dyDescent="0.2">
      <c r="A669" s="1947"/>
      <c r="B669" s="1947"/>
      <c r="D669" s="1947"/>
      <c r="E669" s="1947"/>
      <c r="F669" s="1909"/>
      <c r="G669" s="1909"/>
      <c r="H669" s="1909"/>
      <c r="I669" s="1909"/>
      <c r="J669" s="1909"/>
      <c r="K669" s="1909"/>
      <c r="L669" s="1909"/>
      <c r="M669" s="1909"/>
    </row>
    <row r="670" spans="1:13" x14ac:dyDescent="0.2">
      <c r="A670" s="1947"/>
      <c r="B670" s="1947"/>
      <c r="D670" s="1947"/>
      <c r="E670" s="1947"/>
      <c r="F670" s="1909"/>
      <c r="G670" s="1909"/>
      <c r="H670" s="1909"/>
      <c r="I670" s="1909"/>
      <c r="J670" s="1909"/>
      <c r="K670" s="1909"/>
      <c r="L670" s="1909"/>
      <c r="M670" s="1909"/>
    </row>
    <row r="671" spans="1:13" x14ac:dyDescent="0.2">
      <c r="A671" s="1947"/>
      <c r="B671" s="1947"/>
      <c r="D671" s="1947"/>
      <c r="E671" s="1947"/>
      <c r="F671" s="1909"/>
      <c r="G671" s="1909"/>
      <c r="H671" s="1909"/>
      <c r="I671" s="1909"/>
      <c r="J671" s="1909"/>
      <c r="K671" s="1909"/>
      <c r="L671" s="1909"/>
      <c r="M671" s="1909"/>
    </row>
    <row r="672" spans="1:13" x14ac:dyDescent="0.2">
      <c r="A672" s="1947"/>
      <c r="B672" s="1947"/>
      <c r="D672" s="1947"/>
      <c r="E672" s="1947"/>
      <c r="F672" s="1909"/>
      <c r="G672" s="1909"/>
      <c r="H672" s="1909"/>
      <c r="I672" s="1909"/>
      <c r="J672" s="1909"/>
      <c r="K672" s="1909"/>
      <c r="L672" s="1909"/>
      <c r="M672" s="1909"/>
    </row>
    <row r="673" spans="1:13" x14ac:dyDescent="0.2">
      <c r="A673" s="1947"/>
      <c r="B673" s="1947"/>
      <c r="D673" s="1947"/>
      <c r="E673" s="1947"/>
      <c r="F673" s="1909"/>
      <c r="G673" s="1909"/>
      <c r="H673" s="1909"/>
      <c r="I673" s="1909"/>
      <c r="J673" s="1909"/>
      <c r="K673" s="1909"/>
      <c r="L673" s="1909"/>
      <c r="M673" s="1909"/>
    </row>
    <row r="674" spans="1:13" x14ac:dyDescent="0.2">
      <c r="A674" s="1947"/>
      <c r="B674" s="1947"/>
      <c r="D674" s="1947"/>
      <c r="E674" s="1947"/>
      <c r="F674" s="1909"/>
      <c r="G674" s="1909"/>
      <c r="H674" s="1909"/>
      <c r="I674" s="1909"/>
      <c r="J674" s="1909"/>
      <c r="K674" s="1909"/>
      <c r="L674" s="1909"/>
      <c r="M674" s="1909"/>
    </row>
    <row r="675" spans="1:13" x14ac:dyDescent="0.2">
      <c r="A675" s="1947"/>
      <c r="B675" s="1947"/>
      <c r="D675" s="1947"/>
      <c r="E675" s="1947"/>
      <c r="F675" s="1909"/>
      <c r="G675" s="1909"/>
      <c r="H675" s="1909"/>
      <c r="I675" s="1909"/>
      <c r="J675" s="1909"/>
      <c r="K675" s="1909"/>
      <c r="L675" s="1909"/>
      <c r="M675" s="1909"/>
    </row>
    <row r="676" spans="1:13" x14ac:dyDescent="0.2">
      <c r="A676" s="1947"/>
      <c r="B676" s="1947"/>
      <c r="D676" s="1947"/>
      <c r="E676" s="1947"/>
      <c r="F676" s="1909"/>
      <c r="G676" s="1909"/>
      <c r="H676" s="1909"/>
      <c r="I676" s="1909"/>
      <c r="J676" s="1909"/>
      <c r="K676" s="1909"/>
      <c r="L676" s="1909"/>
      <c r="M676" s="1909"/>
    </row>
    <row r="677" spans="1:13" x14ac:dyDescent="0.2">
      <c r="A677" s="1947"/>
      <c r="B677" s="1947"/>
      <c r="D677" s="1947"/>
      <c r="E677" s="1947"/>
      <c r="F677" s="1909"/>
      <c r="G677" s="1909"/>
      <c r="H677" s="1909"/>
      <c r="I677" s="1909"/>
      <c r="J677" s="1909"/>
      <c r="K677" s="1909"/>
      <c r="L677" s="1909"/>
      <c r="M677" s="1909"/>
    </row>
    <row r="678" spans="1:13" x14ac:dyDescent="0.2">
      <c r="A678" s="1947"/>
      <c r="B678" s="1947"/>
      <c r="D678" s="1947"/>
      <c r="E678" s="1947"/>
      <c r="F678" s="1909"/>
      <c r="G678" s="1909"/>
      <c r="H678" s="1909"/>
      <c r="I678" s="1909"/>
      <c r="J678" s="1909"/>
      <c r="K678" s="1909"/>
      <c r="L678" s="1909"/>
      <c r="M678" s="1909"/>
    </row>
    <row r="679" spans="1:13" x14ac:dyDescent="0.2">
      <c r="A679" s="1947"/>
      <c r="B679" s="1947"/>
      <c r="D679" s="1947"/>
      <c r="E679" s="1947"/>
      <c r="F679" s="1909"/>
      <c r="G679" s="1909"/>
      <c r="H679" s="1909"/>
      <c r="I679" s="1909"/>
      <c r="J679" s="1909"/>
      <c r="K679" s="1909"/>
      <c r="L679" s="1909"/>
      <c r="M679" s="1909"/>
    </row>
    <row r="680" spans="1:13" x14ac:dyDescent="0.2">
      <c r="A680" s="1947"/>
      <c r="B680" s="1947"/>
      <c r="D680" s="1947"/>
      <c r="E680" s="1947"/>
      <c r="F680" s="1909"/>
      <c r="G680" s="1909"/>
      <c r="H680" s="1909"/>
      <c r="I680" s="1909"/>
      <c r="J680" s="1909"/>
      <c r="K680" s="1909"/>
      <c r="L680" s="1909"/>
      <c r="M680" s="1909"/>
    </row>
    <row r="681" spans="1:13" x14ac:dyDescent="0.2">
      <c r="A681" s="1947"/>
      <c r="B681" s="1947"/>
      <c r="D681" s="1947"/>
      <c r="E681" s="1947"/>
      <c r="F681" s="1909"/>
      <c r="G681" s="1909"/>
      <c r="H681" s="1909"/>
      <c r="I681" s="1909"/>
      <c r="J681" s="1909"/>
      <c r="K681" s="1909"/>
      <c r="L681" s="1909"/>
      <c r="M681" s="1909"/>
    </row>
    <row r="682" spans="1:13" x14ac:dyDescent="0.2">
      <c r="A682" s="1947"/>
      <c r="B682" s="1947"/>
      <c r="D682" s="1947"/>
      <c r="E682" s="1947"/>
      <c r="F682" s="1909"/>
      <c r="G682" s="1909"/>
      <c r="H682" s="1909"/>
      <c r="I682" s="1909"/>
      <c r="J682" s="1909"/>
      <c r="K682" s="1909"/>
      <c r="L682" s="1909"/>
      <c r="M682" s="1909"/>
    </row>
    <row r="683" spans="1:13" x14ac:dyDescent="0.2">
      <c r="A683" s="1947"/>
      <c r="B683" s="1947"/>
      <c r="D683" s="1947"/>
      <c r="E683" s="1947"/>
      <c r="F683" s="1909"/>
      <c r="G683" s="1909"/>
      <c r="H683" s="1909"/>
      <c r="I683" s="1909"/>
      <c r="J683" s="1909"/>
      <c r="K683" s="1909"/>
      <c r="L683" s="1909"/>
      <c r="M683" s="1909"/>
    </row>
    <row r="684" spans="1:13" x14ac:dyDescent="0.2">
      <c r="A684" s="1947"/>
      <c r="B684" s="1947"/>
      <c r="D684" s="1947"/>
      <c r="E684" s="1947"/>
      <c r="F684" s="1909"/>
      <c r="G684" s="1909"/>
      <c r="H684" s="1909"/>
      <c r="I684" s="1909"/>
      <c r="J684" s="1909"/>
      <c r="K684" s="1909"/>
      <c r="L684" s="1909"/>
      <c r="M684" s="1909"/>
    </row>
    <row r="685" spans="1:13" x14ac:dyDescent="0.2">
      <c r="A685" s="1947"/>
      <c r="B685" s="1947"/>
      <c r="D685" s="1947"/>
      <c r="E685" s="1947"/>
      <c r="F685" s="1909"/>
      <c r="G685" s="1909"/>
      <c r="H685" s="1909"/>
      <c r="I685" s="1909"/>
      <c r="J685" s="1909"/>
      <c r="K685" s="1909"/>
      <c r="L685" s="1909"/>
      <c r="M685" s="1909"/>
    </row>
    <row r="686" spans="1:13" x14ac:dyDescent="0.2">
      <c r="A686" s="1947"/>
      <c r="B686" s="1947"/>
      <c r="D686" s="1947"/>
      <c r="E686" s="1947"/>
      <c r="F686" s="1909"/>
      <c r="G686" s="1909"/>
      <c r="H686" s="1909"/>
      <c r="I686" s="1909"/>
      <c r="J686" s="1909"/>
      <c r="K686" s="1909"/>
      <c r="L686" s="1909"/>
      <c r="M686" s="1909"/>
    </row>
    <row r="687" spans="1:13" x14ac:dyDescent="0.2">
      <c r="A687" s="1947"/>
      <c r="B687" s="1947"/>
      <c r="D687" s="1947"/>
      <c r="E687" s="1947"/>
      <c r="F687" s="1909"/>
      <c r="G687" s="1909"/>
      <c r="H687" s="1909"/>
      <c r="I687" s="1909"/>
      <c r="J687" s="1909"/>
      <c r="K687" s="1909"/>
      <c r="L687" s="1909"/>
      <c r="M687" s="1909"/>
    </row>
    <row r="688" spans="1:13" x14ac:dyDescent="0.2">
      <c r="A688" s="1947"/>
      <c r="B688" s="1947"/>
      <c r="D688" s="1947"/>
      <c r="E688" s="1947"/>
      <c r="F688" s="1909"/>
      <c r="G688" s="1909"/>
      <c r="H688" s="1909"/>
      <c r="I688" s="1909"/>
      <c r="J688" s="1909"/>
      <c r="K688" s="1909"/>
      <c r="L688" s="1909"/>
      <c r="M688" s="1909"/>
    </row>
    <row r="689" spans="1:13" x14ac:dyDescent="0.2">
      <c r="A689" s="1947"/>
      <c r="B689" s="1947"/>
      <c r="D689" s="1947"/>
      <c r="E689" s="1947"/>
      <c r="F689" s="1909"/>
      <c r="G689" s="1909"/>
      <c r="H689" s="1909"/>
      <c r="I689" s="1909"/>
      <c r="J689" s="1909"/>
      <c r="K689" s="1909"/>
      <c r="L689" s="1909"/>
      <c r="M689" s="1909"/>
    </row>
    <row r="690" spans="1:13" x14ac:dyDescent="0.2">
      <c r="A690" s="1947"/>
      <c r="B690" s="1947"/>
      <c r="D690" s="1947"/>
      <c r="E690" s="1947"/>
      <c r="F690" s="1909"/>
      <c r="G690" s="1909"/>
      <c r="H690" s="1909"/>
      <c r="I690" s="1909"/>
      <c r="J690" s="1909"/>
      <c r="K690" s="1909"/>
      <c r="L690" s="1909"/>
      <c r="M690" s="1909"/>
    </row>
    <row r="691" spans="1:13" x14ac:dyDescent="0.2">
      <c r="A691" s="1947"/>
      <c r="B691" s="1947"/>
      <c r="D691" s="1947"/>
      <c r="E691" s="1947"/>
      <c r="F691" s="1909"/>
      <c r="G691" s="1909"/>
      <c r="H691" s="1909"/>
      <c r="I691" s="1909"/>
      <c r="J691" s="1909"/>
      <c r="K691" s="1909"/>
      <c r="L691" s="1909"/>
      <c r="M691" s="1909"/>
    </row>
    <row r="692" spans="1:13" x14ac:dyDescent="0.2">
      <c r="A692" s="1947"/>
      <c r="B692" s="1947"/>
      <c r="D692" s="1947"/>
      <c r="E692" s="1947"/>
      <c r="F692" s="1909"/>
      <c r="G692" s="1909"/>
      <c r="H692" s="1909"/>
      <c r="I692" s="1909"/>
      <c r="J692" s="1909"/>
      <c r="K692" s="1909"/>
      <c r="L692" s="1909"/>
      <c r="M692" s="1909"/>
    </row>
    <row r="693" spans="1:13" x14ac:dyDescent="0.2">
      <c r="A693" s="1947"/>
      <c r="B693" s="1947"/>
      <c r="D693" s="1947"/>
      <c r="E693" s="1947"/>
      <c r="F693" s="1909"/>
      <c r="G693" s="1909"/>
      <c r="H693" s="1909"/>
      <c r="I693" s="1909"/>
      <c r="J693" s="1909"/>
      <c r="K693" s="1909"/>
      <c r="L693" s="1909"/>
      <c r="M693" s="1909"/>
    </row>
    <row r="694" spans="1:13" x14ac:dyDescent="0.2">
      <c r="A694" s="1947"/>
      <c r="B694" s="1947"/>
      <c r="D694" s="1947"/>
      <c r="E694" s="1947"/>
      <c r="F694" s="1909"/>
      <c r="G694" s="1909"/>
      <c r="H694" s="1909"/>
      <c r="I694" s="1909"/>
      <c r="J694" s="1909"/>
      <c r="K694" s="1909"/>
      <c r="L694" s="1909"/>
      <c r="M694" s="1909"/>
    </row>
    <row r="695" spans="1:13" x14ac:dyDescent="0.2">
      <c r="A695" s="1947"/>
      <c r="B695" s="1947"/>
      <c r="D695" s="1947"/>
      <c r="E695" s="1947"/>
      <c r="F695" s="1909"/>
      <c r="G695" s="1909"/>
      <c r="H695" s="1909"/>
      <c r="I695" s="1909"/>
      <c r="J695" s="1909"/>
      <c r="K695" s="1909"/>
      <c r="L695" s="1909"/>
      <c r="M695" s="1909"/>
    </row>
    <row r="696" spans="1:13" x14ac:dyDescent="0.2">
      <c r="A696" s="1947"/>
      <c r="B696" s="1947"/>
      <c r="D696" s="1947"/>
      <c r="E696" s="1947"/>
      <c r="F696" s="1909"/>
      <c r="G696" s="1909"/>
      <c r="H696" s="1909"/>
      <c r="I696" s="1909"/>
      <c r="J696" s="1909"/>
      <c r="K696" s="1909"/>
      <c r="L696" s="1909"/>
      <c r="M696" s="1909"/>
    </row>
    <row r="697" spans="1:13" x14ac:dyDescent="0.2">
      <c r="A697" s="1947"/>
      <c r="B697" s="1947"/>
      <c r="D697" s="1947"/>
      <c r="E697" s="1947"/>
      <c r="F697" s="1909"/>
      <c r="G697" s="1909"/>
      <c r="H697" s="1909"/>
      <c r="I697" s="1909"/>
      <c r="J697" s="1909"/>
      <c r="K697" s="1909"/>
      <c r="L697" s="1909"/>
      <c r="M697" s="1909"/>
    </row>
    <row r="698" spans="1:13" x14ac:dyDescent="0.2">
      <c r="A698" s="1947"/>
      <c r="B698" s="1947"/>
      <c r="D698" s="1947"/>
      <c r="E698" s="1947"/>
      <c r="F698" s="1909"/>
      <c r="G698" s="1909"/>
      <c r="H698" s="1909"/>
      <c r="I698" s="1909"/>
      <c r="J698" s="1909"/>
      <c r="K698" s="1909"/>
      <c r="L698" s="1909"/>
      <c r="M698" s="1909"/>
    </row>
    <row r="699" spans="1:13" x14ac:dyDescent="0.2">
      <c r="A699" s="1947"/>
      <c r="B699" s="1947"/>
      <c r="D699" s="1947"/>
      <c r="E699" s="1947"/>
      <c r="F699" s="1909"/>
      <c r="G699" s="1909"/>
      <c r="H699" s="1909"/>
      <c r="I699" s="1909"/>
      <c r="J699" s="1909"/>
      <c r="K699" s="1909"/>
      <c r="L699" s="1909"/>
      <c r="M699" s="1909"/>
    </row>
    <row r="700" spans="1:13" x14ac:dyDescent="0.2">
      <c r="A700" s="1947"/>
      <c r="B700" s="1947"/>
      <c r="D700" s="1947"/>
      <c r="E700" s="1947"/>
      <c r="F700" s="1909"/>
      <c r="G700" s="1909"/>
      <c r="H700" s="1909"/>
      <c r="I700" s="1909"/>
      <c r="J700" s="1909"/>
      <c r="K700" s="1909"/>
      <c r="L700" s="1909"/>
      <c r="M700" s="1909"/>
    </row>
    <row r="701" spans="1:13" x14ac:dyDescent="0.2">
      <c r="A701" s="1947"/>
      <c r="B701" s="1947"/>
      <c r="D701" s="1947"/>
      <c r="E701" s="1947"/>
      <c r="F701" s="1909"/>
      <c r="G701" s="1909"/>
      <c r="H701" s="1909"/>
      <c r="I701" s="1909"/>
      <c r="J701" s="1909"/>
      <c r="K701" s="1909"/>
      <c r="L701" s="1909"/>
      <c r="M701" s="1909"/>
    </row>
    <row r="702" spans="1:13" x14ac:dyDescent="0.2">
      <c r="A702" s="1947"/>
      <c r="B702" s="1947"/>
      <c r="D702" s="1947"/>
      <c r="E702" s="1947"/>
      <c r="F702" s="1909"/>
      <c r="G702" s="1909"/>
      <c r="H702" s="1909"/>
      <c r="I702" s="1909"/>
      <c r="J702" s="1909"/>
      <c r="K702" s="1909"/>
      <c r="L702" s="1909"/>
      <c r="M702" s="1909"/>
    </row>
    <row r="703" spans="1:13" x14ac:dyDescent="0.2">
      <c r="A703" s="1947"/>
      <c r="B703" s="1947"/>
      <c r="D703" s="1947"/>
      <c r="E703" s="1947"/>
      <c r="F703" s="1909"/>
      <c r="G703" s="1909"/>
      <c r="H703" s="1909"/>
      <c r="I703" s="1909"/>
      <c r="J703" s="1909"/>
      <c r="K703" s="1909"/>
      <c r="L703" s="1909"/>
      <c r="M703" s="1909"/>
    </row>
    <row r="704" spans="1:13" x14ac:dyDescent="0.2">
      <c r="A704" s="1947"/>
      <c r="B704" s="1947"/>
      <c r="D704" s="1947"/>
      <c r="E704" s="1947"/>
      <c r="F704" s="1909"/>
      <c r="G704" s="1909"/>
      <c r="H704" s="1909"/>
      <c r="I704" s="1909"/>
      <c r="J704" s="1909"/>
      <c r="K704" s="1909"/>
      <c r="L704" s="1909"/>
      <c r="M704" s="1909"/>
    </row>
    <row r="705" spans="1:13" x14ac:dyDescent="0.2">
      <c r="A705" s="1947"/>
      <c r="B705" s="1947"/>
      <c r="D705" s="1947"/>
      <c r="E705" s="1947"/>
      <c r="F705" s="1909"/>
      <c r="G705" s="1909"/>
      <c r="H705" s="1909"/>
      <c r="I705" s="1909"/>
      <c r="J705" s="1909"/>
      <c r="K705" s="1909"/>
      <c r="L705" s="1909"/>
      <c r="M705" s="1909"/>
    </row>
    <row r="706" spans="1:13" x14ac:dyDescent="0.2">
      <c r="A706" s="1947"/>
      <c r="B706" s="1947"/>
      <c r="D706" s="1947"/>
      <c r="E706" s="1947"/>
      <c r="F706" s="1909"/>
      <c r="G706" s="1909"/>
      <c r="H706" s="1909"/>
      <c r="I706" s="1909"/>
      <c r="J706" s="1909"/>
      <c r="K706" s="1909"/>
      <c r="L706" s="1909"/>
      <c r="M706" s="1909"/>
    </row>
    <row r="707" spans="1:13" x14ac:dyDescent="0.2">
      <c r="A707" s="1947"/>
      <c r="B707" s="1947"/>
      <c r="D707" s="1947"/>
      <c r="E707" s="1947"/>
      <c r="F707" s="1909"/>
      <c r="G707" s="1909"/>
      <c r="H707" s="1909"/>
      <c r="I707" s="1909"/>
      <c r="J707" s="1909"/>
      <c r="K707" s="1909"/>
      <c r="L707" s="1909"/>
      <c r="M707" s="1909"/>
    </row>
    <row r="708" spans="1:13" x14ac:dyDescent="0.2">
      <c r="A708" s="1947"/>
      <c r="B708" s="1947"/>
      <c r="D708" s="1947"/>
      <c r="E708" s="1947"/>
      <c r="F708" s="1909"/>
      <c r="G708" s="1909"/>
      <c r="H708" s="1909"/>
      <c r="I708" s="1909"/>
      <c r="J708" s="1909"/>
      <c r="K708" s="1909"/>
      <c r="L708" s="1909"/>
      <c r="M708" s="1909"/>
    </row>
    <row r="709" spans="1:13" x14ac:dyDescent="0.2">
      <c r="A709" s="1947"/>
      <c r="B709" s="1947"/>
      <c r="D709" s="1947"/>
      <c r="E709" s="1947"/>
      <c r="F709" s="1909"/>
      <c r="G709" s="1909"/>
      <c r="H709" s="1909"/>
      <c r="I709" s="1909"/>
      <c r="J709" s="1909"/>
      <c r="K709" s="1909"/>
      <c r="L709" s="1909"/>
      <c r="M709" s="1909"/>
    </row>
    <row r="710" spans="1:13" x14ac:dyDescent="0.2">
      <c r="A710" s="1947"/>
      <c r="B710" s="1947"/>
      <c r="D710" s="1947"/>
      <c r="E710" s="1947"/>
      <c r="F710" s="1909"/>
      <c r="G710" s="1909"/>
      <c r="H710" s="1909"/>
      <c r="I710" s="1909"/>
      <c r="J710" s="1909"/>
      <c r="K710" s="1909"/>
      <c r="L710" s="1909"/>
      <c r="M710" s="1909"/>
    </row>
    <row r="711" spans="1:13" x14ac:dyDescent="0.2">
      <c r="A711" s="1947"/>
      <c r="B711" s="1947"/>
      <c r="D711" s="1947"/>
      <c r="E711" s="1947"/>
      <c r="F711" s="1909"/>
      <c r="G711" s="1909"/>
      <c r="H711" s="1909"/>
      <c r="I711" s="1909"/>
      <c r="J711" s="1909"/>
      <c r="K711" s="1909"/>
      <c r="L711" s="1909"/>
      <c r="M711" s="1909"/>
    </row>
    <row r="712" spans="1:13" x14ac:dyDescent="0.2">
      <c r="A712" s="1947"/>
      <c r="B712" s="1947"/>
      <c r="D712" s="1947"/>
      <c r="E712" s="1947"/>
      <c r="F712" s="1909"/>
      <c r="G712" s="1909"/>
      <c r="H712" s="1909"/>
      <c r="I712" s="1909"/>
      <c r="J712" s="1909"/>
      <c r="K712" s="1909"/>
      <c r="L712" s="1909"/>
      <c r="M712" s="1909"/>
    </row>
    <row r="713" spans="1:13" x14ac:dyDescent="0.2">
      <c r="A713" s="1947"/>
      <c r="B713" s="1947"/>
      <c r="D713" s="1947"/>
      <c r="E713" s="1947"/>
      <c r="F713" s="1909"/>
      <c r="G713" s="1909"/>
      <c r="H713" s="1909"/>
      <c r="I713" s="1909"/>
      <c r="J713" s="1909"/>
      <c r="K713" s="1909"/>
      <c r="L713" s="1909"/>
      <c r="M713" s="1909"/>
    </row>
    <row r="714" spans="1:13" x14ac:dyDescent="0.2">
      <c r="A714" s="1947"/>
      <c r="B714" s="1947"/>
      <c r="D714" s="1947"/>
      <c r="E714" s="1947"/>
      <c r="F714" s="1909"/>
      <c r="G714" s="1909"/>
      <c r="H714" s="1909"/>
      <c r="I714" s="1909"/>
      <c r="J714" s="1909"/>
      <c r="K714" s="1909"/>
      <c r="L714" s="1909"/>
      <c r="M714" s="1909"/>
    </row>
    <row r="715" spans="1:13" x14ac:dyDescent="0.2">
      <c r="A715" s="1947"/>
      <c r="B715" s="1947"/>
      <c r="D715" s="1947"/>
      <c r="E715" s="1947"/>
      <c r="F715" s="1909"/>
      <c r="G715" s="1909"/>
      <c r="H715" s="1909"/>
      <c r="I715" s="1909"/>
      <c r="J715" s="1909"/>
      <c r="K715" s="1909"/>
      <c r="L715" s="1909"/>
      <c r="M715" s="1909"/>
    </row>
    <row r="716" spans="1:13" x14ac:dyDescent="0.2">
      <c r="A716" s="1947"/>
      <c r="B716" s="1947"/>
      <c r="D716" s="1947"/>
      <c r="E716" s="1947"/>
      <c r="F716" s="1909"/>
      <c r="G716" s="1909"/>
      <c r="H716" s="1909"/>
      <c r="I716" s="1909"/>
      <c r="J716" s="1909"/>
      <c r="K716" s="1909"/>
      <c r="L716" s="1909"/>
      <c r="M716" s="1909"/>
    </row>
    <row r="717" spans="1:13" x14ac:dyDescent="0.2">
      <c r="A717" s="1947"/>
      <c r="B717" s="1947"/>
      <c r="D717" s="1947"/>
      <c r="E717" s="1947"/>
      <c r="F717" s="1909"/>
      <c r="G717" s="1909"/>
      <c r="H717" s="1909"/>
      <c r="I717" s="1909"/>
      <c r="J717" s="1909"/>
      <c r="K717" s="1909"/>
      <c r="L717" s="1909"/>
      <c r="M717" s="1909"/>
    </row>
    <row r="718" spans="1:13" x14ac:dyDescent="0.2">
      <c r="A718" s="1947"/>
      <c r="B718" s="1947"/>
      <c r="D718" s="1947"/>
      <c r="E718" s="1947"/>
      <c r="F718" s="1909"/>
      <c r="G718" s="1909"/>
      <c r="H718" s="1909"/>
      <c r="I718" s="1909"/>
      <c r="J718" s="1909"/>
      <c r="K718" s="1909"/>
      <c r="L718" s="1909"/>
      <c r="M718" s="1909"/>
    </row>
    <row r="719" spans="1:13" x14ac:dyDescent="0.2">
      <c r="A719" s="1947"/>
      <c r="B719" s="1947"/>
      <c r="D719" s="1947"/>
      <c r="E719" s="1947"/>
      <c r="F719" s="1909"/>
      <c r="G719" s="1909"/>
      <c r="H719" s="1909"/>
      <c r="I719" s="1909"/>
      <c r="J719" s="1909"/>
      <c r="K719" s="1909"/>
      <c r="L719" s="1909"/>
      <c r="M719" s="1909"/>
    </row>
    <row r="720" spans="1:13" x14ac:dyDescent="0.2">
      <c r="A720" s="1947"/>
      <c r="B720" s="1947"/>
      <c r="D720" s="1947"/>
      <c r="E720" s="1947"/>
      <c r="F720" s="1909"/>
      <c r="G720" s="1909"/>
      <c r="H720" s="1909"/>
      <c r="I720" s="1909"/>
      <c r="J720" s="1909"/>
      <c r="K720" s="1909"/>
      <c r="L720" s="1909"/>
      <c r="M720" s="1909"/>
    </row>
    <row r="721" spans="1:13" x14ac:dyDescent="0.2">
      <c r="A721" s="1947"/>
      <c r="B721" s="1947"/>
      <c r="D721" s="1947"/>
      <c r="E721" s="1947"/>
      <c r="F721" s="1909"/>
      <c r="G721" s="1909"/>
      <c r="H721" s="1909"/>
      <c r="I721" s="1909"/>
      <c r="J721" s="1909"/>
      <c r="K721" s="1909"/>
      <c r="L721" s="1909"/>
      <c r="M721" s="1909"/>
    </row>
    <row r="722" spans="1:13" x14ac:dyDescent="0.2">
      <c r="A722" s="1947"/>
      <c r="B722" s="1947"/>
      <c r="D722" s="1947"/>
      <c r="E722" s="1947"/>
      <c r="F722" s="1909"/>
      <c r="G722" s="1909"/>
      <c r="H722" s="1909"/>
      <c r="I722" s="1909"/>
      <c r="J722" s="1909"/>
      <c r="K722" s="1909"/>
      <c r="L722" s="1909"/>
      <c r="M722" s="1909"/>
    </row>
    <row r="723" spans="1:13" x14ac:dyDescent="0.2">
      <c r="A723" s="1947"/>
      <c r="B723" s="1947"/>
      <c r="D723" s="1947"/>
      <c r="E723" s="1947"/>
      <c r="F723" s="1909"/>
      <c r="G723" s="1909"/>
      <c r="H723" s="1909"/>
      <c r="I723" s="1909"/>
      <c r="J723" s="1909"/>
      <c r="K723" s="1909"/>
      <c r="L723" s="1909"/>
      <c r="M723" s="1909"/>
    </row>
    <row r="724" spans="1:13" x14ac:dyDescent="0.2">
      <c r="A724" s="1947"/>
      <c r="B724" s="1947"/>
      <c r="D724" s="1947"/>
      <c r="E724" s="1947"/>
      <c r="F724" s="1909"/>
      <c r="G724" s="1909"/>
      <c r="H724" s="1909"/>
      <c r="I724" s="1909"/>
      <c r="J724" s="1909"/>
      <c r="K724" s="1909"/>
      <c r="L724" s="1909"/>
      <c r="M724" s="1909"/>
    </row>
    <row r="725" spans="1:13" x14ac:dyDescent="0.2">
      <c r="A725" s="1947"/>
      <c r="B725" s="1947"/>
      <c r="D725" s="1947"/>
      <c r="E725" s="1947"/>
      <c r="F725" s="1909"/>
      <c r="G725" s="1909"/>
      <c r="H725" s="1909"/>
      <c r="I725" s="1909"/>
      <c r="J725" s="1909"/>
      <c r="K725" s="1909"/>
      <c r="L725" s="1909"/>
      <c r="M725" s="1909"/>
    </row>
    <row r="726" spans="1:13" x14ac:dyDescent="0.2">
      <c r="A726" s="1947"/>
      <c r="B726" s="1947"/>
      <c r="D726" s="1947"/>
      <c r="E726" s="1947"/>
      <c r="F726" s="1909"/>
      <c r="G726" s="1909"/>
      <c r="H726" s="1909"/>
      <c r="I726" s="1909"/>
      <c r="J726" s="1909"/>
      <c r="K726" s="1909"/>
      <c r="L726" s="1909"/>
      <c r="M726" s="1909"/>
    </row>
    <row r="727" spans="1:13" x14ac:dyDescent="0.2">
      <c r="A727" s="1947"/>
      <c r="B727" s="1947"/>
      <c r="D727" s="1947"/>
      <c r="E727" s="1947"/>
      <c r="F727" s="1909"/>
      <c r="G727" s="1909"/>
      <c r="H727" s="1909"/>
      <c r="I727" s="1909"/>
      <c r="J727" s="1909"/>
      <c r="K727" s="1909"/>
      <c r="L727" s="1909"/>
      <c r="M727" s="1909"/>
    </row>
    <row r="728" spans="1:13" x14ac:dyDescent="0.2">
      <c r="A728" s="1947"/>
      <c r="B728" s="1947"/>
      <c r="D728" s="1947"/>
      <c r="E728" s="1947"/>
      <c r="F728" s="1909"/>
      <c r="G728" s="1909"/>
      <c r="H728" s="1909"/>
      <c r="I728" s="1909"/>
      <c r="J728" s="1909"/>
      <c r="K728" s="1909"/>
      <c r="L728" s="1909"/>
      <c r="M728" s="1909"/>
    </row>
    <row r="729" spans="1:13" x14ac:dyDescent="0.2">
      <c r="A729" s="1947"/>
      <c r="B729" s="1947"/>
      <c r="D729" s="1947"/>
      <c r="E729" s="1947"/>
      <c r="F729" s="1909"/>
      <c r="G729" s="1909"/>
      <c r="H729" s="1909"/>
      <c r="I729" s="1909"/>
      <c r="J729" s="1909"/>
      <c r="K729" s="1909"/>
      <c r="L729" s="1909"/>
      <c r="M729" s="1909"/>
    </row>
    <row r="730" spans="1:13" x14ac:dyDescent="0.2">
      <c r="A730" s="1947"/>
      <c r="B730" s="1947"/>
      <c r="D730" s="1947"/>
      <c r="E730" s="1947"/>
      <c r="F730" s="1909"/>
      <c r="G730" s="1909"/>
      <c r="H730" s="1909"/>
      <c r="I730" s="1909"/>
      <c r="J730" s="1909"/>
      <c r="K730" s="1909"/>
      <c r="L730" s="1909"/>
      <c r="M730" s="1909"/>
    </row>
    <row r="731" spans="1:13" x14ac:dyDescent="0.2">
      <c r="A731" s="1947"/>
      <c r="B731" s="1947"/>
      <c r="D731" s="1947"/>
      <c r="E731" s="1947"/>
      <c r="F731" s="1909"/>
      <c r="G731" s="1909"/>
      <c r="H731" s="1909"/>
      <c r="I731" s="1909"/>
      <c r="J731" s="1909"/>
      <c r="K731" s="1909"/>
      <c r="L731" s="1909"/>
      <c r="M731" s="1909"/>
    </row>
    <row r="732" spans="1:13" x14ac:dyDescent="0.2">
      <c r="A732" s="1947"/>
      <c r="B732" s="1947"/>
      <c r="D732" s="1947"/>
      <c r="E732" s="1947"/>
      <c r="F732" s="1909"/>
      <c r="G732" s="1909"/>
      <c r="H732" s="1909"/>
      <c r="I732" s="1909"/>
      <c r="J732" s="1909"/>
      <c r="K732" s="1909"/>
      <c r="L732" s="1909"/>
      <c r="M732" s="1909"/>
    </row>
    <row r="733" spans="1:13" x14ac:dyDescent="0.2">
      <c r="A733" s="1947"/>
      <c r="B733" s="1947"/>
      <c r="D733" s="1947"/>
      <c r="E733" s="1947"/>
      <c r="F733" s="1909"/>
      <c r="G733" s="1909"/>
      <c r="H733" s="1909"/>
      <c r="I733" s="1909"/>
      <c r="J733" s="1909"/>
      <c r="K733" s="1909"/>
      <c r="L733" s="1909"/>
      <c r="M733" s="1909"/>
    </row>
    <row r="734" spans="1:13" x14ac:dyDescent="0.2">
      <c r="A734" s="1947"/>
      <c r="B734" s="1947"/>
      <c r="D734" s="1947"/>
      <c r="E734" s="1947"/>
      <c r="F734" s="1909"/>
      <c r="G734" s="1909"/>
      <c r="H734" s="1909"/>
      <c r="I734" s="1909"/>
      <c r="J734" s="1909"/>
      <c r="K734" s="1909"/>
      <c r="L734" s="1909"/>
      <c r="M734" s="1909"/>
    </row>
    <row r="735" spans="1:13" x14ac:dyDescent="0.2">
      <c r="A735" s="1947"/>
      <c r="B735" s="1947"/>
      <c r="D735" s="1947"/>
      <c r="E735" s="1947"/>
      <c r="F735" s="1909"/>
      <c r="G735" s="1909"/>
      <c r="H735" s="1909"/>
      <c r="I735" s="1909"/>
      <c r="J735" s="1909"/>
      <c r="K735" s="1909"/>
      <c r="L735" s="1909"/>
      <c r="M735" s="1909"/>
    </row>
    <row r="736" spans="1:13" x14ac:dyDescent="0.2">
      <c r="A736" s="1947"/>
      <c r="B736" s="1947"/>
      <c r="D736" s="1947"/>
      <c r="E736" s="1947"/>
      <c r="F736" s="1909"/>
      <c r="G736" s="1909"/>
      <c r="H736" s="1909"/>
      <c r="I736" s="1909"/>
      <c r="J736" s="1909"/>
      <c r="K736" s="1909"/>
      <c r="L736" s="1909"/>
      <c r="M736" s="1909"/>
    </row>
    <row r="737" spans="1:13" x14ac:dyDescent="0.2">
      <c r="A737" s="1947"/>
      <c r="B737" s="1947"/>
      <c r="D737" s="1947"/>
      <c r="E737" s="1947"/>
      <c r="F737" s="1909"/>
      <c r="G737" s="1909"/>
      <c r="H737" s="1909"/>
      <c r="I737" s="1909"/>
      <c r="J737" s="1909"/>
      <c r="K737" s="1909"/>
      <c r="L737" s="1909"/>
      <c r="M737" s="1909"/>
    </row>
    <row r="738" spans="1:13" x14ac:dyDescent="0.2">
      <c r="A738" s="1947"/>
      <c r="B738" s="1947"/>
      <c r="D738" s="1947"/>
      <c r="E738" s="1947"/>
      <c r="F738" s="1909"/>
      <c r="G738" s="1909"/>
      <c r="H738" s="1909"/>
      <c r="I738" s="1909"/>
      <c r="J738" s="1909"/>
      <c r="K738" s="1909"/>
      <c r="L738" s="1909"/>
      <c r="M738" s="1909"/>
    </row>
    <row r="739" spans="1:13" x14ac:dyDescent="0.2">
      <c r="A739" s="1947"/>
      <c r="B739" s="1947"/>
      <c r="D739" s="1947"/>
      <c r="E739" s="1947"/>
      <c r="F739" s="1909"/>
      <c r="G739" s="1909"/>
      <c r="H739" s="1909"/>
      <c r="I739" s="1909"/>
      <c r="J739" s="1909"/>
      <c r="K739" s="1909"/>
      <c r="L739" s="1909"/>
      <c r="M739" s="1909"/>
    </row>
    <row r="740" spans="1:13" x14ac:dyDescent="0.2">
      <c r="A740" s="1947"/>
      <c r="B740" s="1947"/>
      <c r="D740" s="1947"/>
      <c r="E740" s="1947"/>
      <c r="F740" s="1909"/>
      <c r="G740" s="1909"/>
      <c r="H740" s="1909"/>
      <c r="I740" s="1909"/>
      <c r="J740" s="1909"/>
      <c r="K740" s="1909"/>
      <c r="L740" s="1909"/>
      <c r="M740" s="1909"/>
    </row>
    <row r="741" spans="1:13" x14ac:dyDescent="0.2">
      <c r="A741" s="1947"/>
      <c r="B741" s="1947"/>
      <c r="D741" s="1947"/>
      <c r="E741" s="1947"/>
      <c r="F741" s="1909"/>
      <c r="G741" s="1909"/>
      <c r="H741" s="1909"/>
      <c r="I741" s="1909"/>
      <c r="J741" s="1909"/>
      <c r="K741" s="1909"/>
      <c r="L741" s="1909"/>
      <c r="M741" s="1909"/>
    </row>
    <row r="742" spans="1:13" x14ac:dyDescent="0.2">
      <c r="A742" s="1947"/>
      <c r="B742" s="1947"/>
      <c r="D742" s="1947"/>
      <c r="E742" s="1947"/>
      <c r="F742" s="1909"/>
      <c r="G742" s="1909"/>
      <c r="H742" s="1909"/>
      <c r="I742" s="1909"/>
      <c r="J742" s="1909"/>
      <c r="K742" s="1909"/>
      <c r="L742" s="1909"/>
      <c r="M742" s="1909"/>
    </row>
    <row r="743" spans="1:13" x14ac:dyDescent="0.2">
      <c r="A743" s="1947"/>
      <c r="B743" s="1947"/>
      <c r="D743" s="1947"/>
      <c r="E743" s="1947"/>
      <c r="F743" s="1909"/>
      <c r="G743" s="1909"/>
      <c r="H743" s="1909"/>
      <c r="I743" s="1909"/>
      <c r="J743" s="1909"/>
      <c r="K743" s="1909"/>
      <c r="L743" s="1909"/>
      <c r="M743" s="1909"/>
    </row>
    <row r="744" spans="1:13" x14ac:dyDescent="0.2">
      <c r="A744" s="1947"/>
      <c r="B744" s="1947"/>
      <c r="D744" s="1947"/>
      <c r="E744" s="1947"/>
      <c r="F744" s="1909"/>
      <c r="G744" s="1909"/>
      <c r="H744" s="1909"/>
      <c r="I744" s="1909"/>
      <c r="J744" s="1909"/>
      <c r="K744" s="1909"/>
      <c r="L744" s="1909"/>
      <c r="M744" s="1909"/>
    </row>
    <row r="745" spans="1:13" x14ac:dyDescent="0.2">
      <c r="A745" s="1947"/>
      <c r="B745" s="1947"/>
      <c r="D745" s="1947"/>
      <c r="E745" s="1947"/>
      <c r="F745" s="1909"/>
      <c r="G745" s="1909"/>
      <c r="H745" s="1909"/>
      <c r="I745" s="1909"/>
      <c r="J745" s="1909"/>
      <c r="K745" s="1909"/>
      <c r="L745" s="1909"/>
      <c r="M745" s="1909"/>
    </row>
    <row r="746" spans="1:13" x14ac:dyDescent="0.2">
      <c r="A746" s="1947"/>
      <c r="B746" s="1947"/>
      <c r="D746" s="1947"/>
      <c r="E746" s="1947"/>
      <c r="F746" s="1909"/>
      <c r="G746" s="1909"/>
      <c r="H746" s="1909"/>
      <c r="I746" s="1909"/>
      <c r="J746" s="1909"/>
      <c r="K746" s="1909"/>
      <c r="L746" s="1909"/>
      <c r="M746" s="1909"/>
    </row>
    <row r="747" spans="1:13" x14ac:dyDescent="0.2">
      <c r="A747" s="1947"/>
      <c r="B747" s="1947"/>
      <c r="D747" s="1947"/>
      <c r="E747" s="1947"/>
      <c r="F747" s="1909"/>
      <c r="G747" s="1909"/>
      <c r="H747" s="1909"/>
      <c r="I747" s="1909"/>
      <c r="J747" s="1909"/>
      <c r="K747" s="1909"/>
      <c r="L747" s="1909"/>
      <c r="M747" s="1909"/>
    </row>
    <row r="748" spans="1:13" x14ac:dyDescent="0.2">
      <c r="A748" s="1947"/>
      <c r="B748" s="1947"/>
      <c r="D748" s="1947"/>
      <c r="E748" s="1947"/>
      <c r="F748" s="1909"/>
      <c r="G748" s="1909"/>
      <c r="H748" s="1909"/>
      <c r="I748" s="1909"/>
      <c r="J748" s="1909"/>
      <c r="K748" s="1909"/>
      <c r="L748" s="1909"/>
      <c r="M748" s="1909"/>
    </row>
    <row r="749" spans="1:13" x14ac:dyDescent="0.2">
      <c r="A749" s="1947"/>
      <c r="B749" s="1947"/>
      <c r="D749" s="1947"/>
      <c r="E749" s="1947"/>
      <c r="F749" s="1909"/>
      <c r="G749" s="1909"/>
      <c r="H749" s="1909"/>
      <c r="I749" s="1909"/>
      <c r="J749" s="1909"/>
      <c r="K749" s="1909"/>
      <c r="L749" s="1909"/>
      <c r="M749" s="1909"/>
    </row>
    <row r="750" spans="1:13" x14ac:dyDescent="0.2">
      <c r="A750" s="1947"/>
      <c r="B750" s="1947"/>
      <c r="D750" s="1947"/>
      <c r="E750" s="1947"/>
      <c r="F750" s="1909"/>
      <c r="G750" s="1909"/>
      <c r="H750" s="1909"/>
      <c r="I750" s="1909"/>
      <c r="J750" s="1909"/>
      <c r="K750" s="1909"/>
      <c r="L750" s="1909"/>
      <c r="M750" s="1909"/>
    </row>
    <row r="751" spans="1:13" x14ac:dyDescent="0.2">
      <c r="A751" s="1947"/>
      <c r="B751" s="1947"/>
      <c r="D751" s="1947"/>
      <c r="E751" s="1947"/>
      <c r="F751" s="1909"/>
      <c r="G751" s="1909"/>
      <c r="H751" s="1909"/>
      <c r="I751" s="1909"/>
      <c r="J751" s="1909"/>
      <c r="K751" s="1909"/>
      <c r="L751" s="1909"/>
      <c r="M751" s="1909"/>
    </row>
    <row r="752" spans="1:13" x14ac:dyDescent="0.2">
      <c r="A752" s="1947"/>
      <c r="B752" s="1947"/>
      <c r="D752" s="1947"/>
      <c r="E752" s="1947"/>
      <c r="F752" s="1909"/>
      <c r="G752" s="1909"/>
      <c r="H752" s="1909"/>
      <c r="I752" s="1909"/>
      <c r="J752" s="1909"/>
      <c r="K752" s="1909"/>
      <c r="L752" s="1909"/>
      <c r="M752" s="1909"/>
    </row>
    <row r="753" spans="1:13" x14ac:dyDescent="0.2">
      <c r="A753" s="1947"/>
      <c r="B753" s="1947"/>
      <c r="D753" s="1947"/>
      <c r="E753" s="1947"/>
      <c r="F753" s="1909"/>
      <c r="G753" s="1909"/>
      <c r="H753" s="1909"/>
      <c r="I753" s="1909"/>
      <c r="J753" s="1909"/>
      <c r="K753" s="1909"/>
      <c r="L753" s="1909"/>
      <c r="M753" s="1909"/>
    </row>
    <row r="754" spans="1:13" x14ac:dyDescent="0.2">
      <c r="A754" s="1947"/>
      <c r="B754" s="1947"/>
      <c r="D754" s="1947"/>
      <c r="E754" s="1947"/>
      <c r="F754" s="1909"/>
      <c r="G754" s="1909"/>
      <c r="H754" s="1909"/>
      <c r="I754" s="1909"/>
      <c r="J754" s="1909"/>
      <c r="K754" s="1909"/>
      <c r="L754" s="1909"/>
      <c r="M754" s="1909"/>
    </row>
    <row r="755" spans="1:13" x14ac:dyDescent="0.2">
      <c r="A755" s="1947"/>
      <c r="B755" s="1947"/>
      <c r="D755" s="1947"/>
      <c r="E755" s="1947"/>
      <c r="F755" s="1909"/>
      <c r="G755" s="1909"/>
      <c r="H755" s="1909"/>
      <c r="I755" s="1909"/>
      <c r="J755" s="1909"/>
      <c r="K755" s="1909"/>
      <c r="L755" s="1909"/>
      <c r="M755" s="1909"/>
    </row>
    <row r="756" spans="1:13" x14ac:dyDescent="0.2">
      <c r="A756" s="1947"/>
      <c r="B756" s="1947"/>
      <c r="D756" s="1947"/>
      <c r="E756" s="1947"/>
      <c r="F756" s="1909"/>
      <c r="G756" s="1909"/>
      <c r="H756" s="1909"/>
      <c r="I756" s="1909"/>
      <c r="J756" s="1909"/>
      <c r="K756" s="1909"/>
      <c r="L756" s="1909"/>
      <c r="M756" s="1909"/>
    </row>
    <row r="757" spans="1:13" x14ac:dyDescent="0.2">
      <c r="A757" s="1947"/>
      <c r="B757" s="1947"/>
      <c r="D757" s="1947"/>
      <c r="E757" s="1947"/>
      <c r="F757" s="1909"/>
      <c r="G757" s="1909"/>
      <c r="H757" s="1909"/>
      <c r="I757" s="1909"/>
      <c r="J757" s="1909"/>
      <c r="K757" s="1909"/>
      <c r="L757" s="1909"/>
      <c r="M757" s="1909"/>
    </row>
    <row r="758" spans="1:13" x14ac:dyDescent="0.2">
      <c r="A758" s="1947"/>
      <c r="B758" s="1947"/>
      <c r="D758" s="1947"/>
      <c r="E758" s="1947"/>
      <c r="F758" s="1909"/>
      <c r="G758" s="1909"/>
      <c r="H758" s="1909"/>
      <c r="I758" s="1909"/>
      <c r="J758" s="1909"/>
      <c r="K758" s="1909"/>
      <c r="L758" s="1909"/>
      <c r="M758" s="1909"/>
    </row>
    <row r="759" spans="1:13" x14ac:dyDescent="0.2">
      <c r="A759" s="1947"/>
      <c r="B759" s="1947"/>
      <c r="D759" s="1947"/>
      <c r="E759" s="1947"/>
      <c r="F759" s="1909"/>
      <c r="G759" s="1909"/>
      <c r="H759" s="1909"/>
      <c r="I759" s="1909"/>
      <c r="J759" s="1909"/>
      <c r="K759" s="1909"/>
      <c r="L759" s="1909"/>
      <c r="M759" s="1909"/>
    </row>
    <row r="760" spans="1:13" x14ac:dyDescent="0.2">
      <c r="A760" s="1947"/>
      <c r="B760" s="1947"/>
      <c r="D760" s="1947"/>
      <c r="E760" s="1947"/>
      <c r="F760" s="1909"/>
      <c r="G760" s="1909"/>
      <c r="H760" s="1909"/>
      <c r="I760" s="1909"/>
      <c r="J760" s="1909"/>
      <c r="K760" s="1909"/>
      <c r="L760" s="1909"/>
      <c r="M760" s="1909"/>
    </row>
    <row r="761" spans="1:13" x14ac:dyDescent="0.2">
      <c r="A761" s="1947"/>
      <c r="B761" s="1947"/>
      <c r="D761" s="1947"/>
      <c r="E761" s="1947"/>
      <c r="F761" s="1909"/>
      <c r="G761" s="1909"/>
      <c r="H761" s="1909"/>
      <c r="I761" s="1909"/>
      <c r="J761" s="1909"/>
      <c r="K761" s="1909"/>
      <c r="L761" s="1909"/>
      <c r="M761" s="1909"/>
    </row>
    <row r="762" spans="1:13" x14ac:dyDescent="0.2">
      <c r="A762" s="1947"/>
      <c r="B762" s="1947"/>
      <c r="D762" s="1947"/>
      <c r="E762" s="1947"/>
      <c r="F762" s="1909"/>
      <c r="G762" s="1909"/>
      <c r="H762" s="1909"/>
      <c r="I762" s="1909"/>
      <c r="J762" s="1909"/>
      <c r="K762" s="1909"/>
      <c r="L762" s="1909"/>
      <c r="M762" s="1909"/>
    </row>
    <row r="763" spans="1:13" x14ac:dyDescent="0.2">
      <c r="A763" s="1947"/>
      <c r="B763" s="1947"/>
      <c r="D763" s="1947"/>
      <c r="E763" s="1947"/>
      <c r="F763" s="1909"/>
      <c r="G763" s="1909"/>
      <c r="H763" s="1909"/>
      <c r="I763" s="1909"/>
      <c r="J763" s="1909"/>
      <c r="K763" s="1909"/>
      <c r="L763" s="1909"/>
      <c r="M763" s="1909"/>
    </row>
    <row r="764" spans="1:13" x14ac:dyDescent="0.2">
      <c r="A764" s="1947"/>
      <c r="B764" s="1947"/>
      <c r="D764" s="1947"/>
      <c r="E764" s="1947"/>
      <c r="F764" s="1909"/>
      <c r="G764" s="1909"/>
      <c r="H764" s="1909"/>
      <c r="I764" s="1909"/>
      <c r="J764" s="1909"/>
      <c r="K764" s="1909"/>
      <c r="L764" s="1909"/>
      <c r="M764" s="1909"/>
    </row>
    <row r="765" spans="1:13" x14ac:dyDescent="0.2">
      <c r="A765" s="1947"/>
      <c r="B765" s="1947"/>
      <c r="D765" s="1947"/>
      <c r="E765" s="1947"/>
      <c r="F765" s="1909"/>
      <c r="G765" s="1909"/>
      <c r="H765" s="1909"/>
      <c r="I765" s="1909"/>
      <c r="J765" s="1909"/>
      <c r="K765" s="1909"/>
      <c r="L765" s="1909"/>
      <c r="M765" s="1909"/>
    </row>
    <row r="766" spans="1:13" x14ac:dyDescent="0.2">
      <c r="A766" s="1947"/>
      <c r="B766" s="1947"/>
      <c r="D766" s="1947"/>
      <c r="E766" s="1947"/>
      <c r="F766" s="1909"/>
      <c r="G766" s="1909"/>
      <c r="H766" s="1909"/>
      <c r="I766" s="1909"/>
      <c r="J766" s="1909"/>
      <c r="K766" s="1909"/>
      <c r="L766" s="1909"/>
      <c r="M766" s="1909"/>
    </row>
    <row r="767" spans="1:13" x14ac:dyDescent="0.2">
      <c r="A767" s="1947"/>
      <c r="B767" s="1947"/>
      <c r="D767" s="1947"/>
      <c r="E767" s="1947"/>
      <c r="F767" s="1909"/>
      <c r="G767" s="1909"/>
      <c r="H767" s="1909"/>
      <c r="I767" s="1909"/>
      <c r="J767" s="1909"/>
      <c r="K767" s="1909"/>
      <c r="L767" s="1909"/>
      <c r="M767" s="1909"/>
    </row>
    <row r="768" spans="1:13" x14ac:dyDescent="0.2">
      <c r="A768" s="1947"/>
      <c r="B768" s="1947"/>
      <c r="D768" s="1947"/>
      <c r="E768" s="1947"/>
      <c r="F768" s="1909"/>
      <c r="G768" s="1909"/>
      <c r="H768" s="1909"/>
      <c r="I768" s="1909"/>
      <c r="J768" s="1909"/>
      <c r="K768" s="1909"/>
      <c r="L768" s="1909"/>
      <c r="M768" s="1909"/>
    </row>
    <row r="769" spans="1:13" x14ac:dyDescent="0.2">
      <c r="A769" s="1947"/>
      <c r="B769" s="1947"/>
      <c r="D769" s="1947"/>
      <c r="E769" s="1947"/>
      <c r="F769" s="1909"/>
      <c r="G769" s="1909"/>
      <c r="H769" s="1909"/>
      <c r="I769" s="1909"/>
      <c r="J769" s="1909"/>
      <c r="K769" s="1909"/>
      <c r="L769" s="1909"/>
      <c r="M769" s="1909"/>
    </row>
    <row r="770" spans="1:13" x14ac:dyDescent="0.2">
      <c r="A770" s="1947"/>
      <c r="B770" s="1947"/>
      <c r="D770" s="1947"/>
      <c r="E770" s="1947"/>
      <c r="F770" s="1909"/>
      <c r="G770" s="1909"/>
      <c r="H770" s="1909"/>
      <c r="I770" s="1909"/>
      <c r="J770" s="1909"/>
      <c r="K770" s="1909"/>
      <c r="L770" s="1909"/>
      <c r="M770" s="1909"/>
    </row>
    <row r="771" spans="1:13" x14ac:dyDescent="0.2">
      <c r="A771" s="1947"/>
      <c r="B771" s="1947"/>
      <c r="D771" s="1947"/>
      <c r="E771" s="1947"/>
      <c r="F771" s="1909"/>
      <c r="G771" s="1909"/>
      <c r="H771" s="1909"/>
      <c r="I771" s="1909"/>
      <c r="J771" s="1909"/>
      <c r="K771" s="1909"/>
      <c r="L771" s="1909"/>
      <c r="M771" s="1909"/>
    </row>
    <row r="772" spans="1:13" x14ac:dyDescent="0.2">
      <c r="A772" s="1947"/>
      <c r="B772" s="1947"/>
      <c r="D772" s="1947"/>
      <c r="E772" s="1947"/>
      <c r="F772" s="1909"/>
      <c r="G772" s="1909"/>
      <c r="H772" s="1909"/>
      <c r="I772" s="1909"/>
      <c r="J772" s="1909"/>
      <c r="K772" s="1909"/>
      <c r="L772" s="1909"/>
      <c r="M772" s="1909"/>
    </row>
    <row r="773" spans="1:13" x14ac:dyDescent="0.2">
      <c r="A773" s="1947"/>
      <c r="B773" s="1947"/>
      <c r="D773" s="1947"/>
      <c r="E773" s="1947"/>
      <c r="F773" s="1909"/>
      <c r="G773" s="1909"/>
      <c r="H773" s="1909"/>
      <c r="I773" s="1909"/>
      <c r="J773" s="1909"/>
      <c r="K773" s="1909"/>
      <c r="L773" s="1909"/>
      <c r="M773" s="1909"/>
    </row>
    <row r="774" spans="1:13" x14ac:dyDescent="0.2">
      <c r="A774" s="1947"/>
      <c r="B774" s="1947"/>
      <c r="D774" s="1947"/>
      <c r="E774" s="1947"/>
      <c r="F774" s="1909"/>
      <c r="G774" s="1909"/>
      <c r="H774" s="1909"/>
      <c r="I774" s="1909"/>
      <c r="J774" s="1909"/>
      <c r="K774" s="1909"/>
      <c r="L774" s="1909"/>
      <c r="M774" s="1909"/>
    </row>
    <row r="775" spans="1:13" x14ac:dyDescent="0.2">
      <c r="A775" s="1947"/>
      <c r="B775" s="1947"/>
      <c r="D775" s="1947"/>
      <c r="E775" s="1947"/>
      <c r="F775" s="1909"/>
      <c r="G775" s="1909"/>
      <c r="H775" s="1909"/>
      <c r="I775" s="1909"/>
      <c r="J775" s="1909"/>
      <c r="K775" s="1909"/>
      <c r="L775" s="1909"/>
      <c r="M775" s="1909"/>
    </row>
    <row r="776" spans="1:13" x14ac:dyDescent="0.2">
      <c r="A776" s="1947"/>
      <c r="B776" s="1947"/>
      <c r="D776" s="1947"/>
      <c r="E776" s="1947"/>
      <c r="F776" s="1909"/>
      <c r="G776" s="1909"/>
      <c r="H776" s="1909"/>
      <c r="I776" s="1909"/>
      <c r="J776" s="1909"/>
      <c r="K776" s="1909"/>
      <c r="L776" s="1909"/>
      <c r="M776" s="1909"/>
    </row>
    <row r="777" spans="1:13" x14ac:dyDescent="0.2">
      <c r="A777" s="1947"/>
      <c r="B777" s="1947"/>
      <c r="D777" s="1947"/>
      <c r="E777" s="1947"/>
      <c r="F777" s="1909"/>
      <c r="G777" s="1909"/>
      <c r="H777" s="1909"/>
      <c r="I777" s="1909"/>
      <c r="J777" s="1909"/>
      <c r="K777" s="1909"/>
      <c r="L777" s="1909"/>
      <c r="M777" s="1909"/>
    </row>
    <row r="778" spans="1:13" x14ac:dyDescent="0.2">
      <c r="A778" s="1947"/>
      <c r="B778" s="1947"/>
      <c r="D778" s="1947"/>
      <c r="E778" s="1947"/>
      <c r="F778" s="1909"/>
      <c r="G778" s="1909"/>
      <c r="H778" s="1909"/>
      <c r="I778" s="1909"/>
      <c r="J778" s="1909"/>
      <c r="K778" s="1909"/>
      <c r="L778" s="1909"/>
      <c r="M778" s="1909"/>
    </row>
    <row r="779" spans="1:13" x14ac:dyDescent="0.2">
      <c r="A779" s="1947"/>
      <c r="B779" s="1947"/>
      <c r="D779" s="1947"/>
      <c r="E779" s="1947"/>
      <c r="F779" s="1909"/>
      <c r="G779" s="1909"/>
      <c r="H779" s="1909"/>
      <c r="I779" s="1909"/>
      <c r="J779" s="1909"/>
      <c r="K779" s="1909"/>
      <c r="L779" s="1909"/>
      <c r="M779" s="1909"/>
    </row>
    <row r="780" spans="1:13" x14ac:dyDescent="0.2">
      <c r="A780" s="1947"/>
      <c r="B780" s="1947"/>
      <c r="D780" s="1947"/>
      <c r="E780" s="1947"/>
      <c r="F780" s="1909"/>
      <c r="G780" s="1909"/>
      <c r="H780" s="1909"/>
      <c r="I780" s="1909"/>
      <c r="J780" s="1909"/>
      <c r="K780" s="1909"/>
      <c r="L780" s="1909"/>
      <c r="M780" s="1909"/>
    </row>
    <row r="781" spans="1:13" x14ac:dyDescent="0.2">
      <c r="A781" s="1947"/>
      <c r="B781" s="1947"/>
      <c r="D781" s="1947"/>
      <c r="E781" s="1947"/>
      <c r="F781" s="1909"/>
      <c r="G781" s="1909"/>
      <c r="H781" s="1909"/>
      <c r="I781" s="1909"/>
      <c r="J781" s="1909"/>
      <c r="K781" s="1909"/>
      <c r="L781" s="1909"/>
      <c r="M781" s="1909"/>
    </row>
    <row r="782" spans="1:13" x14ac:dyDescent="0.2">
      <c r="A782" s="1947"/>
      <c r="B782" s="1947"/>
      <c r="D782" s="1947"/>
      <c r="E782" s="1947"/>
      <c r="F782" s="1909"/>
      <c r="G782" s="1909"/>
      <c r="H782" s="1909"/>
      <c r="I782" s="1909"/>
      <c r="J782" s="1909"/>
      <c r="K782" s="1909"/>
      <c r="L782" s="1909"/>
      <c r="M782" s="1909"/>
    </row>
    <row r="783" spans="1:13" x14ac:dyDescent="0.2">
      <c r="A783" s="1947"/>
      <c r="B783" s="1947"/>
      <c r="D783" s="1947"/>
      <c r="E783" s="1947"/>
      <c r="F783" s="1909"/>
      <c r="G783" s="1909"/>
      <c r="H783" s="1909"/>
      <c r="I783" s="1909"/>
      <c r="J783" s="1909"/>
      <c r="K783" s="1909"/>
      <c r="L783" s="1909"/>
      <c r="M783" s="1909"/>
    </row>
    <row r="784" spans="1:13" x14ac:dyDescent="0.2">
      <c r="A784" s="1947"/>
      <c r="B784" s="1947"/>
      <c r="D784" s="1947"/>
      <c r="E784" s="1947"/>
      <c r="F784" s="1909"/>
      <c r="G784" s="1909"/>
      <c r="H784" s="1909"/>
      <c r="I784" s="1909"/>
      <c r="J784" s="1909"/>
      <c r="K784" s="1909"/>
      <c r="L784" s="1909"/>
      <c r="M784" s="1909"/>
    </row>
    <row r="785" spans="1:13" x14ac:dyDescent="0.2">
      <c r="A785" s="1947"/>
      <c r="B785" s="1947"/>
      <c r="D785" s="1947"/>
      <c r="E785" s="1947"/>
      <c r="F785" s="1909"/>
      <c r="G785" s="1909"/>
      <c r="H785" s="1909"/>
      <c r="I785" s="1909"/>
      <c r="J785" s="1909"/>
      <c r="K785" s="1909"/>
      <c r="L785" s="1909"/>
      <c r="M785" s="1909"/>
    </row>
    <row r="786" spans="1:13" x14ac:dyDescent="0.2">
      <c r="A786" s="1947"/>
      <c r="B786" s="1947"/>
      <c r="D786" s="1947"/>
      <c r="E786" s="1947"/>
      <c r="F786" s="1909"/>
      <c r="G786" s="1909"/>
      <c r="H786" s="1909"/>
      <c r="I786" s="1909"/>
      <c r="J786" s="1909"/>
      <c r="K786" s="1909"/>
      <c r="L786" s="1909"/>
      <c r="M786" s="1909"/>
    </row>
    <row r="787" spans="1:13" x14ac:dyDescent="0.2">
      <c r="A787" s="1947"/>
      <c r="B787" s="1947"/>
      <c r="D787" s="1947"/>
      <c r="E787" s="1947"/>
      <c r="F787" s="1909"/>
      <c r="G787" s="1909"/>
      <c r="H787" s="1909"/>
      <c r="I787" s="1909"/>
      <c r="J787" s="1909"/>
      <c r="K787" s="1909"/>
      <c r="L787" s="1909"/>
      <c r="M787" s="1909"/>
    </row>
    <row r="788" spans="1:13" x14ac:dyDescent="0.2">
      <c r="A788" s="1947"/>
      <c r="B788" s="1947"/>
      <c r="D788" s="1947"/>
      <c r="E788" s="1947"/>
      <c r="F788" s="1909"/>
      <c r="G788" s="1909"/>
      <c r="H788" s="1909"/>
      <c r="I788" s="1909"/>
      <c r="J788" s="1909"/>
      <c r="K788" s="1909"/>
      <c r="L788" s="1909"/>
      <c r="M788" s="1909"/>
    </row>
    <row r="789" spans="1:13" x14ac:dyDescent="0.2">
      <c r="A789" s="1947"/>
      <c r="B789" s="1947"/>
      <c r="D789" s="1947"/>
      <c r="E789" s="1947"/>
      <c r="F789" s="1909"/>
      <c r="G789" s="1909"/>
      <c r="H789" s="1909"/>
      <c r="I789" s="1909"/>
      <c r="J789" s="1909"/>
      <c r="K789" s="1909"/>
      <c r="L789" s="1909"/>
      <c r="M789" s="1909"/>
    </row>
    <row r="790" spans="1:13" x14ac:dyDescent="0.2">
      <c r="A790" s="1947"/>
      <c r="B790" s="1947"/>
      <c r="D790" s="1947"/>
      <c r="E790" s="1947"/>
      <c r="F790" s="1909"/>
      <c r="G790" s="1909"/>
      <c r="H790" s="1909"/>
      <c r="I790" s="1909"/>
      <c r="J790" s="1909"/>
      <c r="K790" s="1909"/>
      <c r="L790" s="1909"/>
      <c r="M790" s="1909"/>
    </row>
    <row r="791" spans="1:13" x14ac:dyDescent="0.2">
      <c r="A791" s="1947"/>
      <c r="B791" s="1947"/>
      <c r="D791" s="1947"/>
      <c r="E791" s="1947"/>
      <c r="F791" s="1909"/>
      <c r="G791" s="1909"/>
      <c r="H791" s="1909"/>
      <c r="I791" s="1909"/>
      <c r="J791" s="1909"/>
      <c r="K791" s="1909"/>
      <c r="L791" s="1909"/>
      <c r="M791" s="1909"/>
    </row>
    <row r="792" spans="1:13" x14ac:dyDescent="0.2">
      <c r="A792" s="1947"/>
      <c r="B792" s="1947"/>
      <c r="D792" s="1947"/>
      <c r="E792" s="1947"/>
      <c r="F792" s="1909"/>
      <c r="G792" s="1909"/>
      <c r="H792" s="1909"/>
      <c r="I792" s="1909"/>
      <c r="J792" s="1909"/>
      <c r="K792" s="1909"/>
      <c r="L792" s="1909"/>
      <c r="M792" s="1909"/>
    </row>
    <row r="793" spans="1:13" x14ac:dyDescent="0.2">
      <c r="B793" s="1947"/>
      <c r="D793" s="1947"/>
      <c r="E793" s="1947"/>
      <c r="F793" s="1909"/>
      <c r="G793" s="1909"/>
      <c r="H793" s="1909"/>
      <c r="I793" s="1909"/>
      <c r="J793" s="1909"/>
      <c r="K793" s="1909"/>
      <c r="L793" s="1909"/>
      <c r="M793" s="1909"/>
    </row>
  </sheetData>
  <mergeCells count="2">
    <mergeCell ref="E6:F6"/>
    <mergeCell ref="G6:J6"/>
  </mergeCells>
  <conditionalFormatting sqref="A139">
    <cfRule type="duplicateValues" dxfId="0" priority="1"/>
  </conditionalFormatting>
  <dataValidations count="1">
    <dataValidation type="whole" allowBlank="1" showInputMessage="1" showErrorMessage="1" sqref="K12:K13" xr:uid="{00000000-0002-0000-1B00-000000000000}">
      <formula1>0</formula1>
      <formula2>1000000000000</formula2>
    </dataValidation>
  </dataValidations>
  <pageMargins left="0.7" right="0.7" top="1.75" bottom="0.75" header="0.3" footer="0.3"/>
  <pageSetup scale="47" fitToWidth="0" orientation="portrait" r:id="rId1"/>
  <headerFooter>
    <oddFooter>&amp;LSee accompanying notes to Schedule of Expenditures of Federal Awards</oddFooter>
  </headerFooter>
  <rowBreaks count="3" manualBreakCount="3">
    <brk id="71" max="30" man="1"/>
    <brk id="151" max="30" man="1"/>
    <brk id="205" max="30" man="1"/>
  </row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92D050"/>
  </sheetPr>
  <dimension ref="A1:I66"/>
  <sheetViews>
    <sheetView view="pageBreakPreview" topLeftCell="A13" zoomScaleNormal="100" zoomScaleSheetLayoutView="100" workbookViewId="0">
      <selection activeCell="L41" sqref="L41"/>
    </sheetView>
  </sheetViews>
  <sheetFormatPr defaultRowHeight="12.75" x14ac:dyDescent="0.2"/>
  <cols>
    <col min="1" max="1" width="87.140625" style="1876" bestFit="1" customWidth="1"/>
    <col min="2" max="3" width="15.7109375" style="1876" bestFit="1" customWidth="1"/>
    <col min="4" max="4" width="17.5703125" style="1876" bestFit="1" customWidth="1"/>
    <col min="5" max="5" width="13.85546875" style="1876" customWidth="1"/>
    <col min="6" max="6" width="3.5703125" style="1877" customWidth="1"/>
    <col min="7" max="7" width="9.140625" style="1876"/>
    <col min="8" max="8" width="15" style="1878" bestFit="1" customWidth="1"/>
    <col min="9" max="9" width="9.140625" style="1879" customWidth="1"/>
    <col min="10" max="16384" width="9.140625" style="1879"/>
  </cols>
  <sheetData>
    <row r="1" spans="1:9" x14ac:dyDescent="0.2">
      <c r="A1" s="1875" t="s">
        <v>2069</v>
      </c>
    </row>
    <row r="2" spans="1:9" x14ac:dyDescent="0.2">
      <c r="A2" s="1875" t="s">
        <v>2070</v>
      </c>
    </row>
    <row r="3" spans="1:9" x14ac:dyDescent="0.2">
      <c r="A3" s="1875"/>
    </row>
    <row r="4" spans="1:9" x14ac:dyDescent="0.2">
      <c r="A4" s="1875" t="s">
        <v>2071</v>
      </c>
    </row>
    <row r="5" spans="1:9" x14ac:dyDescent="0.2">
      <c r="A5" s="1875" t="s">
        <v>2072</v>
      </c>
    </row>
    <row r="7" spans="1:9" x14ac:dyDescent="0.2">
      <c r="A7" s="1880"/>
      <c r="B7" s="1880" t="s">
        <v>2073</v>
      </c>
      <c r="C7" s="1881" t="s">
        <v>2074</v>
      </c>
      <c r="D7" s="1881" t="s">
        <v>2075</v>
      </c>
      <c r="E7" s="1882"/>
    </row>
    <row r="8" spans="1:9" x14ac:dyDescent="0.2">
      <c r="A8" s="1883" t="s">
        <v>2076</v>
      </c>
      <c r="B8" s="1883" t="s">
        <v>2077</v>
      </c>
      <c r="C8" s="1884" t="s">
        <v>16</v>
      </c>
      <c r="D8" s="1884" t="s">
        <v>1261</v>
      </c>
      <c r="E8" s="1884" t="s">
        <v>2078</v>
      </c>
    </row>
    <row r="9" spans="1:9" x14ac:dyDescent="0.2">
      <c r="A9" s="1885" t="s">
        <v>2079</v>
      </c>
      <c r="B9" s="1886">
        <v>10.553000000000001</v>
      </c>
      <c r="C9" s="1887">
        <f>'[2]SEFA WP 2019'!W23+'[2]SEFA WP 2019'!W24</f>
        <v>47583073</v>
      </c>
      <c r="D9" s="1887">
        <v>0</v>
      </c>
      <c r="E9" s="1887">
        <v>0</v>
      </c>
      <c r="I9" s="1888"/>
    </row>
    <row r="10" spans="1:9" x14ac:dyDescent="0.2">
      <c r="A10" s="1885" t="s">
        <v>2080</v>
      </c>
      <c r="B10" s="1886">
        <v>10.555</v>
      </c>
      <c r="C10" s="1889">
        <f>'[2]SEFA WP 2019'!W16+'[2]SEFA WP 2019'!W17+'[2]SEFA WP 2019'!W19</f>
        <v>137718148</v>
      </c>
      <c r="D10" s="1890">
        <v>0</v>
      </c>
      <c r="E10" s="1890">
        <f>C9+C10+C12</f>
        <v>188336549</v>
      </c>
      <c r="F10" s="1891" t="s">
        <v>2081</v>
      </c>
      <c r="I10" s="1888"/>
    </row>
    <row r="11" spans="1:9" x14ac:dyDescent="0.2">
      <c r="A11" s="1885" t="s">
        <v>2082</v>
      </c>
      <c r="B11" s="1886">
        <v>10.558</v>
      </c>
      <c r="C11" s="1889">
        <f>'[2]SEFA WP 2019'!W28+'[2]SEFA WP 2019'!W29</f>
        <v>8216819</v>
      </c>
      <c r="D11" s="1890">
        <v>0</v>
      </c>
      <c r="E11" s="1890">
        <v>0</v>
      </c>
      <c r="F11" s="1892"/>
      <c r="I11" s="1888"/>
    </row>
    <row r="12" spans="1:9" x14ac:dyDescent="0.2">
      <c r="A12" s="1885" t="s">
        <v>2083</v>
      </c>
      <c r="B12" s="1886">
        <v>10.558999999999999</v>
      </c>
      <c r="C12" s="1889">
        <f>'[2]SEFA WP 2019'!W21</f>
        <v>3035328</v>
      </c>
      <c r="D12" s="1890">
        <v>0</v>
      </c>
      <c r="E12" s="1890">
        <v>0</v>
      </c>
      <c r="F12" s="1892"/>
      <c r="I12" s="1888"/>
    </row>
    <row r="13" spans="1:9" x14ac:dyDescent="0.2">
      <c r="A13" s="1885" t="s">
        <v>2084</v>
      </c>
      <c r="B13" s="1886">
        <v>10.561</v>
      </c>
      <c r="C13" s="1889">
        <f>'[2]SEFA WP 2019'!W38</f>
        <v>134283</v>
      </c>
      <c r="D13" s="1890">
        <v>0</v>
      </c>
      <c r="E13" s="1890">
        <f>C13</f>
        <v>134283</v>
      </c>
      <c r="F13" s="1891" t="s">
        <v>2085</v>
      </c>
      <c r="I13" s="1888"/>
    </row>
    <row r="14" spans="1:9" x14ac:dyDescent="0.2">
      <c r="A14" s="1885" t="s">
        <v>2086</v>
      </c>
      <c r="B14" s="1886">
        <v>10.582000000000001</v>
      </c>
      <c r="C14" s="1893">
        <f>'[2]SEFA WP 2019'!W31+'[2]SEFA WP 2019'!W32</f>
        <v>1740781</v>
      </c>
      <c r="D14" s="1890">
        <v>0</v>
      </c>
      <c r="E14" s="1890">
        <v>0</v>
      </c>
      <c r="F14" s="1892"/>
      <c r="I14" s="1888"/>
    </row>
    <row r="15" spans="1:9" x14ac:dyDescent="0.2">
      <c r="A15" s="1885" t="s">
        <v>2087</v>
      </c>
      <c r="B15" s="1886">
        <v>12.3</v>
      </c>
      <c r="C15" s="1889">
        <f>'[2]SEFA WP 2019'!W243+'[2]SEFA WP 2019'!W244</f>
        <v>215682</v>
      </c>
      <c r="D15" s="1890">
        <v>0</v>
      </c>
      <c r="E15" s="1890">
        <v>0</v>
      </c>
      <c r="F15" s="1892"/>
      <c r="I15" s="1888"/>
    </row>
    <row r="16" spans="1:9" x14ac:dyDescent="0.2">
      <c r="A16" s="1885" t="s">
        <v>2088</v>
      </c>
      <c r="B16" s="1894">
        <v>12.430999999999999</v>
      </c>
      <c r="C16" s="1889">
        <f>'[2]SEFA WP 2019'!W251</f>
        <v>427893</v>
      </c>
      <c r="D16" s="1890">
        <v>0</v>
      </c>
      <c r="E16" s="1890">
        <v>0</v>
      </c>
      <c r="F16" s="1892"/>
      <c r="I16" s="1888"/>
    </row>
    <row r="17" spans="1:9" x14ac:dyDescent="0.2">
      <c r="A17" s="1885" t="s">
        <v>2089</v>
      </c>
      <c r="B17" s="1886">
        <v>12.9</v>
      </c>
      <c r="C17" s="1889">
        <f>'[2]SEFA WP 2019'!W248</f>
        <v>-4224</v>
      </c>
      <c r="D17" s="1890">
        <v>0</v>
      </c>
      <c r="E17" s="1890">
        <v>0</v>
      </c>
      <c r="F17" s="1892"/>
      <c r="I17" s="1888"/>
    </row>
    <row r="18" spans="1:9" x14ac:dyDescent="0.2">
      <c r="A18" s="1885" t="s">
        <v>2090</v>
      </c>
      <c r="B18" s="1886">
        <v>16.559999999999999</v>
      </c>
      <c r="C18" s="1889">
        <f>'[2]SEFA WP 2019'!W231</f>
        <v>60865</v>
      </c>
      <c r="D18" s="1890">
        <v>0</v>
      </c>
      <c r="E18" s="1890">
        <v>0</v>
      </c>
      <c r="F18" s="1892"/>
      <c r="I18" s="1888"/>
    </row>
    <row r="19" spans="1:9" x14ac:dyDescent="0.2">
      <c r="A19" s="1885" t="s">
        <v>2091</v>
      </c>
      <c r="B19" s="1886">
        <v>17.274000000000001</v>
      </c>
      <c r="C19" s="1889">
        <f>'[2]SEFA WP 2019'!W237</f>
        <v>-47201</v>
      </c>
      <c r="D19" s="1890">
        <v>0</v>
      </c>
      <c r="E19" s="1890">
        <v>0</v>
      </c>
      <c r="F19" s="1892"/>
      <c r="I19" s="1888"/>
    </row>
    <row r="20" spans="1:9" x14ac:dyDescent="0.2">
      <c r="A20" s="1885" t="s">
        <v>2092</v>
      </c>
      <c r="B20" s="1886">
        <v>47.07</v>
      </c>
      <c r="C20" s="1889">
        <f>'[2]SEFA WP 2019'!W262+'[2]SEFA WP 2019'!W263+'[2]SEFA WP 2019'!W264+'[2]SEFA WP 2019'!W265+'[2]SEFA WP 2019'!W272+'[2]SEFA WP 2019'!W276+'[2]SEFA WP 2019'!W277</f>
        <v>520882</v>
      </c>
      <c r="D20" s="1890">
        <v>0</v>
      </c>
      <c r="E20" s="1890">
        <f>C20+C21</f>
        <v>540643</v>
      </c>
      <c r="F20" s="1891" t="s">
        <v>2093</v>
      </c>
      <c r="I20" s="1888"/>
    </row>
    <row r="21" spans="1:9" x14ac:dyDescent="0.2">
      <c r="A21" s="1885" t="s">
        <v>2094</v>
      </c>
      <c r="B21" s="1894">
        <v>47.076000000000001</v>
      </c>
      <c r="C21" s="1889">
        <f>'[2]SEFA WP 2019'!W266+'[2]SEFA WP 2019'!W267+'[2]SEFA WP 2019'!W281</f>
        <v>19761</v>
      </c>
      <c r="D21" s="1890">
        <v>0</v>
      </c>
      <c r="E21" s="1890">
        <v>0</v>
      </c>
      <c r="F21" s="1892"/>
      <c r="I21" s="1888"/>
    </row>
    <row r="22" spans="1:9" x14ac:dyDescent="0.2">
      <c r="A22" s="1885" t="s">
        <v>2095</v>
      </c>
      <c r="B22" s="1886">
        <v>66.950999999999993</v>
      </c>
      <c r="C22" s="1889">
        <f>'[2]SEFA WP 2019'!W256</f>
        <v>23064</v>
      </c>
      <c r="D22" s="1890">
        <v>0</v>
      </c>
      <c r="E22" s="1890">
        <v>0</v>
      </c>
      <c r="F22" s="1892"/>
      <c r="I22" s="1888"/>
    </row>
    <row r="23" spans="1:9" x14ac:dyDescent="0.2">
      <c r="A23" s="1885" t="s">
        <v>2096</v>
      </c>
      <c r="B23" s="1886">
        <v>84.01</v>
      </c>
      <c r="C23" s="1889">
        <f>SUM('[2]SEFA WP 2019'!W60:W82)</f>
        <v>265722440</v>
      </c>
      <c r="D23" s="1890">
        <f>'[2]SEFA WP 2019'!Y61+'[2]SEFA WP 2019'!Y66+'[2]SEFA WP 2019'!Y74+'[2]SEFA WP 2019'!Y60</f>
        <v>39982832</v>
      </c>
      <c r="E23" s="1890">
        <v>0</v>
      </c>
      <c r="F23" s="1892"/>
      <c r="I23" s="1888"/>
    </row>
    <row r="24" spans="1:9" x14ac:dyDescent="0.2">
      <c r="A24" s="1885" t="s">
        <v>2097</v>
      </c>
      <c r="B24" s="1886">
        <v>84.027000000000001</v>
      </c>
      <c r="C24" s="1889">
        <f>'[2]SEFA WP 2019'!W46+'[2]SEFA WP 2019'!W47+'[2]SEFA WP 2019'!W49+'[2]SEFA WP 2019'!W50</f>
        <v>92746219</v>
      </c>
      <c r="D24" s="1890">
        <v>0</v>
      </c>
      <c r="E24" s="1890">
        <f>C24+C31</f>
        <v>94457776</v>
      </c>
      <c r="F24" s="1891" t="s">
        <v>2098</v>
      </c>
      <c r="I24" s="1888"/>
    </row>
    <row r="25" spans="1:9" x14ac:dyDescent="0.2">
      <c r="A25" s="1885" t="s">
        <v>2099</v>
      </c>
      <c r="B25" s="1895">
        <v>84.040999999999997</v>
      </c>
      <c r="C25" s="1889">
        <f>'[2]SEFA WP 2019'!W145</f>
        <v>102661</v>
      </c>
      <c r="D25" s="1890">
        <v>0</v>
      </c>
      <c r="E25" s="1890">
        <v>0</v>
      </c>
      <c r="F25" s="1892"/>
      <c r="I25" s="1888"/>
    </row>
    <row r="26" spans="1:9" x14ac:dyDescent="0.2">
      <c r="A26" s="1885" t="s">
        <v>2100</v>
      </c>
      <c r="B26" s="1894">
        <v>84.043999999999997</v>
      </c>
      <c r="C26" s="1889">
        <f>'[2]SEFA WP 2019'!W142</f>
        <v>294612</v>
      </c>
      <c r="D26" s="1890">
        <v>0</v>
      </c>
      <c r="E26" s="1890">
        <f>C26</f>
        <v>294612</v>
      </c>
      <c r="F26" s="1891" t="s">
        <v>2101</v>
      </c>
      <c r="I26" s="1888"/>
    </row>
    <row r="27" spans="1:9" x14ac:dyDescent="0.2">
      <c r="A27" s="1885" t="s">
        <v>2102</v>
      </c>
      <c r="B27" s="1894">
        <v>84.048000000000002</v>
      </c>
      <c r="C27" s="1889">
        <f>SUM('[2]SEFA WP 2019'!W100:W101)</f>
        <v>6001975</v>
      </c>
      <c r="D27" s="1890">
        <f>'[2]SEFA WP 2019'!Y101</f>
        <v>13999</v>
      </c>
      <c r="E27" s="1890">
        <v>0</v>
      </c>
      <c r="F27" s="1892"/>
      <c r="I27" s="1888"/>
    </row>
    <row r="28" spans="1:9" x14ac:dyDescent="0.2">
      <c r="A28" s="1885" t="s">
        <v>2103</v>
      </c>
      <c r="B28" s="1886">
        <v>84.06</v>
      </c>
      <c r="C28" s="1889">
        <f>SUM('[2]SEFA WP 2019'!W147:W149)</f>
        <v>187131</v>
      </c>
      <c r="D28" s="1890">
        <v>0</v>
      </c>
      <c r="E28" s="1890">
        <v>0</v>
      </c>
      <c r="F28" s="1892"/>
      <c r="I28" s="1888"/>
    </row>
    <row r="29" spans="1:9" x14ac:dyDescent="0.2">
      <c r="A29" s="1885" t="s">
        <v>2104</v>
      </c>
      <c r="B29" s="1894">
        <v>84.126000000000005</v>
      </c>
      <c r="C29" s="1889">
        <f>'[2]SEFA WP 2019'!W173</f>
        <v>258625</v>
      </c>
      <c r="D29" s="1890">
        <v>0</v>
      </c>
      <c r="E29" s="1890">
        <v>0</v>
      </c>
      <c r="F29" s="1892"/>
      <c r="I29" s="1888"/>
    </row>
    <row r="30" spans="1:9" x14ac:dyDescent="0.2">
      <c r="A30" s="1885" t="s">
        <v>2105</v>
      </c>
      <c r="B30" s="1894">
        <v>84.165000000000006</v>
      </c>
      <c r="C30" s="1889">
        <f>'[2]SEFA WP 2019'!W151</f>
        <v>2126615</v>
      </c>
      <c r="D30" s="1890">
        <v>0</v>
      </c>
      <c r="E30" s="1890">
        <v>0</v>
      </c>
      <c r="F30" s="1892"/>
      <c r="I30" s="1888"/>
    </row>
    <row r="31" spans="1:9" x14ac:dyDescent="0.2">
      <c r="A31" s="1885" t="s">
        <v>2106</v>
      </c>
      <c r="B31" s="1886">
        <v>84.173000000000002</v>
      </c>
      <c r="C31" s="1889">
        <f>'[2]SEFA WP 2019'!W56+'[2]SEFA WP 2019'!W55+'[2]SEFA WP 2019'!W53+'[2]SEFA WP 2019'!W52</f>
        <v>1711557</v>
      </c>
      <c r="D31" s="1890">
        <v>0</v>
      </c>
      <c r="E31" s="1890">
        <v>0</v>
      </c>
      <c r="F31" s="1892"/>
      <c r="I31" s="1888"/>
    </row>
    <row r="32" spans="1:9" x14ac:dyDescent="0.2">
      <c r="A32" s="1885" t="s">
        <v>2107</v>
      </c>
      <c r="B32" s="1894">
        <v>84.183999999999997</v>
      </c>
      <c r="C32" s="1889">
        <f>SUM('[2]SEFA WP 2019'!W164:W166)</f>
        <v>660004</v>
      </c>
      <c r="D32" s="1890">
        <v>0</v>
      </c>
      <c r="E32" s="1890">
        <v>0</v>
      </c>
      <c r="F32" s="1892"/>
      <c r="I32" s="1888"/>
    </row>
    <row r="33" spans="1:9" x14ac:dyDescent="0.2">
      <c r="A33" s="1885" t="s">
        <v>2108</v>
      </c>
      <c r="B33" s="1894">
        <v>84.195999999999998</v>
      </c>
      <c r="C33" s="1889">
        <f>'[2]SEFA WP 2019'!W130+'[2]SEFA WP 2019'!W131</f>
        <v>877892</v>
      </c>
      <c r="D33" s="1890">
        <v>0</v>
      </c>
      <c r="E33" s="1890">
        <v>0</v>
      </c>
      <c r="F33" s="1892"/>
      <c r="I33" s="1888"/>
    </row>
    <row r="34" spans="1:9" x14ac:dyDescent="0.2">
      <c r="A34" s="1885" t="s">
        <v>2109</v>
      </c>
      <c r="B34" s="1886">
        <v>84.215000000000003</v>
      </c>
      <c r="C34" s="1889">
        <f>SUM('[2]SEFA WP 2019'!W153)+'[2]SEFA WP 2019'!W154</f>
        <v>258478</v>
      </c>
      <c r="D34" s="1890">
        <v>0</v>
      </c>
      <c r="E34" s="1890">
        <v>0</v>
      </c>
      <c r="F34" s="1892"/>
      <c r="I34" s="1888"/>
    </row>
    <row r="35" spans="1:9" x14ac:dyDescent="0.2">
      <c r="A35" s="1885" t="s">
        <v>2110</v>
      </c>
      <c r="B35" s="1895">
        <v>84.287000000000006</v>
      </c>
      <c r="C35" s="1889">
        <f>SUM('[2]SEFA WP 2019'!W108:W128)+SUM('[2]SEFA WP 2019'!W180:W184)</f>
        <v>7718952</v>
      </c>
      <c r="D35" s="1890">
        <v>0</v>
      </c>
      <c r="E35" s="1890">
        <v>0</v>
      </c>
      <c r="F35" s="1892"/>
      <c r="I35" s="1888"/>
    </row>
    <row r="36" spans="1:9" x14ac:dyDescent="0.2">
      <c r="A36" s="1885" t="s">
        <v>2111</v>
      </c>
      <c r="B36" s="1886">
        <v>84.334000000000003</v>
      </c>
      <c r="C36" s="1889">
        <f>SUM('[2]SEFA WP 2019'!W176:W178)</f>
        <v>822769</v>
      </c>
      <c r="D36" s="1890">
        <v>0</v>
      </c>
      <c r="E36" s="1890">
        <v>0</v>
      </c>
      <c r="F36" s="1892"/>
      <c r="I36" s="1888"/>
    </row>
    <row r="37" spans="1:9" x14ac:dyDescent="0.2">
      <c r="A37" s="1885" t="s">
        <v>2112</v>
      </c>
      <c r="B37" s="1894">
        <v>84.350999999999999</v>
      </c>
      <c r="C37" s="1889">
        <f>SUM('[2]SEFA WP 2019'!W156:W159)</f>
        <v>387132</v>
      </c>
      <c r="D37" s="1890">
        <v>0</v>
      </c>
      <c r="E37" s="1890">
        <v>0</v>
      </c>
      <c r="F37" s="1892"/>
      <c r="I37" s="1888"/>
    </row>
    <row r="38" spans="1:9" x14ac:dyDescent="0.2">
      <c r="A38" s="1885" t="s">
        <v>2113</v>
      </c>
      <c r="B38" s="1886">
        <v>84.364999999999995</v>
      </c>
      <c r="C38" s="1889">
        <f>SUM('[2]SEFA WP 2019'!W90:W95)</f>
        <v>9863424</v>
      </c>
      <c r="D38" s="1890">
        <f>'[2]SEFA WP 2019'!Y92+'[2]SEFA WP 2019'!Y91</f>
        <v>452765</v>
      </c>
      <c r="E38" s="1890">
        <v>0</v>
      </c>
      <c r="F38" s="1892"/>
      <c r="I38" s="1888"/>
    </row>
    <row r="39" spans="1:9" x14ac:dyDescent="0.2">
      <c r="A39" s="1885" t="s">
        <v>2114</v>
      </c>
      <c r="B39" s="1886">
        <v>84.367000000000004</v>
      </c>
      <c r="C39" s="1889">
        <f>SUM('[2]SEFA WP 2019'!W84:W88)</f>
        <v>20501964</v>
      </c>
      <c r="D39" s="1890">
        <f>'[2]SEFA WP 2019'!Y85+'[2]SEFA WP 2019'!Y84</f>
        <v>1475695</v>
      </c>
      <c r="E39" s="1890">
        <v>0</v>
      </c>
      <c r="F39" s="1892"/>
      <c r="I39" s="1888"/>
    </row>
    <row r="40" spans="1:9" x14ac:dyDescent="0.2">
      <c r="A40" s="1885" t="s">
        <v>2115</v>
      </c>
      <c r="B40" s="1886">
        <v>84.373999999999995</v>
      </c>
      <c r="C40" s="1889">
        <f>SUM('[2]SEFA WP 2019'!W161:W162)</f>
        <v>1674762</v>
      </c>
      <c r="D40" s="1890">
        <v>0</v>
      </c>
      <c r="E40" s="1890">
        <v>0</v>
      </c>
      <c r="F40" s="1892"/>
      <c r="I40" s="1888"/>
    </row>
    <row r="41" spans="1:9" x14ac:dyDescent="0.2">
      <c r="A41" s="1885" t="s">
        <v>2116</v>
      </c>
      <c r="B41" s="1894">
        <v>84.376999999999995</v>
      </c>
      <c r="C41" s="1889">
        <f>SUM('[2]SEFA WP 2019'!W103:W106)</f>
        <v>3188529</v>
      </c>
      <c r="D41" s="1890">
        <v>0</v>
      </c>
      <c r="E41" s="1890">
        <v>0</v>
      </c>
      <c r="F41" s="1892"/>
      <c r="I41" s="1888"/>
    </row>
    <row r="42" spans="1:9" x14ac:dyDescent="0.2">
      <c r="A42" s="1885" t="s">
        <v>2117</v>
      </c>
      <c r="B42" s="1886">
        <v>84.418999999999997</v>
      </c>
      <c r="C42" s="1889">
        <f>'[2]SEFA WP 2019'!W133+'[2]SEFA WP 2019'!W134</f>
        <v>2674635</v>
      </c>
      <c r="D42" s="1890">
        <v>0</v>
      </c>
      <c r="E42" s="1890">
        <v>0</v>
      </c>
      <c r="F42" s="1892"/>
      <c r="I42" s="1888"/>
    </row>
    <row r="43" spans="1:9" x14ac:dyDescent="0.2">
      <c r="A43" s="1885" t="s">
        <v>2118</v>
      </c>
      <c r="B43" s="1886">
        <v>84.424000000000007</v>
      </c>
      <c r="C43" s="1889">
        <f>SUM('[2]SEFA WP 2019'!W97:W98)</f>
        <v>9894505</v>
      </c>
      <c r="D43" s="1890">
        <f>'[2]SEFA WP 2019'!Y98</f>
        <v>1134038</v>
      </c>
      <c r="E43" s="1890">
        <v>0</v>
      </c>
      <c r="F43" s="1892"/>
      <c r="I43" s="1888"/>
    </row>
    <row r="44" spans="1:9" x14ac:dyDescent="0.2">
      <c r="A44" s="1885" t="s">
        <v>2119</v>
      </c>
      <c r="B44" s="1886">
        <v>93.078999999999994</v>
      </c>
      <c r="C44" s="1889">
        <f>SUM('[2]SEFA WP 2019'!W191:W194)</f>
        <v>143962</v>
      </c>
      <c r="D44" s="1890">
        <v>0</v>
      </c>
      <c r="E44" s="1890">
        <v>0</v>
      </c>
      <c r="F44" s="1892"/>
      <c r="I44" s="1888"/>
    </row>
    <row r="45" spans="1:9" x14ac:dyDescent="0.2">
      <c r="A45" s="1885" t="s">
        <v>2120</v>
      </c>
      <c r="B45" s="1886">
        <v>93.296999999999997</v>
      </c>
      <c r="C45" s="1889">
        <f>'[2]SEFA WP 2019'!W206</f>
        <v>12630</v>
      </c>
      <c r="D45" s="1890">
        <v>0</v>
      </c>
      <c r="E45" s="1890">
        <v>0</v>
      </c>
      <c r="F45" s="1892"/>
      <c r="I45" s="1888"/>
    </row>
    <row r="46" spans="1:9" x14ac:dyDescent="0.2">
      <c r="A46" s="1885" t="s">
        <v>2121</v>
      </c>
      <c r="B46" s="1886">
        <v>93.566000000000003</v>
      </c>
      <c r="C46" s="1889">
        <f>'[2]SEFA WP 2019'!W214</f>
        <v>57525</v>
      </c>
      <c r="D46" s="1890">
        <v>0</v>
      </c>
      <c r="E46" s="1890">
        <v>0</v>
      </c>
      <c r="F46" s="1892"/>
      <c r="I46" s="1888"/>
    </row>
    <row r="47" spans="1:9" x14ac:dyDescent="0.2">
      <c r="A47" s="1885" t="s">
        <v>1045</v>
      </c>
      <c r="B47" s="1886">
        <v>93.6</v>
      </c>
      <c r="C47" s="1889">
        <f>SUM('[2]SEFA WP 2019'!W203)</f>
        <v>36075704</v>
      </c>
      <c r="D47" s="1890">
        <v>0</v>
      </c>
      <c r="E47" s="1890">
        <v>0</v>
      </c>
      <c r="F47" s="1892"/>
      <c r="I47" s="1888"/>
    </row>
    <row r="48" spans="1:9" x14ac:dyDescent="0.2">
      <c r="A48" s="1885" t="s">
        <v>2122</v>
      </c>
      <c r="B48" s="1886">
        <v>93.766999999999996</v>
      </c>
      <c r="C48" s="1889">
        <f>'[2]SEFA WP 2019'!W208</f>
        <v>-2992</v>
      </c>
      <c r="D48" s="1890">
        <v>0</v>
      </c>
      <c r="E48" s="1890">
        <v>0</v>
      </c>
      <c r="F48" s="1892"/>
      <c r="I48" s="1888"/>
    </row>
    <row r="49" spans="1:9" x14ac:dyDescent="0.2">
      <c r="A49" s="1885" t="s">
        <v>2123</v>
      </c>
      <c r="B49" s="1886">
        <v>93.778000000000006</v>
      </c>
      <c r="C49" s="1889">
        <f>'[2]SEFA WP 2019'!W219</f>
        <v>8256738</v>
      </c>
      <c r="D49" s="1890">
        <v>0</v>
      </c>
      <c r="E49" s="1890">
        <f>C49</f>
        <v>8256738</v>
      </c>
      <c r="F49" s="1891" t="s">
        <v>2124</v>
      </c>
      <c r="I49" s="1888"/>
    </row>
    <row r="50" spans="1:9" x14ac:dyDescent="0.2">
      <c r="A50" s="1885" t="s">
        <v>2125</v>
      </c>
      <c r="B50" s="1886">
        <v>93.994</v>
      </c>
      <c r="C50" s="1889">
        <f>'[2]SEFA WP 2019'!W225</f>
        <v>72300</v>
      </c>
      <c r="D50" s="1890">
        <v>0</v>
      </c>
      <c r="E50" s="1890">
        <v>0</v>
      </c>
      <c r="F50" s="1891"/>
      <c r="I50" s="1888"/>
    </row>
    <row r="51" spans="1:9" s="1899" customFormat="1" ht="13.5" thickBot="1" x14ac:dyDescent="0.25">
      <c r="A51" s="1896" t="s">
        <v>156</v>
      </c>
      <c r="B51" s="1896"/>
      <c r="C51" s="1897">
        <f>SUM(C9:C50)</f>
        <v>671935902</v>
      </c>
      <c r="D51" s="1897">
        <f>SUM(D9:D50)</f>
        <v>43059329</v>
      </c>
      <c r="E51" s="1897">
        <f>SUM(E9:E50)</f>
        <v>292020601</v>
      </c>
      <c r="F51" s="1892"/>
      <c r="G51" s="1896"/>
      <c r="H51" s="1898"/>
    </row>
    <row r="52" spans="1:9" ht="13.5" thickTop="1" x14ac:dyDescent="0.2">
      <c r="C52" s="1893"/>
      <c r="D52" s="1893"/>
      <c r="E52" s="1893"/>
    </row>
    <row r="53" spans="1:9" x14ac:dyDescent="0.2">
      <c r="A53" s="1896" t="s">
        <v>2126</v>
      </c>
      <c r="C53" s="1893"/>
      <c r="D53" s="1893"/>
      <c r="E53" s="1893"/>
    </row>
    <row r="54" spans="1:9" x14ac:dyDescent="0.2">
      <c r="A54" s="1876" t="s">
        <v>2127</v>
      </c>
    </row>
    <row r="55" spans="1:9" x14ac:dyDescent="0.2">
      <c r="A55" s="1876" t="s">
        <v>2128</v>
      </c>
    </row>
    <row r="56" spans="1:9" x14ac:dyDescent="0.2">
      <c r="A56" s="1876" t="s">
        <v>2129</v>
      </c>
      <c r="C56" s="1900"/>
    </row>
    <row r="57" spans="1:9" x14ac:dyDescent="0.2">
      <c r="A57" s="1876" t="s">
        <v>2130</v>
      </c>
    </row>
    <row r="58" spans="1:9" x14ac:dyDescent="0.2">
      <c r="A58" s="1876" t="s">
        <v>2131</v>
      </c>
    </row>
    <row r="59" spans="1:9" x14ac:dyDescent="0.2">
      <c r="A59" s="1876" t="s">
        <v>2132</v>
      </c>
    </row>
    <row r="66" spans="3:4" x14ac:dyDescent="0.2">
      <c r="C66" s="1900"/>
      <c r="D66" s="1900"/>
    </row>
  </sheetData>
  <pageMargins left="0.7" right="0.7" top="1.75" bottom="0.75" header="0.3" footer="0.3"/>
  <pageSetup scale="55" orientation="portrait"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92D050"/>
    <pageSetUpPr fitToPage="1"/>
  </sheetPr>
  <dimension ref="A1:G52"/>
  <sheetViews>
    <sheetView showGridLines="0" topLeftCell="A13" zoomScale="120" zoomScaleNormal="120" workbookViewId="0">
      <selection activeCell="J32" sqref="J32"/>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82" t="str">
        <f>'Single Audit Cover'!A7</f>
        <v>City of Chicago SD 299</v>
      </c>
      <c r="B1" s="2482"/>
      <c r="C1" s="2482"/>
      <c r="D1" s="2482"/>
      <c r="E1" s="2482"/>
      <c r="F1" s="2482"/>
    </row>
    <row r="2" spans="1:7" ht="13.5" customHeight="1" x14ac:dyDescent="0.2">
      <c r="A2" s="2483">
        <f>'Single Audit Cover'!E7</f>
        <v>15016299025</v>
      </c>
      <c r="B2" s="2483"/>
      <c r="C2" s="2483"/>
      <c r="D2" s="2483"/>
      <c r="E2" s="2483"/>
      <c r="F2" s="2483"/>
      <c r="G2" s="1272"/>
    </row>
    <row r="3" spans="1:7" ht="15.75" customHeight="1" x14ac:dyDescent="0.2">
      <c r="A3" s="2484" t="s">
        <v>1266</v>
      </c>
      <c r="B3" s="2484"/>
      <c r="C3" s="2484"/>
      <c r="D3" s="2484"/>
      <c r="E3" s="2484"/>
      <c r="F3" s="2484"/>
    </row>
    <row r="4" spans="1:7" ht="13.5" customHeight="1" x14ac:dyDescent="0.2">
      <c r="A4" s="2485" t="str">
        <f>'Single Audit Cover'!A4</f>
        <v>Year Ending June 30, 2019</v>
      </c>
      <c r="B4" s="2485"/>
      <c r="C4" s="2485"/>
      <c r="D4" s="2485"/>
      <c r="E4" s="2485"/>
      <c r="F4" s="2485"/>
    </row>
    <row r="5" spans="1:7" ht="8.25" customHeight="1" x14ac:dyDescent="0.2">
      <c r="C5" s="317"/>
      <c r="D5" s="317"/>
    </row>
    <row r="6" spans="1:7" ht="13.5" customHeight="1" x14ac:dyDescent="0.2">
      <c r="A6" s="1273" t="s">
        <v>1717</v>
      </c>
      <c r="C6" s="317"/>
      <c r="D6" s="317"/>
    </row>
    <row r="7" spans="1:7" ht="60.95" customHeight="1" x14ac:dyDescent="0.2">
      <c r="A7" s="2481" t="s">
        <v>2061</v>
      </c>
      <c r="B7" s="2481"/>
      <c r="C7" s="2481"/>
      <c r="D7" s="2481"/>
      <c r="E7" s="2481"/>
      <c r="F7" s="2481"/>
    </row>
    <row r="8" spans="1:7" ht="12" customHeight="1" x14ac:dyDescent="0.2">
      <c r="A8" s="1273"/>
      <c r="B8" s="1279"/>
      <c r="C8" s="1279"/>
      <c r="D8" s="1279"/>
    </row>
    <row r="9" spans="1:7" ht="15" customHeight="1" x14ac:dyDescent="0.2">
      <c r="A9" s="1274" t="s">
        <v>1718</v>
      </c>
      <c r="B9" s="1277"/>
      <c r="C9" s="1277"/>
      <c r="D9" s="1277"/>
      <c r="E9" s="1275"/>
      <c r="F9" s="1275"/>
      <c r="G9" s="1275"/>
    </row>
    <row r="10" spans="1:7" ht="15" customHeight="1" x14ac:dyDescent="0.2">
      <c r="A10" s="1276" t="s">
        <v>1542</v>
      </c>
      <c r="B10" s="1277"/>
      <c r="C10" s="1278"/>
      <c r="D10" s="1277" t="s">
        <v>1543</v>
      </c>
      <c r="E10" s="1278" t="s">
        <v>2042</v>
      </c>
      <c r="F10" s="1277" t="s">
        <v>99</v>
      </c>
      <c r="G10" s="1275"/>
    </row>
    <row r="11" spans="1:7" ht="12" customHeight="1" x14ac:dyDescent="0.2">
      <c r="A11" s="1276"/>
      <c r="B11" s="1277"/>
      <c r="C11" s="1834"/>
      <c r="D11" s="1277"/>
      <c r="E11" s="1834"/>
      <c r="F11" s="1277"/>
      <c r="G11" s="1275"/>
    </row>
    <row r="12" spans="1:7" x14ac:dyDescent="0.2">
      <c r="A12" s="1273" t="s">
        <v>1576</v>
      </c>
      <c r="C12" s="1257"/>
      <c r="D12" s="1257"/>
    </row>
    <row r="13" spans="1:7" ht="15" customHeight="1" x14ac:dyDescent="0.2">
      <c r="A13" s="2481" t="s">
        <v>2062</v>
      </c>
      <c r="B13" s="2481"/>
      <c r="C13" s="2481"/>
      <c r="D13" s="2481"/>
      <c r="E13" s="2481"/>
      <c r="F13" s="2481"/>
    </row>
    <row r="14" spans="1:7" ht="9.75" customHeight="1" x14ac:dyDescent="0.2">
      <c r="C14" s="1257"/>
      <c r="D14" s="1257"/>
    </row>
    <row r="15" spans="1:7" ht="13.5" customHeight="1" x14ac:dyDescent="0.2">
      <c r="C15" s="1778" t="s">
        <v>1265</v>
      </c>
      <c r="D15" s="2479" t="s">
        <v>1264</v>
      </c>
      <c r="E15" s="2479"/>
      <c r="F15" s="2479"/>
    </row>
    <row r="16" spans="1:7" ht="13.5" customHeight="1" x14ac:dyDescent="0.2">
      <c r="A16" s="1279"/>
      <c r="B16" s="1273" t="s">
        <v>1263</v>
      </c>
      <c r="C16" s="1778" t="s">
        <v>1262</v>
      </c>
      <c r="D16" s="2480" t="s">
        <v>1577</v>
      </c>
      <c r="E16" s="2480"/>
      <c r="F16" s="2480"/>
    </row>
    <row r="17" spans="1:6" ht="20.45" customHeight="1" x14ac:dyDescent="0.2">
      <c r="A17" s="1280"/>
      <c r="B17" s="1281" t="s">
        <v>2063</v>
      </c>
      <c r="C17" s="1874" t="s">
        <v>2068</v>
      </c>
      <c r="D17" s="2474">
        <f>'SEFA CFDA Total'!D23</f>
        <v>39982832</v>
      </c>
      <c r="E17" s="2474"/>
      <c r="F17" s="2474"/>
    </row>
    <row r="18" spans="1:6" ht="20.65" customHeight="1" x14ac:dyDescent="0.2">
      <c r="A18" s="1280"/>
      <c r="B18" s="1281" t="s">
        <v>2064</v>
      </c>
      <c r="C18" s="1282">
        <v>84.364999999999995</v>
      </c>
      <c r="D18" s="2474">
        <f>'SEFA CFDA Total'!D38</f>
        <v>452765</v>
      </c>
      <c r="E18" s="2474"/>
      <c r="F18" s="2474"/>
    </row>
    <row r="19" spans="1:6" ht="20.65" customHeight="1" x14ac:dyDescent="0.2">
      <c r="A19" s="1280"/>
      <c r="B19" s="1281" t="s">
        <v>2065</v>
      </c>
      <c r="C19" s="1282">
        <v>84.367000000000004</v>
      </c>
      <c r="D19" s="2474">
        <f>'SEFA CFDA Total'!D39</f>
        <v>1475695</v>
      </c>
      <c r="E19" s="2474"/>
      <c r="F19" s="2474"/>
    </row>
    <row r="20" spans="1:6" ht="20.65" customHeight="1" x14ac:dyDescent="0.2">
      <c r="A20" s="1280"/>
      <c r="B20" s="1281" t="s">
        <v>2066</v>
      </c>
      <c r="C20" s="1282">
        <v>84.424000000000007</v>
      </c>
      <c r="D20" s="2474">
        <f>'SEFA CFDA Total'!D43</f>
        <v>1134038</v>
      </c>
      <c r="E20" s="2474"/>
      <c r="F20" s="2474"/>
    </row>
    <row r="21" spans="1:6" ht="20.65" customHeight="1" x14ac:dyDescent="0.2">
      <c r="A21" s="1280"/>
      <c r="B21" s="1281" t="s">
        <v>2137</v>
      </c>
      <c r="C21" s="1282">
        <v>84.048000000000002</v>
      </c>
      <c r="D21" s="2474">
        <f>'SEFA CFDA Total'!D27</f>
        <v>13999</v>
      </c>
      <c r="E21" s="2474"/>
      <c r="F21" s="2474"/>
    </row>
    <row r="22" spans="1:6" ht="20.65" customHeight="1" x14ac:dyDescent="0.2">
      <c r="A22" s="1280"/>
      <c r="B22" s="1281" t="s">
        <v>2067</v>
      </c>
      <c r="C22" s="1282"/>
      <c r="D22" s="2474"/>
      <c r="E22" s="2474"/>
      <c r="F22" s="2474"/>
    </row>
    <row r="23" spans="1:6" ht="20.65" customHeight="1" x14ac:dyDescent="0.2">
      <c r="A23" s="1280"/>
      <c r="B23" s="1281"/>
      <c r="C23" s="1282"/>
      <c r="D23" s="2474"/>
      <c r="E23" s="2474"/>
      <c r="F23" s="2474"/>
    </row>
    <row r="24" spans="1:6" ht="20.65" customHeight="1" x14ac:dyDescent="0.2">
      <c r="A24" s="1280"/>
      <c r="B24" s="1281"/>
      <c r="C24" s="1282"/>
      <c r="D24" s="2474"/>
      <c r="E24" s="2474"/>
      <c r="F24" s="2474"/>
    </row>
    <row r="25" spans="1:6" ht="20.65" customHeight="1" x14ac:dyDescent="0.2">
      <c r="A25" s="1280"/>
      <c r="B25" s="1281"/>
      <c r="C25" s="1282"/>
      <c r="D25" s="2474"/>
      <c r="E25" s="2474"/>
      <c r="F25" s="2474"/>
    </row>
    <row r="26" spans="1:6" ht="20.65" customHeight="1" x14ac:dyDescent="0.2">
      <c r="A26" s="1280"/>
      <c r="B26" s="1281"/>
      <c r="C26" s="1282"/>
      <c r="D26" s="2474"/>
      <c r="E26" s="2474"/>
      <c r="F26" s="2474"/>
    </row>
    <row r="27" spans="1:6" ht="20.65" customHeight="1" x14ac:dyDescent="0.2">
      <c r="A27" s="1280"/>
      <c r="B27" s="1281"/>
      <c r="C27" s="1282"/>
      <c r="D27" s="2474"/>
      <c r="E27" s="2474"/>
      <c r="F27" s="2474"/>
    </row>
    <row r="28" spans="1:6" ht="20.65" customHeight="1" x14ac:dyDescent="0.2">
      <c r="A28" s="1280"/>
      <c r="B28" s="1281"/>
      <c r="C28" s="1282"/>
      <c r="D28" s="2474"/>
      <c r="E28" s="2474"/>
      <c r="F28" s="2474"/>
    </row>
    <row r="29" spans="1:6" ht="20.65" customHeight="1" x14ac:dyDescent="0.2">
      <c r="A29" s="1280"/>
      <c r="B29" s="1281"/>
      <c r="C29" s="1282"/>
      <c r="D29" s="2474"/>
      <c r="E29" s="2474"/>
      <c r="F29" s="2474"/>
    </row>
    <row r="30" spans="1:6" ht="12" customHeight="1" x14ac:dyDescent="0.2">
      <c r="A30" s="328"/>
      <c r="B30" s="328"/>
      <c r="C30" s="1395"/>
      <c r="D30" s="1835"/>
      <c r="E30" s="1283"/>
    </row>
    <row r="31" spans="1:6" ht="12" customHeight="1" x14ac:dyDescent="0.2">
      <c r="A31" s="1284" t="s">
        <v>1544</v>
      </c>
      <c r="B31" s="328"/>
      <c r="C31" s="1395"/>
      <c r="D31" s="1835"/>
      <c r="E31" s="1283"/>
    </row>
    <row r="32" spans="1:6" ht="30" customHeight="1" x14ac:dyDescent="0.2">
      <c r="A32" s="2475" t="s">
        <v>2133</v>
      </c>
      <c r="B32" s="2475"/>
      <c r="C32" s="2475"/>
      <c r="D32" s="2475"/>
      <c r="E32" s="2475"/>
      <c r="F32" s="2475"/>
    </row>
    <row r="33" spans="1:6" ht="13.5" customHeight="1" x14ac:dyDescent="0.2">
      <c r="A33" s="328" t="s">
        <v>1429</v>
      </c>
      <c r="B33" s="328"/>
      <c r="C33" s="1285">
        <v>12847939</v>
      </c>
      <c r="D33" s="1835"/>
      <c r="E33" s="1283"/>
    </row>
    <row r="34" spans="1:6" ht="13.5" customHeight="1" x14ac:dyDescent="0.2">
      <c r="A34" s="328" t="s">
        <v>1816</v>
      </c>
      <c r="B34" s="328"/>
      <c r="C34" s="1286">
        <v>0</v>
      </c>
      <c r="D34" s="1835" t="s">
        <v>1578</v>
      </c>
      <c r="E34" s="2476">
        <f>+C33+C34</f>
        <v>12847939</v>
      </c>
      <c r="F34" s="2477"/>
    </row>
    <row r="35" spans="1:6" ht="12" customHeight="1" x14ac:dyDescent="0.2">
      <c r="A35" s="328"/>
      <c r="B35" s="328"/>
      <c r="C35" s="1836"/>
      <c r="D35" s="1835"/>
      <c r="E35" s="1287"/>
      <c r="F35" s="1288"/>
    </row>
    <row r="36" spans="1:6" ht="13.5" customHeight="1" x14ac:dyDescent="0.2">
      <c r="A36" s="1284" t="s">
        <v>1545</v>
      </c>
      <c r="B36" s="328"/>
      <c r="C36" s="1395"/>
      <c r="D36" s="1835"/>
      <c r="E36" s="1283"/>
    </row>
    <row r="37" spans="1:6" ht="14.25" customHeight="1" x14ac:dyDescent="0.2">
      <c r="A37" s="328" t="s">
        <v>1479</v>
      </c>
      <c r="B37" s="328"/>
      <c r="C37" s="1837"/>
      <c r="D37" s="1835"/>
      <c r="E37" s="1283"/>
    </row>
    <row r="38" spans="1:6" ht="14.25" customHeight="1" x14ac:dyDescent="0.2">
      <c r="A38" s="328"/>
      <c r="B38" s="328" t="s">
        <v>1430</v>
      </c>
      <c r="C38" s="1289" t="s">
        <v>383</v>
      </c>
      <c r="D38" s="1835"/>
      <c r="E38" s="1283"/>
    </row>
    <row r="39" spans="1:6" ht="14.25" customHeight="1" x14ac:dyDescent="0.2">
      <c r="A39" s="328"/>
      <c r="B39" s="328" t="s">
        <v>1431</v>
      </c>
      <c r="C39" s="1289" t="s">
        <v>383</v>
      </c>
      <c r="D39" s="1835"/>
      <c r="E39" s="1283"/>
    </row>
    <row r="40" spans="1:6" ht="14.25" customHeight="1" x14ac:dyDescent="0.2">
      <c r="A40" s="328"/>
      <c r="B40" s="328" t="s">
        <v>1432</v>
      </c>
      <c r="C40" s="1289" t="s">
        <v>383</v>
      </c>
      <c r="D40" s="1835"/>
      <c r="E40" s="1283"/>
    </row>
    <row r="41" spans="1:6" ht="14.25" customHeight="1" x14ac:dyDescent="0.2">
      <c r="A41" s="328"/>
      <c r="B41" s="328" t="s">
        <v>1433</v>
      </c>
      <c r="C41" s="1289" t="s">
        <v>383</v>
      </c>
      <c r="D41" s="1835"/>
      <c r="E41" s="1283"/>
    </row>
    <row r="42" spans="1:6" ht="14.25" customHeight="1" x14ac:dyDescent="0.2">
      <c r="A42" s="328" t="s">
        <v>1434</v>
      </c>
      <c r="B42" s="328"/>
      <c r="C42" s="1833" t="s">
        <v>383</v>
      </c>
      <c r="D42" s="1835"/>
      <c r="E42" s="1283"/>
    </row>
    <row r="43" spans="1:6" ht="14.25" customHeight="1" x14ac:dyDescent="0.2">
      <c r="A43" s="328" t="s">
        <v>1435</v>
      </c>
      <c r="B43" s="328"/>
      <c r="C43" s="1290" t="s">
        <v>383</v>
      </c>
      <c r="D43" s="1835"/>
      <c r="E43" s="1283"/>
    </row>
    <row r="44" spans="1:6" ht="14.25" customHeight="1" x14ac:dyDescent="0.2">
      <c r="A44" s="328"/>
      <c r="B44" s="328"/>
      <c r="C44" s="1837" t="s">
        <v>1436</v>
      </c>
      <c r="D44" s="1835"/>
      <c r="E44" s="1283"/>
    </row>
    <row r="45" spans="1:6" ht="13.5" customHeight="1" x14ac:dyDescent="0.2">
      <c r="B45" s="322"/>
      <c r="C45" s="1291"/>
      <c r="D45" s="1291"/>
    </row>
    <row r="46" spans="1:6" x14ac:dyDescent="0.2">
      <c r="A46" s="1292" t="s">
        <v>1719</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78" t="s">
        <v>1579</v>
      </c>
      <c r="C49" s="2478"/>
      <c r="D49" s="2478"/>
      <c r="E49" s="1329"/>
    </row>
    <row r="50" spans="1:5" s="1297" customFormat="1" ht="3.75" customHeight="1" x14ac:dyDescent="0.2">
      <c r="A50" s="1296"/>
      <c r="B50" s="1777"/>
      <c r="C50" s="1777"/>
      <c r="D50" s="1777"/>
      <c r="E50" s="1329"/>
    </row>
    <row r="51" spans="1:5" s="1297" customFormat="1" ht="20.25" customHeight="1" x14ac:dyDescent="0.2">
      <c r="A51" s="1298">
        <v>6</v>
      </c>
      <c r="B51" s="2473" t="s">
        <v>1546</v>
      </c>
      <c r="C51" s="2473"/>
      <c r="D51" s="2473"/>
    </row>
    <row r="52" spans="1:5" ht="14.25" customHeight="1" x14ac:dyDescent="0.2">
      <c r="A52" s="1298"/>
      <c r="B52" s="2473"/>
      <c r="C52" s="2473"/>
      <c r="D52" s="2473"/>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2D050"/>
  </sheetPr>
  <dimension ref="A1:J64"/>
  <sheetViews>
    <sheetView showGridLines="0" topLeftCell="A16" zoomScale="110" zoomScaleNormal="110" workbookViewId="0">
      <selection activeCell="P51" sqref="P51"/>
    </sheetView>
  </sheetViews>
  <sheetFormatPr defaultColWidth="9.140625" defaultRowHeight="12.75" x14ac:dyDescent="0.2"/>
  <cols>
    <col min="1" max="1" width="1.42578125" style="1297" customWidth="1"/>
    <col min="2" max="2" width="24.42578125" style="1300"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97" t="str">
        <f>'Single Audit Cover'!A7</f>
        <v>City of Chicago SD 299</v>
      </c>
      <c r="C1" s="2498"/>
      <c r="D1" s="2498"/>
      <c r="E1" s="2498"/>
      <c r="F1" s="2498"/>
      <c r="G1" s="2498"/>
      <c r="H1" s="2498"/>
      <c r="I1" s="2498"/>
      <c r="J1" s="1339"/>
    </row>
    <row r="2" spans="2:10" s="317" customFormat="1" ht="12.75" customHeight="1" x14ac:dyDescent="0.2">
      <c r="B2" s="2499">
        <f>'Single Audit Cover'!E7</f>
        <v>15016299025</v>
      </c>
      <c r="C2" s="2500"/>
      <c r="D2" s="2500"/>
      <c r="E2" s="2500"/>
      <c r="F2" s="2500"/>
      <c r="G2" s="2500"/>
      <c r="H2" s="2500"/>
      <c r="I2" s="2500"/>
      <c r="J2" s="1339"/>
    </row>
    <row r="3" spans="2:10" s="317" customFormat="1" ht="12.75" customHeight="1" x14ac:dyDescent="0.2">
      <c r="B3" s="2501" t="s">
        <v>1280</v>
      </c>
      <c r="C3" s="2502"/>
      <c r="D3" s="2502"/>
      <c r="E3" s="2502"/>
      <c r="F3" s="2502"/>
      <c r="G3" s="2502"/>
      <c r="H3" s="2502"/>
      <c r="I3" s="2502"/>
      <c r="J3" s="1340"/>
    </row>
    <row r="4" spans="2:10" s="317" customFormat="1" ht="12.75" customHeight="1" x14ac:dyDescent="0.2">
      <c r="B4" s="2501" t="str">
        <f>'Single Audit Cover'!A4</f>
        <v>Year Ending June 30, 2019</v>
      </c>
      <c r="C4" s="2502"/>
      <c r="D4" s="2502"/>
      <c r="E4" s="2502"/>
      <c r="F4" s="2502"/>
      <c r="G4" s="2502"/>
      <c r="H4" s="2502"/>
      <c r="I4" s="2502"/>
    </row>
    <row r="5" spans="2:10" s="317" customFormat="1" ht="6.2" customHeight="1" x14ac:dyDescent="0.2">
      <c r="B5" s="1341" t="s">
        <v>1169</v>
      </c>
      <c r="C5" s="1291"/>
      <c r="D5" s="1291"/>
      <c r="E5" s="1313"/>
      <c r="F5" s="322"/>
      <c r="G5" s="322"/>
      <c r="H5" s="322"/>
      <c r="I5" s="322"/>
    </row>
    <row r="6" spans="2:10" s="317" customFormat="1" ht="6.2" customHeight="1" x14ac:dyDescent="0.2">
      <c r="B6" s="1342"/>
      <c r="C6" s="1309"/>
      <c r="D6" s="1309"/>
      <c r="E6" s="1310"/>
      <c r="F6" s="1309"/>
      <c r="G6" s="1309"/>
      <c r="H6" s="1309"/>
      <c r="I6" s="1309"/>
    </row>
    <row r="7" spans="2:10" s="317" customFormat="1" ht="13.5" customHeight="1" x14ac:dyDescent="0.2">
      <c r="B7" s="2501" t="s">
        <v>1279</v>
      </c>
      <c r="C7" s="2502"/>
      <c r="D7" s="2502"/>
      <c r="E7" s="2502"/>
      <c r="F7" s="2502"/>
      <c r="G7" s="2502"/>
      <c r="H7" s="2502"/>
      <c r="I7" s="2502"/>
    </row>
    <row r="8" spans="2:10" s="317" customFormat="1" ht="6.2" customHeight="1" x14ac:dyDescent="0.2">
      <c r="B8" s="1343" t="s">
        <v>1169</v>
      </c>
      <c r="C8" s="1344"/>
      <c r="D8" s="1344"/>
      <c r="E8" s="1345"/>
      <c r="F8" s="1344"/>
      <c r="G8" s="1344"/>
      <c r="H8" s="1344"/>
      <c r="I8" s="1344"/>
    </row>
    <row r="9" spans="2:10" s="317" customFormat="1" ht="9" customHeight="1" x14ac:dyDescent="0.2">
      <c r="B9" s="1346"/>
      <c r="C9" s="322"/>
      <c r="D9" s="322"/>
      <c r="E9" s="1313"/>
      <c r="F9" s="322"/>
      <c r="G9" s="322"/>
      <c r="H9" s="322"/>
      <c r="I9" s="322"/>
    </row>
    <row r="10" spans="2:10" s="317" customFormat="1" ht="12.75" customHeight="1" x14ac:dyDescent="0.2">
      <c r="B10" s="1347" t="s">
        <v>1278</v>
      </c>
      <c r="C10" s="1348"/>
      <c r="D10" s="1348"/>
      <c r="E10" s="1255"/>
    </row>
    <row r="11" spans="2:10" s="317" customFormat="1" ht="13.5" customHeight="1" x14ac:dyDescent="0.2">
      <c r="B11" s="1299" t="s">
        <v>1277</v>
      </c>
      <c r="C11" s="2503" t="s">
        <v>2134</v>
      </c>
      <c r="D11" s="2503"/>
      <c r="E11" s="1349"/>
      <c r="F11" s="1349"/>
      <c r="G11" s="1349"/>
    </row>
    <row r="12" spans="2:10" s="317" customFormat="1" ht="11.45" customHeight="1" x14ac:dyDescent="0.2">
      <c r="B12" s="1300"/>
      <c r="C12" s="1350" t="s">
        <v>1437</v>
      </c>
      <c r="D12" s="1351"/>
      <c r="E12" s="1255"/>
    </row>
    <row r="13" spans="2:10" s="317" customFormat="1" ht="12.75" customHeight="1" x14ac:dyDescent="0.2">
      <c r="B13" s="1352"/>
      <c r="C13" s="1317"/>
      <c r="D13" s="1317"/>
      <c r="E13" s="1255"/>
    </row>
    <row r="14" spans="2:10" s="317" customFormat="1" ht="12.75" customHeight="1" x14ac:dyDescent="0.2">
      <c r="B14" s="1302" t="s">
        <v>1276</v>
      </c>
      <c r="C14" s="1279"/>
      <c r="E14" s="1255"/>
    </row>
    <row r="15" spans="2:10" s="317" customFormat="1" ht="13.5" customHeight="1" x14ac:dyDescent="0.2">
      <c r="B15" s="1353" t="s">
        <v>1273</v>
      </c>
      <c r="C15" s="1354"/>
      <c r="D15" s="1328"/>
      <c r="E15" s="1355"/>
      <c r="F15" s="1297" t="s">
        <v>885</v>
      </c>
      <c r="G15" s="1355" t="s">
        <v>2042</v>
      </c>
      <c r="H15" s="1297" t="s">
        <v>1271</v>
      </c>
      <c r="I15" s="1297"/>
    </row>
    <row r="16" spans="2:10" s="317" customFormat="1" ht="8.4499999999999993" customHeight="1" x14ac:dyDescent="0.2">
      <c r="B16" s="1302"/>
      <c r="C16" s="1279"/>
      <c r="E16" s="1313"/>
      <c r="F16" s="1297"/>
      <c r="G16" s="322"/>
      <c r="H16" s="1297"/>
      <c r="I16" s="1297"/>
    </row>
    <row r="17" spans="2:9" s="317" customFormat="1" ht="13.5" customHeight="1" x14ac:dyDescent="0.2">
      <c r="B17" s="1353" t="s">
        <v>1272</v>
      </c>
      <c r="C17" s="1354"/>
      <c r="D17" s="1328"/>
      <c r="E17" s="1356"/>
      <c r="F17" s="1254"/>
      <c r="G17" s="1356"/>
      <c r="H17" s="1297"/>
      <c r="I17" s="1297"/>
    </row>
    <row r="18" spans="2:9" s="317" customFormat="1" ht="12.75" customHeight="1" x14ac:dyDescent="0.2">
      <c r="B18" s="1353" t="s">
        <v>1438</v>
      </c>
      <c r="C18" s="1354"/>
      <c r="D18" s="1328"/>
      <c r="E18" s="1355"/>
      <c r="F18" s="1297" t="s">
        <v>885</v>
      </c>
      <c r="G18" s="1355" t="s">
        <v>2042</v>
      </c>
      <c r="H18" s="1297" t="s">
        <v>1271</v>
      </c>
      <c r="I18" s="1297"/>
    </row>
    <row r="19" spans="2:9" s="317" customFormat="1" ht="8.4499999999999993" customHeight="1" x14ac:dyDescent="0.2">
      <c r="B19" s="1302"/>
      <c r="C19" s="1279"/>
      <c r="E19" s="1313"/>
      <c r="F19" s="1297"/>
      <c r="G19" s="322"/>
      <c r="H19" s="1297"/>
      <c r="I19" s="1297"/>
    </row>
    <row r="20" spans="2:9" s="317" customFormat="1" ht="13.5" customHeight="1" x14ac:dyDescent="0.2">
      <c r="B20" s="1353" t="s">
        <v>1580</v>
      </c>
      <c r="C20" s="1354"/>
      <c r="D20" s="1328"/>
      <c r="E20" s="1355"/>
      <c r="F20" s="1297" t="s">
        <v>885</v>
      </c>
      <c r="G20" s="1355" t="s">
        <v>2042</v>
      </c>
      <c r="H20" s="1297" t="s">
        <v>99</v>
      </c>
      <c r="I20" s="1297"/>
    </row>
    <row r="21" spans="2:9" s="317" customFormat="1" ht="12.75" customHeight="1" x14ac:dyDescent="0.2">
      <c r="B21" s="1302"/>
      <c r="C21" s="1279"/>
      <c r="E21" s="1313"/>
      <c r="F21" s="1297"/>
      <c r="G21" s="322"/>
      <c r="H21" s="1297"/>
      <c r="I21" s="1297"/>
    </row>
    <row r="22" spans="2:9" s="317" customFormat="1" ht="12.75" customHeight="1" x14ac:dyDescent="0.2">
      <c r="B22" s="1347" t="s">
        <v>1275</v>
      </c>
      <c r="C22" s="1357"/>
      <c r="D22" s="1348"/>
      <c r="E22" s="1313"/>
      <c r="F22" s="1297"/>
      <c r="G22" s="322"/>
      <c r="H22" s="1297"/>
      <c r="I22" s="1297"/>
    </row>
    <row r="23" spans="2:9" s="317" customFormat="1" ht="12.75" customHeight="1" x14ac:dyDescent="0.2">
      <c r="B23" s="1302" t="s">
        <v>1274</v>
      </c>
      <c r="C23" s="1279"/>
      <c r="E23" s="1313"/>
      <c r="F23" s="1297"/>
      <c r="G23" s="322"/>
      <c r="H23" s="1297"/>
      <c r="I23" s="1297"/>
    </row>
    <row r="24" spans="2:9" s="317" customFormat="1" ht="13.5" customHeight="1" x14ac:dyDescent="0.2">
      <c r="B24" s="1353" t="s">
        <v>1273</v>
      </c>
      <c r="C24" s="1354"/>
      <c r="D24" s="1328"/>
      <c r="E24" s="1355"/>
      <c r="F24" s="1297" t="s">
        <v>885</v>
      </c>
      <c r="G24" s="1355" t="s">
        <v>2042</v>
      </c>
      <c r="H24" s="1297" t="s">
        <v>1271</v>
      </c>
      <c r="I24" s="1297"/>
    </row>
    <row r="25" spans="2:9" s="317" customFormat="1" ht="8.4499999999999993" customHeight="1" x14ac:dyDescent="0.2">
      <c r="B25" s="1302"/>
      <c r="C25" s="1279"/>
      <c r="E25" s="1313"/>
      <c r="F25" s="1297"/>
      <c r="G25" s="322"/>
      <c r="H25" s="1297"/>
      <c r="I25" s="1297"/>
    </row>
    <row r="26" spans="2:9" s="317" customFormat="1" ht="13.5" customHeight="1" x14ac:dyDescent="0.2">
      <c r="B26" s="1353" t="s">
        <v>1272</v>
      </c>
      <c r="C26" s="1354"/>
      <c r="D26" s="1328"/>
      <c r="E26" s="1356"/>
      <c r="F26" s="1254"/>
      <c r="G26" s="1356"/>
      <c r="H26" s="1297"/>
      <c r="I26" s="1297"/>
    </row>
    <row r="27" spans="2:9" s="317" customFormat="1" ht="12.75" customHeight="1" x14ac:dyDescent="0.2">
      <c r="B27" s="1353" t="s">
        <v>1438</v>
      </c>
      <c r="C27" s="1354"/>
      <c r="D27" s="1328"/>
      <c r="E27" s="1355" t="s">
        <v>2042</v>
      </c>
      <c r="F27" s="1297" t="s">
        <v>885</v>
      </c>
      <c r="G27" s="1355"/>
      <c r="H27" s="1297" t="s">
        <v>1271</v>
      </c>
      <c r="I27" s="1297"/>
    </row>
    <row r="28" spans="2:9" s="317" customFormat="1" ht="12.75" customHeight="1" x14ac:dyDescent="0.2">
      <c r="B28" s="1302"/>
      <c r="C28" s="1279"/>
      <c r="E28" s="1255"/>
    </row>
    <row r="29" spans="2:9" s="317" customFormat="1" ht="12.75" customHeight="1" x14ac:dyDescent="0.2">
      <c r="B29" s="1302" t="s">
        <v>1270</v>
      </c>
      <c r="C29" s="1279"/>
      <c r="D29" s="2504" t="s">
        <v>2134</v>
      </c>
      <c r="E29" s="2504"/>
      <c r="F29" s="2504"/>
      <c r="G29" s="2504"/>
      <c r="H29" s="2504"/>
      <c r="I29" s="2504"/>
    </row>
    <row r="30" spans="2:9" s="317" customFormat="1" x14ac:dyDescent="0.2">
      <c r="B30" s="1302"/>
      <c r="C30" s="322"/>
      <c r="D30" s="1350" t="s">
        <v>1726</v>
      </c>
      <c r="E30" s="1351"/>
      <c r="F30" s="1351"/>
      <c r="G30" s="1351"/>
      <c r="H30" s="1351"/>
      <c r="I30" s="1351"/>
    </row>
    <row r="31" spans="2:9" s="317" customFormat="1" ht="9.9499999999999993" customHeight="1" x14ac:dyDescent="0.2">
      <c r="B31" s="1302"/>
      <c r="E31" s="1255"/>
    </row>
    <row r="32" spans="2:9" s="317" customFormat="1" x14ac:dyDescent="0.2">
      <c r="B32" s="1302" t="s">
        <v>1269</v>
      </c>
      <c r="C32" s="1279"/>
      <c r="E32" s="1255"/>
    </row>
    <row r="33" spans="2:9" ht="13.5" customHeight="1" x14ac:dyDescent="0.2">
      <c r="B33" s="1302" t="s">
        <v>1547</v>
      </c>
      <c r="C33" s="1279"/>
      <c r="E33" s="1355" t="s">
        <v>2042</v>
      </c>
      <c r="F33" s="1297" t="s">
        <v>885</v>
      </c>
      <c r="G33" s="1355"/>
      <c r="H33" s="1297" t="s">
        <v>99</v>
      </c>
    </row>
    <row r="35" spans="2:9" x14ac:dyDescent="0.2">
      <c r="B35" s="1358" t="s">
        <v>1727</v>
      </c>
      <c r="C35" s="1359"/>
      <c r="D35" s="1264"/>
    </row>
    <row r="36" spans="2:9" ht="6" customHeight="1" x14ac:dyDescent="0.2">
      <c r="B36" s="1358"/>
      <c r="C36" s="1359"/>
      <c r="D36" s="1264"/>
    </row>
    <row r="37" spans="2:9" ht="17.25" customHeight="1" x14ac:dyDescent="0.2">
      <c r="B37" s="1360" t="s">
        <v>1728</v>
      </c>
      <c r="C37" s="2505" t="s">
        <v>1729</v>
      </c>
      <c r="D37" s="2506"/>
      <c r="E37" s="2506"/>
      <c r="F37" s="2507"/>
      <c r="G37" s="2505" t="s">
        <v>1581</v>
      </c>
      <c r="H37" s="2506"/>
      <c r="I37" s="2507"/>
    </row>
    <row r="38" spans="2:9" ht="16.5" customHeight="1" x14ac:dyDescent="0.2">
      <c r="B38" s="1361">
        <v>84.027000000000001</v>
      </c>
      <c r="C38" s="2493" t="s">
        <v>2135</v>
      </c>
      <c r="D38" s="2494"/>
      <c r="E38" s="2494"/>
      <c r="F38" s="2495"/>
      <c r="G38" s="2508">
        <f>'SEFA CFDA Total'!C24</f>
        <v>92746219</v>
      </c>
      <c r="H38" s="2509"/>
      <c r="I38" s="2510"/>
    </row>
    <row r="39" spans="2:9" ht="16.5" customHeight="1" x14ac:dyDescent="0.2">
      <c r="B39" s="1361">
        <v>84.173000000000002</v>
      </c>
      <c r="C39" s="2493" t="s">
        <v>2136</v>
      </c>
      <c r="D39" s="2494"/>
      <c r="E39" s="2494"/>
      <c r="F39" s="2495"/>
      <c r="G39" s="2496">
        <f>'SEFA CFDA Total'!C31</f>
        <v>1711557</v>
      </c>
      <c r="H39" s="2496"/>
      <c r="I39" s="2496"/>
    </row>
    <row r="40" spans="2:9" ht="16.5" customHeight="1" x14ac:dyDescent="0.2">
      <c r="B40" s="1361">
        <v>84.048000000000002</v>
      </c>
      <c r="C40" s="1870" t="s">
        <v>2137</v>
      </c>
      <c r="D40" s="1871"/>
      <c r="E40" s="1871"/>
      <c r="F40" s="1872"/>
      <c r="G40" s="1873"/>
      <c r="H40" s="1873"/>
      <c r="I40" s="1873">
        <f>'SEFA CFDA Total'!C27</f>
        <v>6001975</v>
      </c>
    </row>
    <row r="41" spans="2:9" ht="16.5" customHeight="1" x14ac:dyDescent="0.2">
      <c r="B41" s="1361">
        <v>84.376999999999995</v>
      </c>
      <c r="C41" s="2493" t="s">
        <v>2116</v>
      </c>
      <c r="D41" s="2494"/>
      <c r="E41" s="2494"/>
      <c r="F41" s="2495"/>
      <c r="G41" s="2496">
        <f>'SEFA CFDA Total'!C41</f>
        <v>3188529</v>
      </c>
      <c r="H41" s="2496"/>
      <c r="I41" s="2496"/>
    </row>
    <row r="42" spans="2:9" ht="16.5" customHeight="1" x14ac:dyDescent="0.2">
      <c r="B42" s="1361">
        <v>96.6</v>
      </c>
      <c r="C42" s="2493" t="s">
        <v>1045</v>
      </c>
      <c r="D42" s="2494"/>
      <c r="E42" s="2494"/>
      <c r="F42" s="2495"/>
      <c r="G42" s="2496">
        <f>'SEFA CFDA Total'!C47</f>
        <v>36075704</v>
      </c>
      <c r="H42" s="2496"/>
      <c r="I42" s="2496"/>
    </row>
    <row r="43" spans="2:9" ht="16.5" customHeight="1" x14ac:dyDescent="0.2">
      <c r="B43" s="1361">
        <v>93.778000000000006</v>
      </c>
      <c r="C43" s="2493" t="s">
        <v>2138</v>
      </c>
      <c r="D43" s="2494"/>
      <c r="E43" s="2494"/>
      <c r="F43" s="2495"/>
      <c r="G43" s="2496">
        <f>'SEFA CFDA Total'!C49</f>
        <v>8256738</v>
      </c>
      <c r="H43" s="2496"/>
      <c r="I43" s="2496"/>
    </row>
    <row r="44" spans="2:9" ht="16.5" customHeight="1" x14ac:dyDescent="0.2">
      <c r="B44" s="1361"/>
      <c r="C44" s="2486" t="s">
        <v>1582</v>
      </c>
      <c r="D44" s="2487"/>
      <c r="E44" s="2487"/>
      <c r="F44" s="2488"/>
      <c r="G44" s="2489">
        <f>SUM(G38:I43)</f>
        <v>147980722</v>
      </c>
      <c r="H44" s="2489"/>
      <c r="I44" s="2489"/>
    </row>
    <row r="45" spans="2:9" ht="12.75" customHeight="1" x14ac:dyDescent="0.2"/>
    <row r="46" spans="2:9" ht="12.75" customHeight="1" x14ac:dyDescent="0.2">
      <c r="B46" s="1352" t="s">
        <v>2039</v>
      </c>
      <c r="D46" s="2490">
        <f>'SEFA CFDA Total'!C51</f>
        <v>671935902</v>
      </c>
      <c r="E46" s="2491"/>
    </row>
    <row r="47" spans="2:9" ht="5.25" customHeight="1" x14ac:dyDescent="0.2">
      <c r="B47" s="1362"/>
      <c r="D47" s="1363"/>
      <c r="E47" s="1364"/>
    </row>
    <row r="48" spans="2:9" ht="12.75" customHeight="1" x14ac:dyDescent="0.2">
      <c r="B48" s="1297" t="s">
        <v>1583</v>
      </c>
      <c r="C48" s="1297"/>
      <c r="D48" s="1365">
        <f>+G44/D46</f>
        <v>0.22023041418019065</v>
      </c>
      <c r="E48" s="1366"/>
      <c r="F48" s="1367"/>
      <c r="I48" s="1368"/>
    </row>
    <row r="49" spans="1:9" ht="9.9499999999999993" customHeight="1" x14ac:dyDescent="0.2"/>
    <row r="50" spans="1:9" x14ac:dyDescent="0.2">
      <c r="B50" s="1302" t="s">
        <v>1268</v>
      </c>
      <c r="C50" s="1279"/>
      <c r="D50" s="1279"/>
      <c r="E50" s="2492">
        <v>3000000</v>
      </c>
      <c r="F50" s="2492"/>
      <c r="G50" s="2492"/>
      <c r="H50" s="322"/>
    </row>
    <row r="52" spans="1:9" ht="13.5" customHeight="1" x14ac:dyDescent="0.2">
      <c r="B52" s="1302" t="s">
        <v>1267</v>
      </c>
      <c r="C52" s="1279"/>
      <c r="E52" s="1355" t="s">
        <v>2042</v>
      </c>
      <c r="F52" s="1297" t="s">
        <v>885</v>
      </c>
      <c r="G52" s="1355"/>
      <c r="H52" s="1297" t="s">
        <v>99</v>
      </c>
    </row>
    <row r="53" spans="1:9" x14ac:dyDescent="0.2">
      <c r="B53" s="1301"/>
      <c r="C53" s="1294"/>
      <c r="D53" s="1369"/>
      <c r="E53" s="1370"/>
      <c r="F53" s="1371"/>
      <c r="G53" s="1371"/>
      <c r="H53" s="1371"/>
      <c r="I53" s="1371"/>
    </row>
    <row r="54" spans="1:9" ht="6" customHeight="1" x14ac:dyDescent="0.2">
      <c r="B54" s="1346"/>
      <c r="C54" s="322"/>
      <c r="D54" s="1372"/>
      <c r="E54" s="1373"/>
      <c r="F54" s="1374"/>
      <c r="G54" s="1374"/>
      <c r="H54" s="1374"/>
      <c r="I54" s="1374"/>
    </row>
    <row r="55" spans="1:9" s="1378" customFormat="1" ht="14.25" x14ac:dyDescent="0.2">
      <c r="A55" s="1375"/>
      <c r="B55" s="1376" t="s">
        <v>1730</v>
      </c>
      <c r="C55" s="1377"/>
      <c r="D55" s="1377"/>
    </row>
    <row r="56" spans="1:9" s="1378" customFormat="1" ht="12.75" customHeight="1" x14ac:dyDescent="0.2">
      <c r="A56" s="1375"/>
      <c r="B56" s="1379" t="s">
        <v>1584</v>
      </c>
      <c r="C56" s="1375"/>
      <c r="D56" s="1375"/>
    </row>
    <row r="57" spans="1:9" s="1378" customFormat="1" ht="12.75" customHeight="1" x14ac:dyDescent="0.2">
      <c r="A57" s="1375"/>
      <c r="B57" s="1379" t="s">
        <v>1585</v>
      </c>
      <c r="C57" s="1375"/>
      <c r="D57" s="1375"/>
    </row>
    <row r="58" spans="1:9" s="1378" customFormat="1" ht="3.95" customHeight="1" x14ac:dyDescent="0.2">
      <c r="A58" s="1375"/>
      <c r="B58" s="1379"/>
      <c r="C58" s="1375"/>
      <c r="D58" s="1375"/>
    </row>
    <row r="59" spans="1:9" s="1378" customFormat="1" ht="13.5" customHeight="1" x14ac:dyDescent="0.2">
      <c r="A59" s="1375"/>
      <c r="B59" s="1380" t="s">
        <v>1731</v>
      </c>
      <c r="C59" s="1381"/>
      <c r="D59" s="1381"/>
    </row>
    <row r="60" spans="1:9" s="1378" customFormat="1" ht="3.95" customHeight="1" x14ac:dyDescent="0.2">
      <c r="A60" s="1375"/>
      <c r="B60" s="1380"/>
      <c r="C60" s="1381"/>
      <c r="D60" s="1381"/>
    </row>
    <row r="61" spans="1:9" s="1378" customFormat="1" ht="13.5" customHeight="1" x14ac:dyDescent="0.2">
      <c r="A61" s="1375"/>
      <c r="B61" s="1380" t="s">
        <v>1732</v>
      </c>
      <c r="C61" s="1381"/>
      <c r="D61" s="1381"/>
    </row>
    <row r="62" spans="1:9" s="1378" customFormat="1" ht="3.95" customHeight="1" x14ac:dyDescent="0.2">
      <c r="A62" s="1375"/>
      <c r="B62" s="1380"/>
      <c r="C62" s="1381"/>
      <c r="D62" s="1381"/>
    </row>
    <row r="63" spans="1:9" s="1378" customFormat="1" ht="12.75" customHeight="1" x14ac:dyDescent="0.2">
      <c r="A63" s="1375"/>
      <c r="B63" s="1380" t="s">
        <v>1733</v>
      </c>
      <c r="C63" s="1381"/>
      <c r="D63" s="1381"/>
    </row>
    <row r="64" spans="1:9" s="1378" customFormat="1" ht="13.5" customHeight="1" x14ac:dyDescent="0.2">
      <c r="A64" s="1375"/>
      <c r="B64" s="1379" t="s">
        <v>1586</v>
      </c>
      <c r="C64" s="1375"/>
      <c r="D64" s="1375"/>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4:F44"/>
    <mergeCell ref="G44:I44"/>
    <mergeCell ref="D46:E46"/>
    <mergeCell ref="E50:G50"/>
    <mergeCell ref="C41:F41"/>
    <mergeCell ref="G41:I41"/>
    <mergeCell ref="C42:F42"/>
    <mergeCell ref="G42:I42"/>
    <mergeCell ref="C43:F43"/>
    <mergeCell ref="G43:I43"/>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92D050"/>
  </sheetPr>
  <dimension ref="A1:M41"/>
  <sheetViews>
    <sheetView showGridLines="0" zoomScale="110" zoomScaleNormal="110" workbookViewId="0">
      <selection activeCell="Z26" sqref="Z26"/>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97" t="str">
        <f>'Single Audit Cover'!A7</f>
        <v>City of Chicago SD 299</v>
      </c>
      <c r="C1" s="2497"/>
      <c r="D1" s="2497"/>
      <c r="E1" s="2497"/>
      <c r="F1" s="2497"/>
      <c r="G1" s="2497"/>
      <c r="H1" s="2497"/>
      <c r="I1" s="2497"/>
      <c r="J1" s="2497"/>
      <c r="K1" s="2497"/>
      <c r="L1" s="1304"/>
      <c r="M1" s="1304"/>
    </row>
    <row r="2" spans="1:13" ht="12" customHeight="1" x14ac:dyDescent="0.2">
      <c r="B2" s="2499">
        <f>'Single Audit Cover'!E7</f>
        <v>15016299025</v>
      </c>
      <c r="C2" s="2499"/>
      <c r="D2" s="2499"/>
      <c r="E2" s="2499"/>
      <c r="F2" s="2499"/>
      <c r="G2" s="2499"/>
      <c r="H2" s="2499"/>
      <c r="I2" s="2499"/>
      <c r="J2" s="2499"/>
      <c r="K2" s="2499"/>
      <c r="L2" s="1305"/>
      <c r="M2" s="1306"/>
    </row>
    <row r="3" spans="1:13" ht="10.35" customHeight="1" x14ac:dyDescent="0.2">
      <c r="B3" s="2513" t="s">
        <v>1280</v>
      </c>
      <c r="C3" s="2513"/>
      <c r="D3" s="2513"/>
      <c r="E3" s="2513"/>
      <c r="F3" s="2513"/>
      <c r="G3" s="2513"/>
      <c r="H3" s="2513"/>
      <c r="I3" s="2513"/>
      <c r="J3" s="2513"/>
      <c r="K3" s="2513"/>
      <c r="L3" s="1307"/>
      <c r="M3" s="1307"/>
    </row>
    <row r="4" spans="1:13" ht="14.25" customHeight="1" x14ac:dyDescent="0.2">
      <c r="B4" s="2514" t="str">
        <f>'Single Audit Cover'!A4</f>
        <v>Year Ending June 30, 2019</v>
      </c>
      <c r="C4" s="2514"/>
      <c r="D4" s="2514"/>
      <c r="E4" s="2514"/>
      <c r="F4" s="2514"/>
      <c r="G4" s="2514"/>
      <c r="H4" s="2514"/>
      <c r="I4" s="2514"/>
      <c r="J4" s="2514"/>
      <c r="K4" s="2514"/>
      <c r="L4" s="313"/>
      <c r="M4" s="313"/>
    </row>
    <row r="5" spans="1:13" ht="7.5" customHeight="1" x14ac:dyDescent="0.2">
      <c r="B5" s="1257" t="s">
        <v>1169</v>
      </c>
      <c r="C5" s="1257"/>
    </row>
    <row r="6" spans="1:13" ht="7.5" customHeight="1" x14ac:dyDescent="0.2">
      <c r="B6" s="1308"/>
      <c r="C6" s="1308"/>
      <c r="D6" s="1309"/>
      <c r="E6" s="1309"/>
      <c r="F6" s="1309"/>
      <c r="G6" s="1310"/>
      <c r="H6" s="1309"/>
      <c r="I6" s="1310"/>
      <c r="J6" s="1309"/>
      <c r="K6" s="1309"/>
      <c r="L6" s="1311"/>
    </row>
    <row r="7" spans="1:13" ht="12.75" customHeight="1" x14ac:dyDescent="0.2">
      <c r="A7" s="1279"/>
      <c r="B7" s="2514" t="s">
        <v>1291</v>
      </c>
      <c r="C7" s="2514"/>
      <c r="D7" s="2515"/>
      <c r="E7" s="2515"/>
      <c r="F7" s="2515"/>
      <c r="G7" s="2515"/>
      <c r="H7" s="2515"/>
      <c r="I7" s="2515"/>
      <c r="J7" s="2515"/>
      <c r="K7" s="2515"/>
      <c r="L7" s="1312"/>
    </row>
    <row r="8" spans="1:13" ht="7.5" customHeight="1" x14ac:dyDescent="0.2">
      <c r="B8" s="322"/>
      <c r="C8" s="322"/>
      <c r="D8" s="322"/>
      <c r="E8" s="322"/>
      <c r="F8" s="322"/>
      <c r="G8" s="1313"/>
      <c r="H8" s="322"/>
      <c r="I8" s="1313"/>
      <c r="J8" s="322"/>
      <c r="K8" s="322"/>
      <c r="L8" s="1311"/>
    </row>
    <row r="9" spans="1:13" ht="9.6" customHeight="1" x14ac:dyDescent="0.2">
      <c r="B9" s="1309"/>
      <c r="C9" s="1309"/>
      <c r="D9" s="1309"/>
      <c r="E9" s="1309"/>
      <c r="F9" s="1309"/>
      <c r="G9" s="1310"/>
      <c r="H9" s="1309"/>
      <c r="I9" s="1310"/>
      <c r="J9" s="1309"/>
      <c r="K9" s="1309"/>
      <c r="L9" s="1311"/>
    </row>
    <row r="10" spans="1:13" ht="16.5" customHeight="1" x14ac:dyDescent="0.2">
      <c r="B10" s="1314" t="s">
        <v>1720</v>
      </c>
      <c r="C10" s="1315" t="s">
        <v>1966</v>
      </c>
      <c r="D10" s="1316" t="s">
        <v>2139</v>
      </c>
      <c r="E10" s="322"/>
      <c r="F10" s="1317" t="s">
        <v>1290</v>
      </c>
      <c r="G10" s="1318"/>
      <c r="H10" s="1319" t="s">
        <v>1289</v>
      </c>
      <c r="I10" s="1318"/>
      <c r="J10" s="1320" t="s">
        <v>1288</v>
      </c>
      <c r="K10" s="322"/>
      <c r="L10" s="1311"/>
    </row>
    <row r="11" spans="1:13" ht="13.5" customHeight="1" x14ac:dyDescent="0.2">
      <c r="B11" s="322"/>
      <c r="C11" s="322"/>
      <c r="D11" s="322"/>
      <c r="E11" s="322"/>
      <c r="F11" s="322"/>
      <c r="G11" s="1313"/>
      <c r="H11" s="322"/>
      <c r="I11" s="1321" t="s">
        <v>1287</v>
      </c>
      <c r="J11" s="322"/>
      <c r="K11" s="1322"/>
      <c r="L11" s="1311"/>
    </row>
    <row r="12" spans="1:13" ht="13.5" customHeight="1" x14ac:dyDescent="0.2">
      <c r="B12" s="1291"/>
      <c r="C12" s="1291"/>
      <c r="D12" s="322"/>
      <c r="E12" s="322"/>
      <c r="F12" s="322"/>
      <c r="G12" s="1313"/>
      <c r="H12" s="322"/>
      <c r="I12" s="1313"/>
      <c r="J12" s="322"/>
      <c r="L12" s="1311"/>
    </row>
    <row r="13" spans="1:13" s="1279" customFormat="1" ht="13.5" customHeight="1" x14ac:dyDescent="0.2">
      <c r="B13" s="1323" t="s">
        <v>1286</v>
      </c>
      <c r="C13" s="1323"/>
      <c r="D13" s="1324"/>
      <c r="E13" s="1324"/>
      <c r="F13" s="1324"/>
      <c r="G13" s="1325"/>
      <c r="H13" s="1324"/>
      <c r="I13" s="1325"/>
      <c r="J13" s="1324"/>
      <c r="K13" s="1324"/>
      <c r="L13" s="1326"/>
    </row>
    <row r="14" spans="1:13" ht="45.75" customHeight="1" x14ac:dyDescent="0.2">
      <c r="B14" s="2512"/>
      <c r="C14" s="2512"/>
      <c r="D14" s="2512"/>
      <c r="E14" s="2512"/>
      <c r="F14" s="2512"/>
      <c r="G14" s="2512"/>
      <c r="H14" s="2512"/>
      <c r="I14" s="2512"/>
      <c r="J14" s="2512"/>
      <c r="K14" s="2512"/>
      <c r="L14" s="1327"/>
    </row>
    <row r="15" spans="1:13" ht="4.5" customHeight="1" x14ac:dyDescent="0.2">
      <c r="B15" s="1328"/>
      <c r="C15" s="1328"/>
      <c r="D15" s="1329"/>
      <c r="E15" s="1329"/>
      <c r="F15" s="1329"/>
      <c r="H15" s="1329"/>
      <c r="J15" s="1329"/>
      <c r="K15" s="1329"/>
      <c r="L15" s="1327"/>
    </row>
    <row r="16" spans="1:13" s="1279" customFormat="1" ht="13.5" customHeight="1" x14ac:dyDescent="0.2">
      <c r="B16" s="1323" t="s">
        <v>1285</v>
      </c>
      <c r="C16" s="1323"/>
      <c r="D16" s="1324"/>
      <c r="E16" s="1324"/>
      <c r="F16" s="1324"/>
      <c r="G16" s="1325"/>
      <c r="H16" s="1324"/>
      <c r="I16" s="1325"/>
      <c r="J16" s="1324"/>
      <c r="K16" s="1324"/>
      <c r="L16" s="1326"/>
    </row>
    <row r="17" spans="2:12" ht="45.75" customHeight="1" x14ac:dyDescent="0.2">
      <c r="B17" s="2512"/>
      <c r="C17" s="2512"/>
      <c r="D17" s="2512"/>
      <c r="E17" s="2512"/>
      <c r="F17" s="2512"/>
      <c r="G17" s="2512"/>
      <c r="H17" s="2512"/>
      <c r="I17" s="2512"/>
      <c r="J17" s="2512"/>
      <c r="K17" s="2512"/>
      <c r="L17" s="1311"/>
    </row>
    <row r="18" spans="2:12" ht="4.5" customHeight="1" x14ac:dyDescent="0.2">
      <c r="B18" s="1328"/>
      <c r="C18" s="1328"/>
      <c r="L18" s="1311"/>
    </row>
    <row r="19" spans="2:12" s="1279" customFormat="1" ht="13.5" customHeight="1" x14ac:dyDescent="0.2">
      <c r="B19" s="1323" t="s">
        <v>1721</v>
      </c>
      <c r="C19" s="1323"/>
      <c r="D19" s="1324"/>
      <c r="E19" s="1324"/>
      <c r="F19" s="1324"/>
      <c r="G19" s="1325"/>
      <c r="H19" s="1324"/>
      <c r="I19" s="1325"/>
      <c r="J19" s="1324"/>
      <c r="K19" s="1324"/>
      <c r="L19" s="1326"/>
    </row>
    <row r="20" spans="2:12" ht="45.75" customHeight="1" x14ac:dyDescent="0.2">
      <c r="B20" s="2516"/>
      <c r="C20" s="2516"/>
      <c r="D20" s="2512"/>
      <c r="E20" s="2512"/>
      <c r="F20" s="2512"/>
      <c r="G20" s="2512"/>
      <c r="H20" s="2512"/>
      <c r="I20" s="2512"/>
      <c r="J20" s="2512"/>
      <c r="K20" s="2512"/>
      <c r="L20" s="1311"/>
    </row>
    <row r="21" spans="2:12" ht="4.5" customHeight="1" x14ac:dyDescent="0.2">
      <c r="B21" s="1330"/>
      <c r="C21" s="1330"/>
      <c r="L21" s="1311"/>
    </row>
    <row r="22" spans="2:12" ht="13.5" customHeight="1" x14ac:dyDescent="0.2">
      <c r="B22" s="1323" t="s">
        <v>1284</v>
      </c>
      <c r="C22" s="1323"/>
      <c r="D22" s="1309"/>
      <c r="E22" s="1309"/>
      <c r="F22" s="1309"/>
      <c r="G22" s="1310"/>
      <c r="H22" s="1309"/>
      <c r="I22" s="1310"/>
      <c r="J22" s="1309"/>
      <c r="K22" s="1309"/>
      <c r="L22" s="1311"/>
    </row>
    <row r="23" spans="2:12" ht="45" customHeight="1" x14ac:dyDescent="0.2">
      <c r="B23" s="2512"/>
      <c r="C23" s="2512"/>
      <c r="D23" s="2512"/>
      <c r="E23" s="2512"/>
      <c r="F23" s="2512"/>
      <c r="G23" s="2512"/>
      <c r="H23" s="2512"/>
      <c r="I23" s="2512"/>
      <c r="J23" s="2512"/>
      <c r="K23" s="2512"/>
      <c r="L23" s="1311"/>
    </row>
    <row r="24" spans="2:12" ht="4.5" customHeight="1" x14ac:dyDescent="0.2">
      <c r="B24" s="1328"/>
      <c r="C24" s="1328"/>
      <c r="L24" s="1311"/>
    </row>
    <row r="25" spans="2:12" ht="13.5" customHeight="1" x14ac:dyDescent="0.2">
      <c r="B25" s="1323" t="s">
        <v>1283</v>
      </c>
      <c r="C25" s="1323"/>
      <c r="D25" s="1309"/>
      <c r="E25" s="1309"/>
      <c r="F25" s="1309"/>
      <c r="G25" s="1310"/>
      <c r="H25" s="1309"/>
      <c r="I25" s="1310"/>
      <c r="J25" s="1309"/>
      <c r="K25" s="1309"/>
      <c r="L25" s="1311"/>
    </row>
    <row r="26" spans="2:12" ht="45.75" customHeight="1" x14ac:dyDescent="0.2">
      <c r="B26" s="2512"/>
      <c r="C26" s="2512"/>
      <c r="D26" s="2512"/>
      <c r="E26" s="2512"/>
      <c r="F26" s="2512"/>
      <c r="G26" s="2512"/>
      <c r="H26" s="2512"/>
      <c r="I26" s="2512"/>
      <c r="J26" s="2512"/>
      <c r="K26" s="2512"/>
      <c r="L26" s="1311"/>
    </row>
    <row r="27" spans="2:12" ht="4.5" customHeight="1" x14ac:dyDescent="0.2">
      <c r="B27" s="1328"/>
      <c r="C27" s="1328"/>
      <c r="L27" s="1311"/>
    </row>
    <row r="28" spans="2:12" ht="13.5" customHeight="1" x14ac:dyDescent="0.2">
      <c r="B28" s="1331" t="s">
        <v>1282</v>
      </c>
      <c r="C28" s="1331"/>
      <c r="D28" s="1309"/>
      <c r="E28" s="1309"/>
      <c r="F28" s="1309"/>
      <c r="G28" s="1310"/>
      <c r="H28" s="1309"/>
      <c r="I28" s="1310"/>
      <c r="J28" s="1309"/>
      <c r="K28" s="1309"/>
      <c r="L28" s="1311"/>
    </row>
    <row r="29" spans="2:12" ht="45.75" customHeight="1" x14ac:dyDescent="0.2">
      <c r="B29" s="2511"/>
      <c r="C29" s="2511"/>
      <c r="D29" s="2512"/>
      <c r="E29" s="2512"/>
      <c r="F29" s="2512"/>
      <c r="G29" s="2512"/>
      <c r="H29" s="2512"/>
      <c r="I29" s="2512"/>
      <c r="J29" s="2512"/>
      <c r="K29" s="2512"/>
      <c r="L29" s="1311"/>
    </row>
    <row r="30" spans="2:12" ht="4.5" customHeight="1" x14ac:dyDescent="0.2">
      <c r="B30" s="1332"/>
      <c r="C30" s="1332"/>
      <c r="D30" s="322"/>
      <c r="E30" s="322"/>
      <c r="F30" s="322"/>
      <c r="G30" s="1313"/>
      <c r="H30" s="322"/>
      <c r="I30" s="1313"/>
      <c r="J30" s="322"/>
      <c r="K30" s="322"/>
      <c r="L30" s="1311"/>
    </row>
    <row r="31" spans="2:12" s="322" customFormat="1" ht="13.5" customHeight="1" x14ac:dyDescent="0.2">
      <c r="B31" s="1333" t="s">
        <v>1722</v>
      </c>
      <c r="C31" s="1333"/>
      <c r="D31" s="1308"/>
      <c r="E31" s="1309"/>
      <c r="F31" s="1309"/>
      <c r="G31" s="1310"/>
      <c r="H31" s="1309"/>
      <c r="I31" s="1310"/>
      <c r="J31" s="1309"/>
      <c r="K31" s="1309"/>
      <c r="L31" s="1311"/>
    </row>
    <row r="32" spans="2:12" s="322" customFormat="1" ht="44.25" customHeight="1" x14ac:dyDescent="0.2">
      <c r="B32" s="2511"/>
      <c r="C32" s="2511"/>
      <c r="D32" s="2512"/>
      <c r="E32" s="2512"/>
      <c r="F32" s="2512"/>
      <c r="G32" s="2512"/>
      <c r="H32" s="2512"/>
      <c r="I32" s="2512"/>
      <c r="J32" s="2512"/>
      <c r="K32" s="2512"/>
      <c r="L32" s="1311"/>
    </row>
    <row r="33" spans="1:13" s="322" customFormat="1" ht="4.5" customHeight="1" x14ac:dyDescent="0.2">
      <c r="B33" s="1332"/>
      <c r="C33" s="1332"/>
      <c r="G33" s="1313"/>
      <c r="I33" s="1313"/>
      <c r="L33" s="1311"/>
    </row>
    <row r="34" spans="1:13" s="322" customFormat="1" x14ac:dyDescent="0.2">
      <c r="A34" s="1294"/>
      <c r="B34" s="1334"/>
      <c r="C34" s="1334"/>
      <c r="D34" s="1334"/>
      <c r="E34" s="1334"/>
      <c r="F34" s="1334"/>
      <c r="G34" s="1335"/>
      <c r="H34" s="1334"/>
      <c r="I34" s="1335"/>
      <c r="J34" s="1334"/>
      <c r="K34" s="1334"/>
      <c r="L34" s="1311"/>
    </row>
    <row r="35" spans="1:13" ht="11.85" customHeight="1" x14ac:dyDescent="0.2">
      <c r="B35" s="1336" t="s">
        <v>1723</v>
      </c>
      <c r="C35" s="1336"/>
      <c r="D35" s="322"/>
      <c r="E35" s="322"/>
      <c r="F35" s="322"/>
      <c r="L35" s="1311"/>
    </row>
    <row r="36" spans="1:13" ht="9.6" customHeight="1" x14ac:dyDescent="0.2">
      <c r="B36" s="1297" t="s">
        <v>1818</v>
      </c>
      <c r="C36" s="1297"/>
      <c r="L36" s="1311"/>
    </row>
    <row r="37" spans="1:13" ht="9.6" customHeight="1" x14ac:dyDescent="0.2">
      <c r="B37" s="1297" t="s">
        <v>1819</v>
      </c>
      <c r="C37" s="1297"/>
    </row>
    <row r="38" spans="1:13" ht="11.85" customHeight="1" x14ac:dyDescent="0.2">
      <c r="B38" s="1337" t="s">
        <v>1724</v>
      </c>
      <c r="C38" s="1337"/>
    </row>
    <row r="39" spans="1:13" ht="9.6" customHeight="1" x14ac:dyDescent="0.2">
      <c r="B39" s="1297" t="s">
        <v>1281</v>
      </c>
      <c r="C39" s="1297"/>
      <c r="M39" s="1338"/>
    </row>
    <row r="40" spans="1:13" ht="12.6" customHeight="1" x14ac:dyDescent="0.2">
      <c r="B40" s="1337" t="s">
        <v>1725</v>
      </c>
      <c r="C40" s="1337"/>
      <c r="M40" s="1338"/>
    </row>
    <row r="41" spans="1:13" ht="9.6" customHeight="1" x14ac:dyDescent="0.2">
      <c r="B41" s="1297"/>
      <c r="C41" s="1297"/>
      <c r="M41" s="1338"/>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sheetPr>
  <dimension ref="A1:L48"/>
  <sheetViews>
    <sheetView showGridLines="0" topLeftCell="A25" zoomScale="110" zoomScaleNormal="110" workbookViewId="0">
      <selection activeCell="G54" sqref="G54"/>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20" t="str">
        <f>'Single Audit Cover'!A7</f>
        <v>City of Chicago SD 299</v>
      </c>
      <c r="C1" s="2520"/>
      <c r="D1" s="2520"/>
      <c r="E1" s="2520"/>
      <c r="F1" s="2520"/>
      <c r="G1" s="2520"/>
      <c r="H1" s="2520"/>
      <c r="I1" s="2520"/>
      <c r="J1" s="2520"/>
      <c r="K1" s="2520"/>
      <c r="L1" s="1382"/>
    </row>
    <row r="2" spans="1:12" ht="12.75" customHeight="1" x14ac:dyDescent="0.2">
      <c r="B2" s="2521">
        <f>'Single Audit Cover'!E7</f>
        <v>15016299025</v>
      </c>
      <c r="C2" s="2521"/>
      <c r="D2" s="2521"/>
      <c r="E2" s="2521"/>
      <c r="F2" s="2521"/>
      <c r="G2" s="2521"/>
      <c r="H2" s="2521"/>
      <c r="I2" s="2521"/>
      <c r="J2" s="2521"/>
      <c r="K2" s="2521"/>
      <c r="L2" s="1383"/>
    </row>
    <row r="3" spans="1:12" ht="12.75" customHeight="1" x14ac:dyDescent="0.2">
      <c r="B3" s="2513" t="s">
        <v>1280</v>
      </c>
      <c r="C3" s="2513"/>
      <c r="D3" s="2513"/>
      <c r="E3" s="2513"/>
      <c r="F3" s="2513"/>
      <c r="G3" s="2513"/>
      <c r="H3" s="2513"/>
      <c r="I3" s="2513"/>
      <c r="J3" s="2513"/>
      <c r="K3" s="2513"/>
      <c r="L3" s="1307"/>
    </row>
    <row r="4" spans="1:12" ht="12.75" customHeight="1" x14ac:dyDescent="0.2">
      <c r="B4" s="2513" t="str">
        <f>'Single Audit Cover'!A4</f>
        <v>Year Ending June 30, 2019</v>
      </c>
      <c r="C4" s="2513"/>
      <c r="D4" s="2513"/>
      <c r="E4" s="2513"/>
      <c r="F4" s="2513"/>
      <c r="G4" s="2513"/>
      <c r="H4" s="2513"/>
      <c r="I4" s="2513"/>
      <c r="J4" s="2513"/>
      <c r="K4" s="2513"/>
      <c r="L4" s="1307"/>
    </row>
    <row r="5" spans="1:12" ht="5.25" customHeight="1" x14ac:dyDescent="0.2">
      <c r="B5" s="1257" t="s">
        <v>1169</v>
      </c>
      <c r="C5" s="1257"/>
      <c r="L5" s="322"/>
    </row>
    <row r="6" spans="1:12" ht="30.75" customHeight="1" x14ac:dyDescent="0.2">
      <c r="A6" s="322"/>
      <c r="B6" s="2522" t="s">
        <v>1303</v>
      </c>
      <c r="C6" s="2522"/>
      <c r="D6" s="2522"/>
      <c r="E6" s="2522"/>
      <c r="F6" s="2522"/>
      <c r="G6" s="2522"/>
      <c r="H6" s="2522"/>
      <c r="I6" s="2522"/>
      <c r="J6" s="2522"/>
      <c r="K6" s="2522"/>
      <c r="L6" s="322"/>
    </row>
    <row r="7" spans="1:12" ht="4.5" customHeight="1" x14ac:dyDescent="0.2">
      <c r="B7" s="1309"/>
      <c r="C7" s="1309"/>
      <c r="D7" s="1309"/>
      <c r="E7" s="1309"/>
      <c r="F7" s="1309"/>
      <c r="G7" s="1310"/>
      <c r="H7" s="1309"/>
      <c r="I7" s="1310"/>
      <c r="J7" s="1309"/>
      <c r="K7" s="1309"/>
      <c r="L7" s="322"/>
    </row>
    <row r="8" spans="1:12" ht="13.5" customHeight="1" x14ac:dyDescent="0.2">
      <c r="B8" s="1317" t="s">
        <v>1734</v>
      </c>
      <c r="C8" s="1384" t="s">
        <v>1966</v>
      </c>
      <c r="D8" s="1385">
        <v>1</v>
      </c>
      <c r="E8" s="322"/>
      <c r="F8" s="1314" t="s">
        <v>1290</v>
      </c>
      <c r="G8" s="1386" t="s">
        <v>2042</v>
      </c>
      <c r="H8" s="1387" t="s">
        <v>1302</v>
      </c>
      <c r="I8" s="1386"/>
      <c r="J8" s="1388" t="s">
        <v>1301</v>
      </c>
      <c r="L8" s="322"/>
    </row>
    <row r="9" spans="1:12" ht="13.5" customHeight="1" x14ac:dyDescent="0.2">
      <c r="D9" s="322"/>
      <c r="E9" s="322"/>
      <c r="F9" s="322"/>
      <c r="G9" s="1313"/>
      <c r="H9" s="322"/>
      <c r="I9" s="1389" t="s">
        <v>1287</v>
      </c>
      <c r="J9" s="322"/>
      <c r="K9" s="1390"/>
      <c r="L9" s="322"/>
    </row>
    <row r="10" spans="1:12" ht="4.5" customHeight="1" x14ac:dyDescent="0.2">
      <c r="B10" s="1391"/>
      <c r="C10" s="1391"/>
      <c r="D10" s="1344"/>
      <c r="E10" s="1344"/>
      <c r="F10" s="1344"/>
      <c r="G10" s="1345"/>
      <c r="H10" s="1344"/>
      <c r="I10" s="1345"/>
      <c r="J10" s="1344"/>
      <c r="K10" s="1344"/>
      <c r="L10" s="322"/>
    </row>
    <row r="11" spans="1:12" ht="5.25" customHeight="1" x14ac:dyDescent="0.2">
      <c r="B11" s="322"/>
      <c r="C11" s="322"/>
      <c r="D11" s="304"/>
      <c r="E11" s="322"/>
      <c r="F11" s="322"/>
      <c r="G11" s="1313"/>
      <c r="H11" s="322"/>
      <c r="I11" s="1313"/>
      <c r="J11" s="322"/>
      <c r="K11" s="1349"/>
      <c r="L11" s="322"/>
    </row>
    <row r="12" spans="1:12" ht="13.5" customHeight="1" x14ac:dyDescent="0.2">
      <c r="B12" s="1314" t="s">
        <v>1300</v>
      </c>
      <c r="C12" s="1314"/>
      <c r="D12" s="304"/>
      <c r="E12" s="322"/>
      <c r="F12" s="2504" t="s">
        <v>2378</v>
      </c>
      <c r="G12" s="2504"/>
      <c r="H12" s="2504"/>
      <c r="I12" s="2504"/>
      <c r="J12" s="2504"/>
      <c r="K12" s="2504"/>
      <c r="L12" s="322"/>
    </row>
    <row r="13" spans="1:12" ht="9.6" customHeight="1" x14ac:dyDescent="0.2">
      <c r="B13" s="1254"/>
      <c r="C13" s="1254"/>
      <c r="D13" s="304"/>
      <c r="E13" s="322"/>
      <c r="F13" s="322"/>
      <c r="G13" s="1313"/>
      <c r="H13" s="322"/>
      <c r="I13" s="1313"/>
      <c r="J13" s="322"/>
      <c r="K13" s="1349"/>
      <c r="L13" s="322"/>
    </row>
    <row r="14" spans="1:12" ht="13.5" customHeight="1" x14ac:dyDescent="0.2">
      <c r="B14" s="1317" t="s">
        <v>1299</v>
      </c>
      <c r="C14" s="1317"/>
      <c r="D14" s="2517" t="s">
        <v>2379</v>
      </c>
      <c r="E14" s="2517"/>
      <c r="F14" s="2517"/>
      <c r="H14" s="1392" t="s">
        <v>1298</v>
      </c>
      <c r="I14" s="2518">
        <v>84.376999999999995</v>
      </c>
      <c r="J14" s="2518"/>
      <c r="K14" s="2518"/>
      <c r="L14" s="322"/>
    </row>
    <row r="15" spans="1:12" ht="9.4" customHeight="1" x14ac:dyDescent="0.2">
      <c r="B15" s="1317"/>
      <c r="C15" s="1317"/>
      <c r="D15" s="1303"/>
      <c r="E15" s="1257"/>
      <c r="F15" s="1257"/>
      <c r="G15" s="1283"/>
      <c r="H15" s="1257"/>
      <c r="I15" s="1393"/>
      <c r="J15" s="1291"/>
      <c r="K15" s="1288"/>
      <c r="L15" s="322"/>
    </row>
    <row r="16" spans="1:12" ht="13.5" customHeight="1" x14ac:dyDescent="0.2">
      <c r="B16" s="1317" t="s">
        <v>1297</v>
      </c>
      <c r="C16" s="1317"/>
      <c r="D16" s="2518" t="s">
        <v>2380</v>
      </c>
      <c r="E16" s="2518"/>
      <c r="F16" s="2518"/>
      <c r="G16" s="2518"/>
      <c r="H16" s="2518"/>
      <c r="I16" s="2518"/>
      <c r="J16" s="2518"/>
      <c r="K16" s="2518"/>
      <c r="L16" s="322"/>
    </row>
    <row r="17" spans="2:12" ht="13.5" customHeight="1" x14ac:dyDescent="0.2">
      <c r="B17" s="1317" t="s">
        <v>1296</v>
      </c>
      <c r="C17" s="1317"/>
      <c r="D17" s="2519" t="s">
        <v>2381</v>
      </c>
      <c r="E17" s="2519"/>
      <c r="F17" s="2519"/>
      <c r="G17" s="2519"/>
      <c r="H17" s="2519"/>
      <c r="I17" s="2519"/>
      <c r="J17" s="2519"/>
      <c r="K17" s="2519"/>
      <c r="L17" s="322"/>
    </row>
    <row r="18" spans="2:12" ht="9.4" customHeight="1" x14ac:dyDescent="0.2">
      <c r="B18" s="1344"/>
      <c r="C18" s="1344"/>
      <c r="D18" s="1344"/>
      <c r="E18" s="1344"/>
      <c r="F18" s="1344"/>
      <c r="G18" s="1345"/>
      <c r="H18" s="1344"/>
      <c r="I18" s="1345"/>
      <c r="J18" s="1344"/>
      <c r="K18" s="1344"/>
      <c r="L18" s="322"/>
    </row>
    <row r="19" spans="2:12" ht="13.5" customHeight="1" x14ac:dyDescent="0.2">
      <c r="B19" s="1394" t="s">
        <v>1295</v>
      </c>
      <c r="C19" s="1394"/>
      <c r="D19" s="328"/>
      <c r="E19" s="328"/>
      <c r="F19" s="328"/>
      <c r="G19" s="1395"/>
      <c r="H19" s="328"/>
      <c r="I19" s="1395"/>
      <c r="J19" s="322"/>
      <c r="K19" s="322"/>
      <c r="L19" s="322"/>
    </row>
    <row r="20" spans="2:12" ht="35.25" customHeight="1" x14ac:dyDescent="0.2">
      <c r="B20" s="2512" t="s">
        <v>2382</v>
      </c>
      <c r="C20" s="2512"/>
      <c r="D20" s="2512"/>
      <c r="E20" s="2512"/>
      <c r="F20" s="2512"/>
      <c r="G20" s="2512"/>
      <c r="H20" s="2512"/>
      <c r="I20" s="2512"/>
      <c r="J20" s="2512"/>
      <c r="K20" s="2512"/>
      <c r="L20" s="1349"/>
    </row>
    <row r="21" spans="2:12" ht="4.5" customHeight="1" x14ac:dyDescent="0.2">
      <c r="B21" s="1396"/>
      <c r="C21" s="1396"/>
      <c r="D21" s="1397"/>
      <c r="E21" s="1397"/>
      <c r="F21" s="1397"/>
      <c r="G21" s="1345"/>
      <c r="H21" s="1397"/>
      <c r="I21" s="1345"/>
      <c r="J21" s="1397"/>
      <c r="K21" s="1397"/>
      <c r="L21" s="1349"/>
    </row>
    <row r="22" spans="2:12" ht="13.35" customHeight="1" x14ac:dyDescent="0.2">
      <c r="B22" s="1394" t="s">
        <v>1735</v>
      </c>
      <c r="C22" s="1394"/>
      <c r="D22" s="322"/>
      <c r="E22" s="322"/>
      <c r="F22" s="322"/>
      <c r="G22" s="1313"/>
      <c r="H22" s="322"/>
      <c r="I22" s="1313"/>
      <c r="J22" s="322"/>
      <c r="K22" s="322"/>
      <c r="L22" s="322"/>
    </row>
    <row r="23" spans="2:12" ht="37.5" customHeight="1" x14ac:dyDescent="0.2">
      <c r="B23" s="2512" t="s">
        <v>2388</v>
      </c>
      <c r="C23" s="2512"/>
      <c r="D23" s="2512"/>
      <c r="E23" s="2512"/>
      <c r="F23" s="2512"/>
      <c r="G23" s="2512"/>
      <c r="H23" s="2512"/>
      <c r="I23" s="2512"/>
      <c r="J23" s="2512"/>
      <c r="K23" s="2512"/>
      <c r="L23" s="322"/>
    </row>
    <row r="24" spans="2:12" ht="4.5" customHeight="1" x14ac:dyDescent="0.2">
      <c r="B24" s="1396"/>
      <c r="C24" s="1396"/>
      <c r="D24" s="1344"/>
      <c r="E24" s="1344"/>
      <c r="F24" s="1344"/>
      <c r="G24" s="1345"/>
      <c r="H24" s="1344"/>
      <c r="I24" s="1345"/>
      <c r="J24" s="1344"/>
      <c r="K24" s="1344"/>
      <c r="L24" s="322"/>
    </row>
    <row r="25" spans="2:12" ht="13.5" customHeight="1" x14ac:dyDescent="0.2">
      <c r="B25" s="1394" t="s">
        <v>1736</v>
      </c>
      <c r="C25" s="1394"/>
      <c r="D25" s="322"/>
      <c r="E25" s="322"/>
      <c r="F25" s="322"/>
      <c r="G25" s="1313"/>
      <c r="H25" s="322"/>
      <c r="I25" s="1313"/>
      <c r="J25" s="322"/>
      <c r="K25" s="322"/>
      <c r="L25" s="322"/>
    </row>
    <row r="26" spans="2:12" ht="37.5" customHeight="1" x14ac:dyDescent="0.2">
      <c r="B26" s="2512" t="s">
        <v>2383</v>
      </c>
      <c r="C26" s="2512"/>
      <c r="D26" s="2512"/>
      <c r="E26" s="2512"/>
      <c r="F26" s="2512"/>
      <c r="G26" s="2512"/>
      <c r="H26" s="2512"/>
      <c r="I26" s="2512"/>
      <c r="J26" s="2512"/>
      <c r="K26" s="2512"/>
      <c r="L26" s="322"/>
    </row>
    <row r="27" spans="2:12" ht="4.5" customHeight="1" x14ac:dyDescent="0.2">
      <c r="B27" s="1398"/>
      <c r="C27" s="1398"/>
      <c r="D27" s="1398"/>
      <c r="E27" s="1344"/>
      <c r="F27" s="1344"/>
      <c r="G27" s="1345"/>
      <c r="H27" s="1344"/>
      <c r="I27" s="1345"/>
      <c r="J27" s="1344"/>
      <c r="K27" s="1344"/>
      <c r="L27" s="322"/>
    </row>
    <row r="28" spans="2:12" ht="13.5" customHeight="1" x14ac:dyDescent="0.2">
      <c r="B28" s="1394" t="s">
        <v>1737</v>
      </c>
      <c r="C28" s="1394"/>
      <c r="D28" s="322"/>
      <c r="E28" s="322"/>
      <c r="F28" s="322"/>
      <c r="G28" s="1313"/>
      <c r="H28" s="322"/>
      <c r="I28" s="1313"/>
      <c r="J28" s="322"/>
      <c r="K28" s="322"/>
      <c r="L28" s="322"/>
    </row>
    <row r="29" spans="2:12" ht="37.5" customHeight="1" x14ac:dyDescent="0.2">
      <c r="B29" s="2512" t="s">
        <v>2387</v>
      </c>
      <c r="C29" s="2512"/>
      <c r="D29" s="2512"/>
      <c r="E29" s="2512"/>
      <c r="F29" s="2512"/>
      <c r="G29" s="2512"/>
      <c r="H29" s="2512"/>
      <c r="I29" s="2512"/>
      <c r="J29" s="2512"/>
      <c r="K29" s="2512"/>
      <c r="L29" s="322"/>
    </row>
    <row r="30" spans="2:12" ht="4.5" customHeight="1" x14ac:dyDescent="0.2">
      <c r="B30" s="1396"/>
      <c r="C30" s="1396"/>
      <c r="D30" s="1344"/>
      <c r="E30" s="1344"/>
      <c r="F30" s="1344"/>
      <c r="G30" s="1345"/>
      <c r="H30" s="1344"/>
      <c r="I30" s="1345"/>
      <c r="J30" s="1344"/>
      <c r="K30" s="1344"/>
      <c r="L30" s="322"/>
    </row>
    <row r="31" spans="2:12" ht="13.5" customHeight="1" x14ac:dyDescent="0.2">
      <c r="B31" s="1394" t="s">
        <v>1294</v>
      </c>
      <c r="C31" s="1394"/>
      <c r="D31" s="322"/>
      <c r="E31" s="322"/>
      <c r="F31" s="322"/>
      <c r="G31" s="1313"/>
      <c r="H31" s="322"/>
      <c r="I31" s="1313"/>
      <c r="J31" s="322"/>
      <c r="K31" s="322"/>
      <c r="L31" s="322"/>
    </row>
    <row r="32" spans="2:12" ht="37.5" customHeight="1" x14ac:dyDescent="0.2">
      <c r="B32" s="2512" t="s">
        <v>2385</v>
      </c>
      <c r="C32" s="2512"/>
      <c r="D32" s="2512"/>
      <c r="E32" s="2512"/>
      <c r="F32" s="2512"/>
      <c r="G32" s="2512"/>
      <c r="H32" s="2512"/>
      <c r="I32" s="2512"/>
      <c r="J32" s="2512"/>
      <c r="K32" s="2512"/>
      <c r="L32" s="322"/>
    </row>
    <row r="33" spans="2:12" ht="4.5" customHeight="1" x14ac:dyDescent="0.2">
      <c r="B33" s="1396"/>
      <c r="C33" s="1396"/>
      <c r="D33" s="1344"/>
      <c r="E33" s="1344"/>
      <c r="F33" s="1344"/>
      <c r="G33" s="1345"/>
      <c r="H33" s="1344"/>
      <c r="I33" s="1345"/>
      <c r="J33" s="1344"/>
      <c r="K33" s="1344"/>
      <c r="L33" s="322"/>
    </row>
    <row r="34" spans="2:12" ht="13.5" customHeight="1" x14ac:dyDescent="0.2">
      <c r="B34" s="1314" t="s">
        <v>1293</v>
      </c>
      <c r="C34" s="1314"/>
      <c r="D34" s="322"/>
      <c r="E34" s="322"/>
      <c r="F34" s="322"/>
      <c r="G34" s="1313"/>
      <c r="H34" s="322"/>
      <c r="I34" s="1313"/>
      <c r="J34" s="322"/>
      <c r="K34" s="322"/>
      <c r="L34" s="322"/>
    </row>
    <row r="35" spans="2:12" ht="37.5" customHeight="1" x14ac:dyDescent="0.2">
      <c r="B35" s="2512" t="s">
        <v>2384</v>
      </c>
      <c r="C35" s="2512"/>
      <c r="D35" s="2512"/>
      <c r="E35" s="2512"/>
      <c r="F35" s="2512"/>
      <c r="G35" s="2512"/>
      <c r="H35" s="2512"/>
      <c r="I35" s="2512"/>
      <c r="J35" s="2512"/>
      <c r="K35" s="2512"/>
      <c r="L35" s="322"/>
    </row>
    <row r="36" spans="2:12" ht="4.5" customHeight="1" x14ac:dyDescent="0.2">
      <c r="B36" s="1396"/>
      <c r="C36" s="1396"/>
      <c r="D36" s="1344"/>
      <c r="E36" s="1344"/>
      <c r="F36" s="1344"/>
      <c r="G36" s="1345"/>
      <c r="H36" s="1344"/>
      <c r="I36" s="1345"/>
      <c r="J36" s="1344"/>
      <c r="K36" s="1344"/>
      <c r="L36" s="322"/>
    </row>
    <row r="37" spans="2:12" ht="13.5" customHeight="1" x14ac:dyDescent="0.2">
      <c r="B37" s="1314" t="s">
        <v>1292</v>
      </c>
      <c r="C37" s="1314"/>
      <c r="D37" s="322"/>
      <c r="E37" s="322"/>
      <c r="F37" s="322"/>
      <c r="G37" s="1313"/>
      <c r="H37" s="322"/>
      <c r="I37" s="1313"/>
      <c r="J37" s="322"/>
      <c r="K37" s="322"/>
      <c r="L37" s="322"/>
    </row>
    <row r="38" spans="2:12" ht="35.25" customHeight="1" x14ac:dyDescent="0.2">
      <c r="B38" s="2512" t="s">
        <v>2386</v>
      </c>
      <c r="C38" s="2512"/>
      <c r="D38" s="2512"/>
      <c r="E38" s="2512"/>
      <c r="F38" s="2512"/>
      <c r="G38" s="2512"/>
      <c r="H38" s="2512"/>
      <c r="I38" s="2512"/>
      <c r="J38" s="2512"/>
      <c r="K38" s="2512"/>
      <c r="L38" s="322"/>
    </row>
    <row r="39" spans="2:12" ht="4.5" customHeight="1" x14ac:dyDescent="0.2">
      <c r="B39" s="1332"/>
      <c r="C39" s="1332"/>
      <c r="D39" s="322"/>
      <c r="E39" s="322"/>
      <c r="F39" s="322"/>
      <c r="G39" s="1313"/>
      <c r="H39" s="322"/>
      <c r="I39" s="1313"/>
      <c r="J39" s="322"/>
      <c r="K39" s="322"/>
      <c r="L39" s="322"/>
    </row>
    <row r="40" spans="2:12" s="322" customFormat="1" ht="13.5" customHeight="1" x14ac:dyDescent="0.2">
      <c r="B40" s="1333" t="s">
        <v>1738</v>
      </c>
      <c r="C40" s="1333"/>
      <c r="D40" s="1308"/>
      <c r="E40" s="1309"/>
      <c r="F40" s="1309"/>
      <c r="G40" s="1310"/>
      <c r="H40" s="1309"/>
      <c r="I40" s="1310"/>
      <c r="J40" s="1309"/>
      <c r="K40" s="1309"/>
    </row>
    <row r="41" spans="2:12" s="322" customFormat="1" ht="33.75" customHeight="1" x14ac:dyDescent="0.2">
      <c r="B41" s="2512" t="s">
        <v>2389</v>
      </c>
      <c r="C41" s="2512"/>
      <c r="D41" s="2512"/>
      <c r="E41" s="2512"/>
      <c r="F41" s="2512"/>
      <c r="G41" s="2512"/>
      <c r="H41" s="2512"/>
      <c r="I41" s="2512"/>
      <c r="J41" s="2512"/>
      <c r="K41" s="2512"/>
    </row>
    <row r="42" spans="2:12" s="322" customFormat="1" ht="4.5" customHeight="1" x14ac:dyDescent="0.2">
      <c r="B42" s="1332"/>
      <c r="C42" s="1332"/>
      <c r="G42" s="1313"/>
      <c r="I42" s="1313"/>
    </row>
    <row r="43" spans="2:12" ht="7.5" customHeight="1" x14ac:dyDescent="0.25">
      <c r="B43" s="1399"/>
      <c r="C43" s="1399"/>
      <c r="D43" s="1400"/>
      <c r="E43" s="1400"/>
      <c r="F43" s="1400"/>
      <c r="G43" s="1401"/>
      <c r="H43" s="1400"/>
      <c r="I43" s="1401"/>
      <c r="J43" s="1400"/>
      <c r="K43" s="1400"/>
    </row>
    <row r="44" spans="2:12" ht="13.5" customHeight="1" x14ac:dyDescent="0.2">
      <c r="B44" s="1336" t="s">
        <v>1739</v>
      </c>
      <c r="C44" s="1336"/>
      <c r="D44" s="322"/>
      <c r="E44" s="322"/>
      <c r="F44" s="322"/>
    </row>
    <row r="45" spans="2:12" ht="10.5" customHeight="1" x14ac:dyDescent="0.2">
      <c r="B45" s="1337" t="s">
        <v>1740</v>
      </c>
      <c r="C45" s="1337"/>
      <c r="G45" s="317"/>
      <c r="I45" s="317"/>
    </row>
    <row r="46" spans="2:12" ht="11.1" customHeight="1" x14ac:dyDescent="0.2">
      <c r="B46" s="1337" t="s">
        <v>1741</v>
      </c>
      <c r="C46" s="1337"/>
      <c r="G46" s="317"/>
      <c r="I46" s="317"/>
    </row>
    <row r="47" spans="2:12" ht="11.1" customHeight="1" x14ac:dyDescent="0.2">
      <c r="B47" s="1337" t="s">
        <v>1742</v>
      </c>
      <c r="C47" s="1337"/>
      <c r="G47" s="317"/>
      <c r="I47" s="317"/>
    </row>
    <row r="48" spans="2:12" ht="11.1" customHeight="1" x14ac:dyDescent="0.2">
      <c r="B48" s="1337" t="s">
        <v>1743</v>
      </c>
      <c r="C48" s="1337"/>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92D050"/>
  </sheetPr>
  <dimension ref="B1:E73"/>
  <sheetViews>
    <sheetView showGridLines="0" zoomScale="110" zoomScaleNormal="110" workbookViewId="0">
      <selection activeCell="O28" sqref="O28"/>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97" t="str">
        <f>'Single Audit Cover'!A7</f>
        <v>City of Chicago SD 299</v>
      </c>
      <c r="C1" s="2497"/>
      <c r="D1" s="2497"/>
      <c r="E1" s="1402"/>
    </row>
    <row r="2" spans="2:5" s="1279" customFormat="1" ht="12.75" customHeight="1" x14ac:dyDescent="0.2">
      <c r="B2" s="2499">
        <f>'Single Audit Cover'!E7</f>
        <v>15016299025</v>
      </c>
      <c r="C2" s="2499"/>
      <c r="D2" s="2499"/>
      <c r="E2" s="1403"/>
    </row>
    <row r="3" spans="2:5" ht="12.75" customHeight="1" x14ac:dyDescent="0.2">
      <c r="B3" s="2513" t="s">
        <v>1744</v>
      </c>
      <c r="C3" s="2513"/>
      <c r="D3" s="2513"/>
      <c r="E3" s="1271"/>
    </row>
    <row r="4" spans="2:5" s="1279" customFormat="1" ht="12.75" customHeight="1" x14ac:dyDescent="0.2">
      <c r="B4" s="2523" t="str">
        <f>'Single Audit Cover'!A4</f>
        <v>Year Ending June 30, 2019</v>
      </c>
      <c r="C4" s="2523"/>
      <c r="D4" s="2523"/>
      <c r="E4" s="1404"/>
    </row>
    <row r="5" spans="2:5" s="1279" customFormat="1" ht="40.15" customHeight="1" x14ac:dyDescent="0.2">
      <c r="B5" s="1405" t="s">
        <v>1745</v>
      </c>
      <c r="C5" s="328"/>
      <c r="D5" s="328"/>
      <c r="E5" s="328"/>
    </row>
    <row r="6" spans="2:5" s="1279" customFormat="1" ht="13.5" customHeight="1" x14ac:dyDescent="0.2">
      <c r="B6" s="1406" t="s">
        <v>1310</v>
      </c>
      <c r="C6" s="1406" t="s">
        <v>1309</v>
      </c>
      <c r="D6" s="1406" t="s">
        <v>1746</v>
      </c>
    </row>
    <row r="7" spans="2:5" ht="13.5" customHeight="1" x14ac:dyDescent="0.2">
      <c r="B7" s="1407" t="s">
        <v>2140</v>
      </c>
      <c r="C7" s="324"/>
      <c r="D7" s="324"/>
      <c r="E7" s="324"/>
    </row>
    <row r="8" spans="2:5" ht="13.5" customHeight="1" x14ac:dyDescent="0.2">
      <c r="B8" s="1407"/>
      <c r="C8" s="324"/>
      <c r="D8" s="324"/>
      <c r="E8" s="324"/>
    </row>
    <row r="9" spans="2:5" ht="13.5" customHeight="1" x14ac:dyDescent="0.2">
      <c r="B9" s="1408"/>
      <c r="C9" s="323"/>
      <c r="D9" s="323"/>
      <c r="E9" s="323"/>
    </row>
    <row r="10" spans="2:5" ht="13.5" customHeight="1" x14ac:dyDescent="0.2">
      <c r="B10" s="1407"/>
      <c r="C10" s="323"/>
      <c r="D10" s="323"/>
      <c r="E10" s="323"/>
    </row>
    <row r="11" spans="2:5" ht="13.5" customHeight="1" x14ac:dyDescent="0.2">
      <c r="B11" s="1407"/>
      <c r="C11" s="323"/>
      <c r="D11" s="323"/>
      <c r="E11" s="323"/>
    </row>
    <row r="12" spans="2:5" ht="13.5" customHeight="1" x14ac:dyDescent="0.2">
      <c r="B12" s="1407"/>
      <c r="C12" s="323"/>
      <c r="D12" s="323"/>
      <c r="E12" s="323"/>
    </row>
    <row r="13" spans="2:5" ht="13.5" customHeight="1" x14ac:dyDescent="0.2">
      <c r="B13" s="1407"/>
      <c r="C13" s="323"/>
      <c r="D13" s="323"/>
      <c r="E13" s="323"/>
    </row>
    <row r="14" spans="2:5" ht="13.5" customHeight="1" x14ac:dyDescent="0.2">
      <c r="B14" s="1407"/>
      <c r="C14" s="323"/>
      <c r="D14" s="323"/>
      <c r="E14" s="323"/>
    </row>
    <row r="15" spans="2:5" ht="13.5" customHeight="1" x14ac:dyDescent="0.2">
      <c r="B15" s="1407"/>
      <c r="C15" s="323"/>
      <c r="D15" s="323"/>
      <c r="E15" s="323"/>
    </row>
    <row r="16" spans="2:5" ht="13.5" customHeight="1" x14ac:dyDescent="0.2">
      <c r="B16" s="1407"/>
      <c r="C16" s="323"/>
      <c r="D16" s="323"/>
      <c r="E16" s="323"/>
    </row>
    <row r="17" spans="2:5" ht="13.5" customHeight="1" x14ac:dyDescent="0.2">
      <c r="B17" s="1407"/>
      <c r="C17" s="323"/>
      <c r="D17" s="323"/>
      <c r="E17" s="323"/>
    </row>
    <row r="18" spans="2:5" ht="13.5" customHeight="1" x14ac:dyDescent="0.2">
      <c r="B18" s="1407"/>
      <c r="C18" s="323"/>
      <c r="D18" s="323"/>
      <c r="E18" s="323"/>
    </row>
    <row r="19" spans="2:5" ht="13.5" customHeight="1" x14ac:dyDescent="0.2">
      <c r="B19" s="1407"/>
      <c r="C19" s="323"/>
      <c r="D19" s="323"/>
      <c r="E19" s="323"/>
    </row>
    <row r="20" spans="2:5" ht="13.5" customHeight="1" x14ac:dyDescent="0.2">
      <c r="B20" s="1407"/>
      <c r="C20" s="323"/>
      <c r="D20" s="323"/>
      <c r="E20" s="323"/>
    </row>
    <row r="21" spans="2:5" ht="13.5" customHeight="1" x14ac:dyDescent="0.2">
      <c r="B21" s="1407"/>
      <c r="C21" s="323"/>
      <c r="D21" s="323"/>
      <c r="E21" s="323"/>
    </row>
    <row r="22" spans="2:5" ht="13.5" customHeight="1" x14ac:dyDescent="0.2">
      <c r="B22" s="1407"/>
      <c r="C22" s="323"/>
      <c r="D22" s="323"/>
      <c r="E22" s="323"/>
    </row>
    <row r="23" spans="2:5" ht="13.5" customHeight="1" x14ac:dyDescent="0.2">
      <c r="B23" s="1407"/>
      <c r="C23" s="323"/>
      <c r="D23" s="323"/>
      <c r="E23" s="323"/>
    </row>
    <row r="24" spans="2:5" ht="13.5" customHeight="1" x14ac:dyDescent="0.2">
      <c r="B24" s="1407"/>
      <c r="C24" s="323"/>
      <c r="D24" s="323"/>
      <c r="E24" s="323"/>
    </row>
    <row r="25" spans="2:5" ht="13.5" customHeight="1" x14ac:dyDescent="0.2">
      <c r="B25" s="1407"/>
      <c r="C25" s="323"/>
      <c r="D25" s="323"/>
      <c r="E25" s="323"/>
    </row>
    <row r="26" spans="2:5" ht="13.5" customHeight="1" x14ac:dyDescent="0.2">
      <c r="B26" s="1407"/>
      <c r="C26" s="323"/>
      <c r="D26" s="323"/>
      <c r="E26" s="323"/>
    </row>
    <row r="27" spans="2:5" ht="13.5" customHeight="1" x14ac:dyDescent="0.2">
      <c r="B27" s="1407"/>
      <c r="C27" s="323"/>
      <c r="D27" s="323"/>
      <c r="E27" s="323"/>
    </row>
    <row r="28" spans="2:5" ht="13.5" customHeight="1" x14ac:dyDescent="0.2">
      <c r="B28" s="1407"/>
      <c r="C28" s="323"/>
      <c r="D28" s="323"/>
      <c r="E28" s="323"/>
    </row>
    <row r="29" spans="2:5" ht="13.5" customHeight="1" x14ac:dyDescent="0.2">
      <c r="B29" s="1407"/>
      <c r="C29" s="323"/>
      <c r="D29" s="323"/>
      <c r="E29" s="323"/>
    </row>
    <row r="30" spans="2:5" ht="13.5" customHeight="1" x14ac:dyDescent="0.2">
      <c r="B30" s="1407"/>
      <c r="C30" s="323"/>
      <c r="D30" s="323"/>
      <c r="E30" s="323"/>
    </row>
    <row r="31" spans="2:5" ht="13.5" customHeight="1" x14ac:dyDescent="0.2">
      <c r="B31" s="1407"/>
      <c r="C31" s="323"/>
      <c r="D31" s="323"/>
      <c r="E31" s="323"/>
    </row>
    <row r="32" spans="2:5" ht="13.5" customHeight="1" x14ac:dyDescent="0.2">
      <c r="B32" s="1409"/>
      <c r="C32" s="323"/>
      <c r="D32" s="323"/>
      <c r="E32" s="323"/>
    </row>
    <row r="33" spans="2:5" ht="13.5" customHeight="1" x14ac:dyDescent="0.2">
      <c r="B33" s="1410"/>
      <c r="C33" s="323"/>
      <c r="D33" s="323"/>
      <c r="E33" s="323"/>
    </row>
    <row r="34" spans="2:5" ht="13.5" customHeight="1" x14ac:dyDescent="0.2">
      <c r="B34" s="1411"/>
      <c r="C34" s="323"/>
      <c r="D34" s="323"/>
      <c r="E34" s="323"/>
    </row>
    <row r="35" spans="2:5" ht="13.5" customHeight="1" x14ac:dyDescent="0.2">
      <c r="B35" s="1410"/>
      <c r="C35" s="323"/>
      <c r="D35" s="323"/>
      <c r="E35" s="323"/>
    </row>
    <row r="36" spans="2:5" ht="13.5" customHeight="1" x14ac:dyDescent="0.2">
      <c r="B36" s="1411"/>
      <c r="C36" s="323"/>
      <c r="D36" s="323"/>
      <c r="E36" s="323"/>
    </row>
    <row r="37" spans="2:5" ht="13.5" customHeight="1" x14ac:dyDescent="0.2">
      <c r="B37" s="1411"/>
      <c r="C37" s="323"/>
      <c r="D37" s="323"/>
      <c r="E37" s="323"/>
    </row>
    <row r="38" spans="2:5" ht="13.5" customHeight="1" x14ac:dyDescent="0.2">
      <c r="B38" s="1410"/>
      <c r="C38" s="323"/>
      <c r="D38" s="323"/>
      <c r="E38" s="323"/>
    </row>
    <row r="39" spans="2:5" ht="13.5" customHeight="1" x14ac:dyDescent="0.2">
      <c r="B39" s="1411"/>
      <c r="C39" s="323"/>
      <c r="D39" s="323"/>
      <c r="E39" s="323"/>
    </row>
    <row r="40" spans="2:5" ht="13.5" customHeight="1" x14ac:dyDescent="0.2">
      <c r="B40" s="1410"/>
      <c r="C40" s="323"/>
      <c r="D40" s="323"/>
      <c r="E40" s="323"/>
    </row>
    <row r="41" spans="2:5" ht="13.5" customHeight="1" x14ac:dyDescent="0.2">
      <c r="B41" s="1412"/>
      <c r="C41" s="323"/>
      <c r="D41" s="323"/>
      <c r="E41" s="323"/>
    </row>
    <row r="42" spans="2:5" ht="13.5" customHeight="1" x14ac:dyDescent="0.2">
      <c r="B42" s="1413"/>
      <c r="C42" s="323"/>
      <c r="D42" s="323"/>
      <c r="E42" s="323"/>
    </row>
    <row r="43" spans="2:5" ht="12.75" customHeight="1" x14ac:dyDescent="0.2">
      <c r="B43" s="1414"/>
      <c r="C43" s="1415"/>
      <c r="D43" s="1415"/>
      <c r="E43" s="323"/>
    </row>
    <row r="44" spans="2:5" ht="12.2" customHeight="1" x14ac:dyDescent="0.2">
      <c r="B44" s="1254" t="s">
        <v>1308</v>
      </c>
      <c r="C44" s="322"/>
    </row>
    <row r="45" spans="2:5" ht="12.2" customHeight="1" x14ac:dyDescent="0.2">
      <c r="B45" s="1416" t="s">
        <v>1747</v>
      </c>
    </row>
    <row r="46" spans="2:5" ht="12.2" customHeight="1" x14ac:dyDescent="0.2">
      <c r="B46" s="1416" t="s">
        <v>1748</v>
      </c>
    </row>
    <row r="47" spans="2:5" ht="12.2" customHeight="1" x14ac:dyDescent="0.2">
      <c r="B47" s="1417" t="s">
        <v>1307</v>
      </c>
    </row>
    <row r="48" spans="2:5" ht="12.2" customHeight="1" x14ac:dyDescent="0.2">
      <c r="B48" s="1417" t="s">
        <v>1306</v>
      </c>
    </row>
    <row r="49" spans="2:5" ht="12.2" customHeight="1" x14ac:dyDescent="0.2">
      <c r="B49" s="1417" t="s">
        <v>1305</v>
      </c>
    </row>
    <row r="50" spans="2:5" ht="12.2" customHeight="1" x14ac:dyDescent="0.2">
      <c r="B50" s="1417" t="s">
        <v>1304</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336"/>
    </row>
    <row r="68" spans="2:2" x14ac:dyDescent="0.2">
      <c r="B68" s="1297"/>
    </row>
    <row r="69" spans="2:2" x14ac:dyDescent="0.2">
      <c r="B69" s="1297"/>
    </row>
    <row r="70" spans="2:2" x14ac:dyDescent="0.2">
      <c r="B70" s="1337"/>
    </row>
    <row r="71" spans="2:2" x14ac:dyDescent="0.2">
      <c r="B71" s="1337"/>
    </row>
    <row r="72" spans="2:2" x14ac:dyDescent="0.2">
      <c r="B72" s="1337"/>
    </row>
    <row r="73" spans="2:2" x14ac:dyDescent="0.2">
      <c r="B73" s="1297"/>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08CFAA49-AB0A-4CD4-990D-D96CFC469B2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schemas.microsoft.com/office/2006/documentManagement/types"/>
    <ds:schemaRef ds:uri="http://schemas.microsoft.com/office/2006/metadata/properties"/>
    <ds:schemaRef ds:uri="http://schemas.microsoft.com/sharepoint/v3"/>
    <ds:schemaRef ds:uri="4d435f69-8686-490b-bd6d-b153bf22ab50"/>
    <ds:schemaRef ds:uri="http://purl.org/dc/terms/"/>
    <ds:schemaRef ds:uri="http://purl.org/dc/elements/1.1/"/>
    <ds:schemaRef ds:uri="http://purl.org/dc/dcmitype/"/>
    <ds:schemaRef ds:uri="d21dc803-237d-4c68-8692-8d731fd29118"/>
    <ds:schemaRef ds:uri="http://schemas.microsoft.com/office/infopath/2007/PartnerControls"/>
    <ds:schemaRef ds:uri="http://schemas.openxmlformats.org/package/2006/metadata/core-properties"/>
    <ds:schemaRef ds:uri="6ce3111e-7420-4802-b50a-75d4e9a0b980"/>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18</vt:i4>
      </vt:variant>
    </vt:vector>
  </HeadingPairs>
  <TitlesOfParts>
    <vt:vector size="52"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SEFA</vt:lpstr>
      <vt:lpstr>SEFA CFDA Total</vt:lpstr>
      <vt:lpstr>SEFA NOTES</vt:lpstr>
      <vt:lpstr>SF&amp;QC Sec-1</vt:lpstr>
      <vt:lpstr>SF&amp;QC Sec-2</vt:lpstr>
      <vt:lpstr>SF&amp;QC Sec-3</vt:lpstr>
      <vt:lpstr>SSPAF</vt:lpstr>
      <vt:lpstr>SEFA!Print_Area</vt:lpstr>
      <vt:lpstr>'SEFA CFDA Total'!Print_Area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SEFA!Print_Titles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(v5).xlsm</dc:title>
  <dc:creator>HEMBERGER DEBRA</dc:creator>
  <cp:lastModifiedBy>BAXTER CHRISTOPHER</cp:lastModifiedBy>
  <cp:lastPrinted>2020-02-13T15:57:14Z</cp:lastPrinted>
  <dcterms:created xsi:type="dcterms:W3CDTF">2003-10-29T19:06:34Z</dcterms:created>
  <dcterms:modified xsi:type="dcterms:W3CDTF">2020-02-14T17:18:03Z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