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078FB01-1CF1-405A-95FD-2D82465BDD2B}" xr6:coauthVersionLast="36" xr6:coauthVersionMax="36" xr10:uidLastSave="{00000000-0000-0000-0000-000000000000}"/>
  <bookViews>
    <workbookView xWindow="8610" yWindow="2730" windowWidth="17955" windowHeight="1141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8" i="181" l="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7" i="181"/>
  <c r="E37" i="181"/>
  <c r="G36" i="181"/>
  <c r="E36" i="181"/>
  <c r="G35" i="181"/>
  <c r="E35" i="181"/>
  <c r="G34" i="181"/>
  <c r="E34" i="181"/>
  <c r="G33" i="181"/>
  <c r="E33" i="181"/>
  <c r="G32" i="181"/>
  <c r="E32" i="181"/>
  <c r="G31" i="181"/>
  <c r="E31" i="181"/>
  <c r="G30" i="181"/>
  <c r="E30" i="181"/>
  <c r="G29" i="181"/>
  <c r="E29" i="181"/>
  <c r="G28" i="181"/>
  <c r="E28" i="181"/>
  <c r="G27" i="181"/>
  <c r="E27" i="181"/>
  <c r="G26" i="181"/>
  <c r="E26" i="181"/>
  <c r="G25" i="181"/>
  <c r="E25" i="181"/>
  <c r="G20" i="181"/>
  <c r="E20" i="181"/>
  <c r="G24" i="181"/>
  <c r="E24" i="181"/>
  <c r="E23" i="181"/>
  <c r="G23" i="181" s="1"/>
  <c r="G22" i="181"/>
  <c r="E22" i="181"/>
  <c r="E21" i="181"/>
  <c r="G21" i="181" s="1"/>
  <c r="G38" i="181"/>
  <c r="E38" i="181"/>
  <c r="E19" i="181"/>
  <c r="G19" i="181" l="1"/>
  <c r="D39" i="181"/>
  <c r="D80" i="36" l="1"/>
  <c r="B7797" i="106"/>
  <c r="E39" i="181"/>
  <c r="E18" i="181"/>
  <c r="F18" i="181" s="1"/>
  <c r="E17" i="181"/>
  <c r="F17" i="181" s="1"/>
  <c r="G17" i="181" l="1"/>
  <c r="G18" i="18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L367" i="29" l="1"/>
  <c r="F19" i="7"/>
  <c r="B1807" i="106" s="1"/>
  <c r="D1807" i="106" s="1"/>
  <c r="F28" i="108"/>
  <c r="F41" i="108" s="1"/>
  <c r="G43" i="108" s="1"/>
  <c r="C129" i="29"/>
  <c r="B1225" i="106" s="1"/>
  <c r="D1225" i="106" s="1"/>
  <c r="K184" i="29"/>
  <c r="F13" i="4" s="1"/>
  <c r="B2596" i="106" s="1"/>
  <c r="D2596"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14" i="29" l="1"/>
  <c r="L16" i="11"/>
  <c r="B2061" i="106" s="1"/>
  <c r="D2061" i="106" s="1"/>
  <c r="C114" i="29"/>
  <c r="B757" i="106" s="1"/>
  <c r="D757" i="106" s="1"/>
  <c r="C151" i="29"/>
  <c r="B1226" i="106" s="1"/>
  <c r="D1226" i="106" s="1"/>
  <c r="B1381" i="106"/>
  <c r="D1381"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20" i="4"/>
  <c r="J78" i="4" s="1"/>
  <c r="K17" i="4"/>
  <c r="B6223" i="106"/>
  <c r="D6223" i="106" s="1"/>
  <c r="J10" i="4"/>
  <c r="B6225" i="106" s="1"/>
  <c r="D6225" i="106" s="1"/>
  <c r="F8" i="4"/>
  <c r="F10" i="4" s="1"/>
  <c r="B4125" i="106" s="1"/>
  <c r="D4125" i="106" s="1"/>
  <c r="D8" i="146"/>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<sst xmlns="http://schemas.openxmlformats.org/spreadsheetml/2006/main" count="5152" uniqueCount="2124">
  <si>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</si>
  <si>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</si>
  <si>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</si>
  <si>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</si>
  <si>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</si>
  <si>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</si>
  <si>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</si>
  <si>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</si>
  <si>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</si>
  <si>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</si>
  <si>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</si>
  <si>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</si>
  <si>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</si>
  <si>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</si>
  <si>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</si>
  <si>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</si>
  <si>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</si>
  <si>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</si>
  <si>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</si>
  <si>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</si>
  <si>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</si>
  <si>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</si>
  <si>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</si>
  <si>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</si>
  <si>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</si>
  <si>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</si>
  <si>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</si>
  <si>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</si>
  <si>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</si>
  <si>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</si>
  <si>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</si>
  <si>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</si>
  <si>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</si>
  <si>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</si>
  <si>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</si>
  <si>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</si>
  <si>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</si>
  <si>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</si>
  <si>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</si>
  <si>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</si>
  <si>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</si>
  <si>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</si>
  <si>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</si>
  <si>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</si>
  <si>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</si>
  <si>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</si>
  <si>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</si>
  <si>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</si>
  <si>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</si>
  <si>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</si>
  <si>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</si>
  <si>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</si>
  <si>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</si>
  <si>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</si>
  <si>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</si>
  <si>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</si>
  <si>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</si>
  <si>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</si>
  <si>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</si>
  <si>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</si>
  <si>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</si>
  <si>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</si>
  <si>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</si>
  <si>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</si>
  <si>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</si>
  <si>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</si>
  <si>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</si>
  <si>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</si>
  <si>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</si>
  <si>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</si>
  <si>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</si>
  <si>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</si>
  <si>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</si>
  <si>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</si>
  <si>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</si>
  <si>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</si>
  <si>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</si>
  <si>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</si>
  <si>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</si>
  <si>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</si>
  <si>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</si>
  <si>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</si>
  <si>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</si>
  <si>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</si>
  <si>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</si>
  <si>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</si>
  <si>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</si>
  <si>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</si>
  <si>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</si>
  <si>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</si>
  <si>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</si>
  <si>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</si>
  <si>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</si>
  <si>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</si>
  <si>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</si>
  <si>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</si>
  <si>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</si>
  <si>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</si>
  <si>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</si>
  <si>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</si>
  <si>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</si>
  <si>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</si>
  <si>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</si>
  <si>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</si>
  <si>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</si>
  <si>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</si>
  <si>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</si>
  <si>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</si>
  <si>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</si>
  <si>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</si>
  <si>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</si>
  <si>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</si>
  <si>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</si>
  <si>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</si>
  <si>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</si>
  <si>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</si>
  <si>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</si>
  <si>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</si>
  <si>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</si>
  <si>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</si>
  <si>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</si>
  <si>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</si>
  <si>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</si>
  <si>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</si>
  <si>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</si>
  <si>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</si>
  <si>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</si>
  <si>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</si>
  <si>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</si>
  <si>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</si>
  <si>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</si>
  <si>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</si>
  <si>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</si>
  <si>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</si>
  <si>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</si>
  <si>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</si>
  <si>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</si>
  <si>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</si>
  <si>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</si>
  <si>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</si>
  <si>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</si>
  <si>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</si>
  <si>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</si>
  <si>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</si>
  <si>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</si>
  <si>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</si>
  <si>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</si>
  <si>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</si>
  <si>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</si>
  <si>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</si>
  <si>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</si>
  <si>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</si>
  <si>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</si>
  <si>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</si>
  <si>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</si>
  <si>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</si>
  <si>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</si>
  <si>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</si>
  <si>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</si>
  <si>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</si>
  <si>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</si>
  <si>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</si>
  <si>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</si>
  <si>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</si>
  <si>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</si>
  <si>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</si>
  <si>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</si>
  <si>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</si>
  <si>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</si>
  <si>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</si>
  <si>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</si>
  <si>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</si>
  <si>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</si>
  <si>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</si>
  <si>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</si>
  <si>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</si>
  <si>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</si>
  <si>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</si>
  <si>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</si>
  <si>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</si>
  <si>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</si>
  <si>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</si>
  <si>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</si>
  <si>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</si>
  <si>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</si>
  <si>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</si>
  <si>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</si>
  <si>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</si>
  <si>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</si>
  <si>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</si>
  <si>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</si>
  <si>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</si>
  <si>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</si>
  <si>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</si>
  <si>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</si>
  <si>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</si>
  <si>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</si>
  <si>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</si>
  <si>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</si>
  <si>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</si>
  <si>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</si>
  <si>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</si>
  <si>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</si>
  <si>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</si>
  <si>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</si>
  <si>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</si>
  <si>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</si>
  <si>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</si>
  <si>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</si>
  <si>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</si>
  <si>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</si>
  <si>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</si>
  <si>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</si>
  <si>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</si>
  <si>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</si>
  <si>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</si>
  <si>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</si>
  <si>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</si>
  <si>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</si>
  <si>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</si>
  <si>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</si>
  <si>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</si>
  <si>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</si>
  <si>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</si>
  <si>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</si>
  <si>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</si>
  <si>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</si>
  <si>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</si>
  <si>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</si>
  <si>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</si>
  <si>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</si>
  <si>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</si>
  <si>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</si>
  <si>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</si>
  <si>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</si>
  <si>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</si>
  <si>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</si>
  <si>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</si>
  <si>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</si>
  <si>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</si>
  <si>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</si>
  <si>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</si>
  <si>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</si>
  <si>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</si>
  <si>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</si>
  <si>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</si>
  <si>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</si>
  <si>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</si>
  <si>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</si>
  <si>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</si>
  <si>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</si>
  <si>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</si>
  <si>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</si>
  <si>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</si>
  <si>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</si>
  <si>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</si>
  <si>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</si>
  <si>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</si>
  <si>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</si>
  <si>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</si>
  <si>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</si>
  <si>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</si>
  <si>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</si>
  <si>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</si>
  <si>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</si>
  <si>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</si>
  <si>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</si>
  <si>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</si>
  <si>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</si>
  <si>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</si>
  <si>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</si>
  <si>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</si>
  <si>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</si>
  <si>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</si>
  <si>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</si>
  <si>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</si>
  <si>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</si>
  <si>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</si>
  <si>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</si>
  <si>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</si>
  <si>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</si>
  <si>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</si>
  <si>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</si>
  <si>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</si>
  <si>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</si>
  <si>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</si>
  <si>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</si>
  <si>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</si>
  <si>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</si>
  <si>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</si>
  <si>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</si>
  <si>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</si>
  <si>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</si>
  <si>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</si>
  <si>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</si>
  <si>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</si>
  <si>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</si>
  <si>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</si>
  <si>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</si>
  <si>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</si>
  <si>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</si>
  <si>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</si>
  <si>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</si>
  <si>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</si>
  <si>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</si>
  <si>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</si>
  <si>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</si>
  <si>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</si>
  <si>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</si>
  <si>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</si>
  <si>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</si>
  <si>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</si>
  <si>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</si>
  <si>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</si>
  <si>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</si>
  <si>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</si>
  <si>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</si>
  <si>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</si>
  <si>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</si>
  <si>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</si>
  <si>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</si>
  <si>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</si>
  <si>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</si>
  <si>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</si>
  <si>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</si>
  <si>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</si>
  <si>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</si>
  <si>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</si>
  <si>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</si>
  <si>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</si>
  <si>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</si>
  <si>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</si>
  <si>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</si>
  <si>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</si>
  <si>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</si>
  <si>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</si>
  <si>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</si>
  <si>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</si>
  <si>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</si>
  <si>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</si>
  <si>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</si>
  <si>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</si>
  <si>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</si>
  <si>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</si>
  <si>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</si>
  <si>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</si>
  <si>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</si>
  <si>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</si>
  <si>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</si>
  <si>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</si>
  <si>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</si>
  <si>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</si>
  <si>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</si>
  <si>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</si>
  <si>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</si>
  <si>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</si>
  <si>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</si>
  <si>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</si>
  <si>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</si>
  <si>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</si>
  <si>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</si>
  <si>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</si>
  <si>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</si>
  <si>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</si>
  <si>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</si>
  <si>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</si>
  <si>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</si>
  <si>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</si>
  <si>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</si>
  <si>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</si>
  <si>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</si>
  <si>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</si>
  <si>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</si>
  <si>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</si>
  <si>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</si>
  <si>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</si>
  <si>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</si>
  <si>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</si>
  <si>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</si>
  <si>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</si>
  <si>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</si>
  <si>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</si>
  <si>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</si>
  <si>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</si>
  <si>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</si>
  <si>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</si>
  <si>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</si>
  <si>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</si>
  <si>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</si>
  <si>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</si>
  <si>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</si>
  <si>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</si>
  <si>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</si>
  <si>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</si>
  <si>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</si>
  <si>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</si>
  <si>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</si>
  <si>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</si>
  <si>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</si>
  <si>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</si>
  <si>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</si>
  <si>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</si>
  <si>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</si>
  <si>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</si>
  <si>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</si>
  <si>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</si>
  <si>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</si>
  <si>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</si>
  <si>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</si>
  <si>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</si>
  <si>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</si>
  <si>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</si>
  <si>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</si>
  <si>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</si>
  <si>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</si>
  <si>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</si>
  <si>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</si>
  <si>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</si>
  <si>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</si>
  <si>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</si>
  <si>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</si>
  <si>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</si>
  <si>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</si>
  <si>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</si>
  <si>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</si>
  <si>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</si>
  <si>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</si>
  <si>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</si>
  <si>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</si>
  <si>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</si>
  <si>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</si>
  <si>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</si>
  <si>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</si>
  <si>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</si>
  <si>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</si>
  <si>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</si>
  <si>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</si>
  <si>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</si>
  <si>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</si>
  <si>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</si>
  <si>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</si>
  <si>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</si>
  <si>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</si>
  <si>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</si>
  <si>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</si>
  <si>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</si>
  <si>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</si>
  <si>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</si>
  <si>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</si>
  <si>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</si>
  <si>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</si>
  <si>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</si>
  <si>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</si>
  <si>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</si>
  <si>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</si>
  <si>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</si>
  <si>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</si>
  <si>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</si>
  <si>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</si>
  <si>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</si>
  <si>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</si>
  <si>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</si>
  <si>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</si>
  <si>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</si>
  <si>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</si>
  <si>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</si>
  <si>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</si>
  <si>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</si>
  <si>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</si>
  <si>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</si>
  <si>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</si>
  <si>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</si>
  <si>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</si>
  <si>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</si>
  <si>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</si>
  <si>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</si>
  <si>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</si>
  <si>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</si>
  <si>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</si>
  <si>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</si>
  <si>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</si>
  <si>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</si>
  <si>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</si>
  <si>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</si>
  <si>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</si>
  <si>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</si>
  <si>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</si>
  <si>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</si>
  <si>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</si>
  <si>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</si>
  <si>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</si>
  <si>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</si>
  <si>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</si>
  <si>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</si>
  <si>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</si>
  <si>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</si>
  <si>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</si>
  <si>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</si>
  <si>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</si>
  <si>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</si>
  <si>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</si>
  <si>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</si>
  <si>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</si>
  <si>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</si>
  <si>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</si>
  <si>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</si>
  <si>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</si>
  <si>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</si>
  <si>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</si>
  <si>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</si>
  <si>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</si>
  <si>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</si>
  <si>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</si>
  <si>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</si>
  <si>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</si>
  <si>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</si>
  <si>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</si>
  <si>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</si>
  <si>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</si>
  <si>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</si>
  <si>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</si>
  <si>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</si>
  <si>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</si>
  <si>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</si>
  <si>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</si>
  <si>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</si>
  <si>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</si>
  <si>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</si>
  <si>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</si>
  <si>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</si>
  <si>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</si>
  <si>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</si>
  <si>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</si>
  <si>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</si>
  <si>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</si>
  <si>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</si>
  <si>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</si>
  <si>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</si>
  <si>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</si>
  <si>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</si>
  <si>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</si>
  <si>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</si>
  <si>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</si>
  <si>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</si>
  <si>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</si>
  <si>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</si>
  <si>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</si>
  <si>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</si>
  <si>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</si>
  <si>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</si>
  <si>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</si>
  <si>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</si>
  <si>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</si>
  <si>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</si>
  <si>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</si>
  <si>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</si>
  <si>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</si>
  <si>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</si>
  <si>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</si>
  <si>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</si>
  <si>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</si>
  <si>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</si>
  <si>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</si>
  <si>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</si>
  <si>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</si>
  <si>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</si>
  <si>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</si>
  <si>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</si>
  <si>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</si>
  <si>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</si>
  <si>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</si>
  <si>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</si>
  <si>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</si>
  <si>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</si>
  <si>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</si>
  <si>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</si>
  <si>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</si>
  <si>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</si>
  <si>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</si>
  <si>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</si>
  <si>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</si>
  <si>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</si>
  <si>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</si>
  <si>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</si>
  <si>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</si>
  <si>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</si>
  <si>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</si>
  <si>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</si>
  <si>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</si>
  <si>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</si>
  <si>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</si>
  <si>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</si>
  <si>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</si>
  <si>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</si>
  <si>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</si>
  <si>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</si>
  <si>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</si>
  <si>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</si>
  <si>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</si>
  <si>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</si>
  <si>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</si>
  <si>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</si>
  <si>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</si>
  <si>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</si>
  <si>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</si>
  <si>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</si>
  <si>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</si>
  <si>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</si>
  <si>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</si>
  <si>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</si>
  <si>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</si>
  <si>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</si>
  <si>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</si>
  <si>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</si>
  <si>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</si>
  <si>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</si>
  <si>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</si>
  <si>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</si>
  <si>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</si>
  <si>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</si>
  <si>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</si>
  <si>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</si>
  <si>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</si>
  <si>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</si>
  <si>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</si>
  <si>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</si>
  <si>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</si>
  <si>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</si>
  <si>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</si>
  <si>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</si>
  <si>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</si>
  <si>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</si>
  <si>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</si>
  <si>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</si>
  <si>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</si>
  <si>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</si>
  <si>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</si>
  <si>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</si>
  <si>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</si>
  <si>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</si>
  <si>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</si>
  <si>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</si>
  <si>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</si>
  <si>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</si>
  <si>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</si>
  <si>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</si>
  <si>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</si>
  <si>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</si>
  <si>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</si>
  <si>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</si>
  <si>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</si>
  <si>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</si>
  <si>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</si>
  <si>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</si>
  <si>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</si>
  <si>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</si>
  <si>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</si>
  <si>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</si>
  <si>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</si>
  <si>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</si>
  <si>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</si>
  <si>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</si>
  <si>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</si>
  <si>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</si>
  <si>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</si>
  <si>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</si>
  <si>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</si>
  <si>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</si>
  <si>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</si>
  <si>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</si>
  <si>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</si>
  <si>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</si>
  <si>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</si>
  <si>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</si>
  <si>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</si>
  <si>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</si>
  <si>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</si>
  <si>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</si>
  <si>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</si>
  <si>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</si>
  <si>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</si>
  <si>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</si>
  <si>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</si>
  <si>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</si>
  <si>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</si>
  <si>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</si>
  <si>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</si>
  <si>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</si>
  <si>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</si>
  <si>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</si>
  <si>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</si>
  <si>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</si>
  <si>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</si>
  <si>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</si>
  <si>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</si>
  <si>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</si>
  <si>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</si>
  <si>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</si>
  <si>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</si>
  <si>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</si>
  <si>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</si>
  <si>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</si>
  <si>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</si>
  <si>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</si>
  <si>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</si>
  <si>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</si>
  <si>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</si>
  <si>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</si>
  <si>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</si>
  <si>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</si>
  <si>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</si>
  <si>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</si>
  <si>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</si>
  <si>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</si>
  <si>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</si>
  <si>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</si>
  <si>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</si>
  <si>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</si>
  <si>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</si>
  <si>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</si>
  <si>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</si>
  <si>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</si>
  <si>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</si>
  <si>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</si>
  <si>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</si>
  <si>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</si>
  <si>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</si>
  <si>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</si>
  <si>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</si>
  <si>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</si>
  <si>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</si>
  <si>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</si>
  <si>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</si>
  <si>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</si>
  <si>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</si>
  <si>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</si>
  <si>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</si>
  <si>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</si>
  <si>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</si>
  <si>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</si>
  <si>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</si>
  <si>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</si>
  <si>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</si>
  <si>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</si>
  <si>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</si>
  <si>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</si>
  <si>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</si>
  <si>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</si>
  <si>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</si>
  <si>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</si>
  <si>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</si>
  <si>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</si>
  <si>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</si>
  <si>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</si>
  <si>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</si>
  <si>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</si>
  <si>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</si>
  <si>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</si>
  <si>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</si>
  <si>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</si>
  <si>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</si>
  <si>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</si>
  <si>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</si>
  <si>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</si>
  <si>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</si>
  <si>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</si>
  <si>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</si>
  <si>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</si>
  <si>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</si>
  <si>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</si>
  <si>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</si>
  <si>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</si>
  <si>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</si>
  <si>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</si>
  <si>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</si>
  <si>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</si>
  <si>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</si>
  <si>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</si>
  <si>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</si>
  <si>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</si>
  <si>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</si>
  <si>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</si>
  <si>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</si>
  <si>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</si>
  <si>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</si>
  <si>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</si>
  <si>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</si>
  <si>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</si>
  <si>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</si>
  <si>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</si>
  <si>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</si>
  <si>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</si>
  <si>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</si>
  <si>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</si>
  <si>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</si>
  <si>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</si>
  <si>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</si>
  <si>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</si>
  <si>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</si>
  <si>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</si>
  <si>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</si>
  <si>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</si>
  <si>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</si>
  <si>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</si>
  <si>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</si>
  <si>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</si>
  <si>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</si>
  <si>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</si>
  <si>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</si>
  <si>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</si>
  <si>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</si>
  <si>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</si>
  <si>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</si>
  <si>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</si>
  <si>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</si>
  <si>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</si>
  <si>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</si>
  <si>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</si>
  <si>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</si>
  <si>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</si>
  <si>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</si>
  <si>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</si>
  <si>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</si>
  <si>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</si>
  <si>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</si>
  <si>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</si>
  <si>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</si>
  <si>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</si>
  <si>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</si>
  <si>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</si>
  <si>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</si>
  <si>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</si>
  <si>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</si>
  <si>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</si>
  <si>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</si>
  <si>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</si>
  <si>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</si>
  <si>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</si>
  <si>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</si>
  <si>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</si>
  <si>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</si>
  <si>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</si>
  <si>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</si>
  <si>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</si>
  <si>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</si>
  <si>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</si>
  <si>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</si>
  <si>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</si>
  <si>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</si>
  <si>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</si>
  <si>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</si>
  <si>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</si>
  <si>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</si>
  <si>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</si>
  <si>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</si>
  <si>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</si>
  <si>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</si>
  <si>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</si>
  <si>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</si>
  <si>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</si>
  <si>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</si>
  <si>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</si>
  <si>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</si>
  <si>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</si>
  <si>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</si>
  <si>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</si>
  <si>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</si>
  <si>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</si>
  <si>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</si>
  <si>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</si>
  <si>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</si>
  <si>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</si>
  <si>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</si>
  <si>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</si>
  <si>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</si>
  <si>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</si>
  <si>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</si>
  <si>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</si>
  <si>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</si>
  <si>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</si>
  <si>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</si>
  <si>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</si>
  <si>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</si>
  <si>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</si>
  <si>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</si>
  <si>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</si>
  <si>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</si>
  <si>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</si>
  <si>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</si>
  <si>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</si>
  <si>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</si>
  <si>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</si>
  <si>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</si>
  <si>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</si>
  <si>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</si>
  <si>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</si>
  <si>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</si>
  <si>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</si>
  <si>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</si>
  <si>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</si>
  <si>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</si>
  <si>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</si>
  <si>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</si>
  <si>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</si>
  <si>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</si>
  <si>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</si>
  <si>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</si>
  <si>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</si>
  <si>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</si>
  <si>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</si>
  <si>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</si>
  <si>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</si>
  <si>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</si>
  <si>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</si>
  <si>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</si>
  <si>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</si>
  <si>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</si>
  <si>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</si>
  <si>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</si>
  <si>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</si>
  <si>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</si>
  <si>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</si>
  <si>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</si>
  <si>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</si>
  <si>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</si>
  <si>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</si>
  <si>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</si>
  <si>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</si>
  <si>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</si>
  <si>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</si>
  <si>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</si>
  <si>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</si>
  <si>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</si>
  <si>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</si>
  <si>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</si>
  <si>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</si>
  <si>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</si>
  <si>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</si>
  <si>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</si>
  <si>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</si>
  <si>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</si>
  <si>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</si>
  <si>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</si>
  <si>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</si>
  <si>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</si>
  <si>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</si>
  <si>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</si>
  <si>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</si>
  <si>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</si>
  <si>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</si>
  <si>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</si>
  <si>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</si>
  <si>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</si>
  <si>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</si>
  <si>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</si>
  <si>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</si>
  <si>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</si>
  <si>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</si>
  <si>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</si>
  <si>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</si>
  <si>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</si>
  <si>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</si>
  <si>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</si>
  <si>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</si>
  <si>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</si>
  <si>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</si>
  <si>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</si>
  <si>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</si>
  <si>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</si>
  <si>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</si>
  <si>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</si>
  <si>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</si>
  <si>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</si>
  <si>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</si>
  <si>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</si>
  <si>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</si>
  <si>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</si>
  <si>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</si>
  <si>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</si>
  <si>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</si>
  <si>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</si>
  <si>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</si>
  <si>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</si>
  <si>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</si>
  <si>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</si>
  <si>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</si>
  <si>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</si>
  <si>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</si>
  <si>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</si>
  <si>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</si>
  <si>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</si>
  <si>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</si>
  <si>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</si>
  <si>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</si>
  <si>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</si>
  <si>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</si>
  <si>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</si>
  <si>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</si>
  <si>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</si>
  <si>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</si>
  <si>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</si>
  <si>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</si>
  <si>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</si>
  <si>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</si>
  <si>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</si>
  <si>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</si>
  <si>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</si>
  <si>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</si>
  <si>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</si>
  <si>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</si>
  <si>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</si>
  <si>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</si>
  <si>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</si>
  <si>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</si>
  <si>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</si>
  <si>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</si>
  <si>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</si>
  <si>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</si>
  <si>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</si>
  <si>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</si>
  <si>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</si>
  <si>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</si>
  <si>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</si>
  <si>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</si>
  <si>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</si>
  <si>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</si>
  <si>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</si>
  <si>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</si>
  <si>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</si>
  <si>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</si>
  <si>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</si>
  <si>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</si>
  <si>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</si>
  <si>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</si>
  <si>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</si>
  <si>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</si>
  <si>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</si>
  <si>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</si>
  <si>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</si>
  <si>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</si>
  <si>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</si>
  <si>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</si>
  <si>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</si>
  <si>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</si>
  <si>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</si>
  <si>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</si>
  <si>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</si>
  <si>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</si>
  <si>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</si>
  <si>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</si>
  <si>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</si>
  <si>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</si>
  <si>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</si>
  <si>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</si>
  <si>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</si>
  <si>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</si>
  <si>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</si>
  <si>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</si>
  <si>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</si>
  <si>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</si>
  <si>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</si>
  <si>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</si>
  <si>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</si>
  <si>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</si>
  <si>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</si>
  <si>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</si>
  <si>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</si>
  <si>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</si>
  <si>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</si>
  <si>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</si>
  <si>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</si>
  <si>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</si>
  <si>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</si>
  <si>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</si>
  <si>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</si>
  <si>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</si>
  <si>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</si>
  <si>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</si>
  <si>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</si>
  <si>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</si>
  <si>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</si>
  <si>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</si>
  <si>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</si>
  <si>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</si>
  <si>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</si>
  <si>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</si>
  <si>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</si>
  <si>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</si>
  <si>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</si>
  <si>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</si>
  <si>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</si>
  <si>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</si>
  <si>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</si>
  <si>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</si>
  <si>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</si>
  <si>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</si>
  <si>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</si>
  <si>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</si>
  <si>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</si>
  <si>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</si>
  <si>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</si>
  <si>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</si>
  <si>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</si>
  <si>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</si>
  <si>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</si>
  <si>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</si>
  <si>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</si>
  <si>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</si>
  <si>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</si>
  <si>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</si>
  <si>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</si>
  <si>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</si>
  <si>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</si>
  <si>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</si>
  <si>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</si>
  <si>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</si>
  <si>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</si>
  <si>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</si>
  <si>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</si>
  <si>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</si>
  <si>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</si>
  <si>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</si>
  <si>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</si>
  <si>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</si>
  <si>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</si>
  <si>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</si>
  <si>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</si>
  <si>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</si>
  <si>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</si>
  <si>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</si>
  <si>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</si>
  <si>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</si>
  <si>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</si>
  <si>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</si>
  <si>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</si>
  <si>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</si>
  <si>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</si>
  <si>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</si>
  <si>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</si>
  <si>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</si>
  <si>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</si>
  <si>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</si>
  <si>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</si>
  <si>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</si>
  <si>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</si>
  <si>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</si>
  <si>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</si>
  <si>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</si>
  <si>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</si>
  <si>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</si>
  <si>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</si>
  <si>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</si>
  <si>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</si>
  <si>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</si>
  <si>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</si>
  <si>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</si>
  <si>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</si>
  <si>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</si>
  <si>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</si>
  <si>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</si>
  <si>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</si>
  <si>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</si>
  <si>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</si>
  <si>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</si>
  <si>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</si>
  <si>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</si>
  <si>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</si>
  <si>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</si>
  <si>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</si>
  <si>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</si>
  <si>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</si>
  <si>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</si>
  <si>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</si>
  <si>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</si>
  <si>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</si>
  <si>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</si>
  <si>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</si>
  <si>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</si>
  <si>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</si>
  <si>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</si>
  <si>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</si>
  <si>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</si>
  <si>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</si>
  <si>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</si>
  <si>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</si>
  <si>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</si>
  <si>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</si>
  <si>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</si>
  <si>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</si>
  <si>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</si>
  <si>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</si>
  <si>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</si>
  <si>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</si>
  <si>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</si>
  <si>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</si>
  <si>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</si>
  <si>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</si>
  <si>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</si>
  <si>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</si>
  <si>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</si>
  <si>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</si>
  <si>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</si>
  <si>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</si>
  <si>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</si>
  <si>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</si>
  <si>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</si>
  <si>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</si>
  <si>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</si>
  <si>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</si>
  <si>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</si>
  <si>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</si>
  <si>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</si>
  <si>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</si>
  <si>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</si>
  <si>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</si>
  <si>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</si>
  <si>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</si>
  <si>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</si>
  <si>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</si>
  <si>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</si>
  <si>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</si>
  <si>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</si>
  <si>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</si>
  <si>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</si>
  <si>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</si>
  <si>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</si>
  <si>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</si>
  <si>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</si>
  <si>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</si>
  <si>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</si>
  <si>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</si>
  <si>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</si>
  <si>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</si>
  <si>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</si>
  <si>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</si>
  <si>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</si>
  <si>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</si>
  <si>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</si>
  <si>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</si>
  <si>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</si>
  <si>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</si>
  <si>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</si>
  <si>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</si>
  <si>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</si>
  <si>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</si>
  <si>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</si>
  <si>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</si>
  <si>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</si>
  <si>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</si>
  <si>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</si>
  <si>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</si>
  <si>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</si>
  <si>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</si>
  <si>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</si>
  <si>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</si>
  <si>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</si>
  <si>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</si>
  <si>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</si>
  <si>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</si>
  <si>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</si>
  <si>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</si>
  <si>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</si>
  <si>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</si>
  <si>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</si>
  <si>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</si>
  <si>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</si>
  <si>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</si>
  <si>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</si>
  <si>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</si>
  <si>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</si>
  <si>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</si>
  <si>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</si>
  <si>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</si>
  <si>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</si>
  <si>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</si>
  <si>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</si>
  <si>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</si>
  <si>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</si>
  <si>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</si>
  <si>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</si>
  <si>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</si>
  <si>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</si>
  <si>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</si>
  <si>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</si>
  <si>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</si>
  <si>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</si>
  <si>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</si>
  <si>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</si>
  <si>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</si>
  <si>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</si>
  <si>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</si>
  <si>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</si>
  <si>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</si>
  <si>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</si>
  <si>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</si>
  <si>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</si>
  <si>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</si>
  <si>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</si>
  <si>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</si>
  <si>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</si>
  <si>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</si>
  <si>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</si>
  <si>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</si>
  <si>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</si>
  <si>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</si>
  <si>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</si>
  <si>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</si>
  <si>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</si>
  <si>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</si>
  <si>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</si>
  <si>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</si>
  <si>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</si>
  <si>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</si>
  <si>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</si>
  <si>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</si>
  <si>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</si>
  <si>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</si>
  <si>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</si>
  <si>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</si>
  <si>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</si>
  <si>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</si>
  <si>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</si>
  <si>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</si>
  <si>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</si>
  <si>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</si>
  <si>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</si>
  <si>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</si>
  <si>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</si>
  <si>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</si>
  <si>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</si>
  <si>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</si>
  <si>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</si>
  <si>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</si>
  <si>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</si>
  <si>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</si>
  <si>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</si>
  <si>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</si>
  <si>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</si>
  <si>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</si>
  <si>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</si>
  <si>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</si>
  <si>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</si>
  <si>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</si>
  <si>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</si>
  <si>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</si>
  <si>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</si>
  <si>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</si>
  <si>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</si>
  <si>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</si>
  <si>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</si>
  <si>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</si>
  <si>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</si>
  <si>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</si>
  <si>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</si>
  <si>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</si>
  <si>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</si>
  <si>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</si>
  <si>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</si>
  <si>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</si>
  <si>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</si>
  <si>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</si>
  <si>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</si>
  <si>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</si>
  <si>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</si>
  <si>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</si>
  <si>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</si>
  <si>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</si>
  <si>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</si>
  <si>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</si>
  <si>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</si>
  <si>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</si>
  <si>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</si>
  <si>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</si>
  <si>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</si>
  <si>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</si>
  <si>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</si>
  <si>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</si>
  <si>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</si>
  <si>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</si>
  <si>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</si>
  <si>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</si>
  <si>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</si>
  <si>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</si>
  <si>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</si>
  <si>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</si>
  <si>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</si>
  <si>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</si>
  <si>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</si>
  <si>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</si>
  <si>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</si>
  <si>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</si>
  <si>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</si>
  <si>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</si>
  <si>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</si>
  <si>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</si>
  <si>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</si>
  <si>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</si>
  <si>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</si>
  <si>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</si>
  <si>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</si>
  <si>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</si>
  <si>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</si>
  <si>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</si>
  <si>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</si>
  <si>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</si>
  <si>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</si>
  <si>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</si>
  <si>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</si>
  <si>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</si>
  <si>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</si>
  <si>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</si>
  <si>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</si>
  <si>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</si>
  <si>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</si>
  <si>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</si>
  <si>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</si>
  <si>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</si>
  <si>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</si>
  <si>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</si>
  <si>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</si>
  <si>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</si>
  <si>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</si>
  <si>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</si>
  <si>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</si>
  <si>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</si>
  <si>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</si>
  <si>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</si>
  <si>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</si>
  <si>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</si>
  <si>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</si>
  <si>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</si>
  <si>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</si>
  <si>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</si>
  <si>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</si>
  <si>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</si>
  <si>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</si>
  <si>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</si>
  <si>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</si>
  <si>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</si>
  <si>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</si>
  <si>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</si>
  <si>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</si>
  <si>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</si>
  <si>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</si>
  <si>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</si>
  <si>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</si>
  <si>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</si>
  <si>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</si>
  <si>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</si>
  <si>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</si>
  <si>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</si>
  <si>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</si>
  <si>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</si>
  <si>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</si>
  <si>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</si>
  <si>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</si>
  <si>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</si>
  <si>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</si>
  <si>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</si>
  <si>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</si>
  <si>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</si>
  <si>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</si>
  <si>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</si>
  <si>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</si>
  <si>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</si>
  <si>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</si>
  <si>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</si>
  <si>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</si>
  <si>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</si>
  <si>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</si>
  <si>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</si>
  <si>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</si>
  <si>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</si>
  <si>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</si>
  <si>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</si>
  <si>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</si>
  <si>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</si>
  <si>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</si>
  <si>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</si>
  <si>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</si>
  <si>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</si>
  <si>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</si>
  <si>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</si>
  <si>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</si>
  <si>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</si>
  <si>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</si>
  <si>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</si>
  <si>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</si>
  <si>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</si>
  <si>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</si>
  <si>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</si>
  <si>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</si>
  <si>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</si>
  <si>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</si>
  <si>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</si>
  <si>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</si>
  <si>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</si>
  <si>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</si>
  <si>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</si>
  <si>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</si>
  <si>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</si>
  <si>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</si>
  <si>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</si>
  <si>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</si>
  <si>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</si>
  <si>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</si>
  <si>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</si>
  <si>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</si>
  <si>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</si>
  <si>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</si>
  <si>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</si>
  <si>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</si>
  <si>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</si>
  <si>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</si>
  <si>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</si>
  <si>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</si>
  <si>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</si>
  <si>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</si>
  <si>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</si>
  <si>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</si>
  <si>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</si>
  <si>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</si>
  <si>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</si>
  <si>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</si>
  <si>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</si>
  <si>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</si>
  <si>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</si>
  <si>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</si>
  <si>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</si>
  <si>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</si>
  <si>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</si>
  <si>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</si>
  <si>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</si>
  <si>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</si>
  <si>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</si>
  <si>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</si>
  <si>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</si>
  <si>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</si>
  <si>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</si>
  <si>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</si>
  <si>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</si>
  <si>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</si>
  <si>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</si>
  <si>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</si>
  <si>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</si>
  <si>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</si>
  <si>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</si>
  <si>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</si>
  <si>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</si>
  <si>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</si>
  <si>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</si>
  <si>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</si>
  <si>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</si>
  <si>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</si>
  <si>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</si>
  <si>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</si>
  <si>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</si>
  <si>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</si>
  <si>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</si>
  <si>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</si>
  <si>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</si>
  <si>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</si>
  <si>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</si>
  <si>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</si>
  <si>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</si>
  <si>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</si>
  <si>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</si>
  <si>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</si>
  <si>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</si>
  <si>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</si>
  <si>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</si>
  <si>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</si>
  <si>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</si>
  <si>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</si>
  <si>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</si>
  <si>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</si>
  <si>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</si>
  <si>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</si>
  <si>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</si>
  <si>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</si>
  <si>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</si>
  <si>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</si>
  <si>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</si>
  <si>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</si>
  <si>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</si>
  <si>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</si>
  <si>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</si>
  <si>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</si>
  <si>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</si>
  <si>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</si>
  <si>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</si>
  <si>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</si>
  <si>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</si>
  <si>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</si>
  <si>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</si>
  <si>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</si>
  <si>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</si>
  <si>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</si>
  <si>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</si>
  <si>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</si>
  <si>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</si>
  <si>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</si>
  <si>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</si>
  <si>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</si>
  <si>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</si>
  <si>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</si>
  <si>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</si>
  <si>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</si>
  <si>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</si>
  <si>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</si>
  <si>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</si>
  <si>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</si>
  <si>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</si>
  <si>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</si>
  <si>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</si>
  <si>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</si>
  <si>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</si>
  <si>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</si>
  <si>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</si>
  <si>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</si>
  <si>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</si>
  <si>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</si>
  <si>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</si>
  <si>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</si>
  <si>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</si>
  <si>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</si>
  <si>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</si>
  <si>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</si>
  <si>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</si>
  <si>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</si>
  <si>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</si>
  <si>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</si>
  <si>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</si>
  <si>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</si>
  <si>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</si>
  <si>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</si>
  <si>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</si>
  <si>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</si>
  <si>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</si>
  <si>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</si>
  <si>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</si>
  <si>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</si>
  <si>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</si>
  <si>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</si>
  <si>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</si>
  <si>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</si>
  <si>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</si>
  <si>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</si>
  <si>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</si>
  <si>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</si>
  <si>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</si>
  <si>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</si>
  <si>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</si>
  <si>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</si>
  <si>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</si>
  <si>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</si>
  <si>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</si>
  <si>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</si>
  <si>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</si>
  <si>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</si>
  <si>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</si>
  <si>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</si>
  <si>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</si>
  <si>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</si>
  <si>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</si>
  <si>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</si>
  <si>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</si>
  <si>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</si>
  <si>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</si>
  <si>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</si>
  <si>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</si>
  <si>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</si>
  <si>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</si>
  <si>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</si>
  <si>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</si>
  <si>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</si>
  <si>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</si>
  <si>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</si>
  <si>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</si>
  <si>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</si>
  <si>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</si>
  <si>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</si>
  <si>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</si>
  <si>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</si>
  <si>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</si>
  <si>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</si>
  <si>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</si>
  <si>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</si>
  <si>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</si>
  <si>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</si>
  <si>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</si>
  <si>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</si>
  <si>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</si>
  <si>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</si>
  <si>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</si>
  <si>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</si>
  <si>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</si>
  <si>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</si>
  <si>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</si>
  <si>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</si>
  <si>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</si>
  <si>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</si>
  <si>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</si>
  <si>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</si>
  <si>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</si>
  <si>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</si>
  <si>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</si>
  <si>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</si>
  <si>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</si>
  <si>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</si>
  <si>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</si>
  <si>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</si>
  <si>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</si>
  <si>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</si>
  <si>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</si>
  <si>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</si>
  <si>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</si>
  <si>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</si>
  <si>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</si>
  <si>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</si>
  <si>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</si>
  <si>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</si>
  <si>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</si>
  <si>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</si>
  <si>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</si>
  <si>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</si>
  <si>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</si>
  <si>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</si>
  <si>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</si>
  <si>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</si>
  <si>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</si>
  <si>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</si>
  <si>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</si>
  <si>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</si>
  <si>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</si>
  <si>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</si>
  <si>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</si>
  <si>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</si>
  <si>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</si>
  <si>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</si>
  <si>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</si>
  <si>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</si>
  <si>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</si>
  <si>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</si>
  <si>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</si>
  <si>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</si>
  <si>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</si>
  <si>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</si>
  <si>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</si>
  <si>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</si>
  <si>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</si>
  <si>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</si>
  <si>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</si>
  <si>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</si>
  <si>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</si>
  <si>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</si>
  <si>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</si>
  <si>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</si>
  <si>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</si>
  <si>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</si>
  <si>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</si>
  <si>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</si>
  <si>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</si>
  <si>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</si>
  <si>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</si>
  <si>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</si>
  <si>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</si>
  <si>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</si>
  <si>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</si>
  <si>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</si>
  <si>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</si>
  <si>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</si>
  <si>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</si>
  <si>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</si>
  <si>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</si>
  <si>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</si>
  <si>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</si>
  <si>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</si>
  <si>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</si>
  <si>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</si>
  <si>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</si>
  <si>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</si>
  <si>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</si>
  <si>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</si>
  <si>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</si>
  <si>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</si>
  <si>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</si>
  <si>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</si>
  <si>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</si>
  <si>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</si>
  <si>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</si>
  <si>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</si>
  <si>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</si>
  <si>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</si>
  <si>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</si>
  <si>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</si>
  <si>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</si>
  <si>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</si>
  <si>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</si>
  <si>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</si>
  <si>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</si>
  <si>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</si>
  <si>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</si>
  <si>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</si>
  <si>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</si>
  <si>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</si>
  <si>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</si>
  <si>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</si>
  <si>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</si>
  <si>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</si>
  <si>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</si>
  <si>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</si>
  <si>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</si>
  <si>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</si>
  <si>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</si>
  <si>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</si>
  <si>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</si>
  <si>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</si>
  <si>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</si>
  <si>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</si>
  <si>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</si>
  <si>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</si>
  <si>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</si>
  <si>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</si>
  <si>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</si>
  <si>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</si>
  <si>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</si>
  <si>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</si>
  <si>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</si>
  <si>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</si>
  <si>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</si>
  <si>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</si>
  <si>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</si>
  <si>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</si>
  <si>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</si>
  <si>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</si>
  <si>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</si>
  <si>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</si>
  <si>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</si>
  <si>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</si>
  <si>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</si>
  <si>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</si>
  <si>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</si>
  <si>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</si>
  <si>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</si>
  <si>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</si>
  <si>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</si>
  <si>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</si>
  <si>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</si>
  <si>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</si>
  <si>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</si>
  <si>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</si>
  <si>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</si>
  <si>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</si>
  <si>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</si>
  <si>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</si>
  <si>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</si>
  <si>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</si>
  <si>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</si>
  <si>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</si>
  <si>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</si>
  <si>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</si>
  <si>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</si>
  <si>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</si>
  <si>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</si>
  <si>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</si>
  <si>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</si>
  <si>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</si>
  <si>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</si>
  <si>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</si>
  <si>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</si>
  <si>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</si>
  <si>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</si>
  <si>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</si>
  <si>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</si>
  <si>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</si>
  <si>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</si>
  <si>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</si>
  <si>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</si>
  <si>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</si>
  <si>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</si>
  <si>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</si>
  <si>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</si>
  <si>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</si>
  <si>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</si>
  <si>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</si>
  <si>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</si>
  <si>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</si>
  <si>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</si>
  <si>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</si>
  <si>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</si>
  <si>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</si>
  <si>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</si>
  <si>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</si>
  <si>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</si>
  <si>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</si>
  <si>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</si>
  <si>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</si>
  <si>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</si>
  <si>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</si>
  <si>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</si>
  <si>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</si>
  <si>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</si>
  <si>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</si>
  <si>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</si>
  <si>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</si>
  <si>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</si>
  <si>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</si>
  <si>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</si>
  <si>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</si>
  <si>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</si>
  <si>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</si>
  <si>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</si>
  <si>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</si>
  <si>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</si>
  <si>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</si>
  <si>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</si>
  <si>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</si>
  <si>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</si>
  <si>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</si>
  <si>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</si>
  <si>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</si>
  <si>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</si>
  <si>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</si>
  <si>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</si>
  <si>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</si>
  <si>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</si>
  <si>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</si>
  <si>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</si>
  <si>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</si>
  <si>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</si>
  <si>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</si>
  <si>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</si>
  <si>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</si>
  <si>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</si>
  <si>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</si>
  <si>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</si>
  <si>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</si>
  <si>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</si>
  <si>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</si>
  <si>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</si>
  <si>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</si>
  <si>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</si>
  <si>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</si>
  <si>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</si>
  <si>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</si>
  <si>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</si>
  <si>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</si>
  <si>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</si>
  <si>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</si>
  <si>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</si>
  <si>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</si>
  <si>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</si>
  <si>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</si>
  <si>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</si>
  <si>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</si>
  <si>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</si>
  <si>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</si>
  <si>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</si>
  <si>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</si>
  <si>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</si>
  <si>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</si>
  <si>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</si>
  <si>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</si>
  <si>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</si>
  <si>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</si>
  <si>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</si>
  <si>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</si>
  <si>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</si>
  <si>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</si>
  <si>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</si>
  <si>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</si>
  <si>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</si>
  <si>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</si>
  <si>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</si>
  <si>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</si>
  <si>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</si>
  <si>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</si>
  <si>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</si>
  <si>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</si>
  <si>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</si>
  <si>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</si>
  <si>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</si>
  <si>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</si>
  <si>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</si>
  <si>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</si>
  <si>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</si>
  <si>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</si>
  <si>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</si>
  <si>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</si>
  <si>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</si>
  <si>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</si>
  <si>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</si>
  <si>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</si>
  <si>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</si>
  <si>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</si>
  <si>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</si>
  <si>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</si>
  <si>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</si>
  <si>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</si>
  <si>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</si>
  <si>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</si>
  <si>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</si>
  <si>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</si>
  <si>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</si>
  <si>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</si>
  <si>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</si>
  <si>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</si>
  <si>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</si>
  <si>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</si>
  <si>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</si>
  <si>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</si>
  <si>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</si>
  <si>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</si>
  <si>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</si>
  <si>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</si>
  <si>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</si>
  <si>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</si>
  <si>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</si>
  <si>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</si>
  <si>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</si>
  <si>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</si>
  <si>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</si>
  <si>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</si>
  <si>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</si>
  <si>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</si>
  <si>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</si>
  <si>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</si>
  <si>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</si>
  <si>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</si>
  <si>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</si>
  <si>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</si>
  <si>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</si>
  <si>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</si>
  <si>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</si>
  <si>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</si>
  <si>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</si>
  <si>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</si>
  <si>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</si>
  <si>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</si>
  <si>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</si>
  <si>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</si>
  <si>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</si>
  <si>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</si>
  <si>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</si>
  <si>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</si>
  <si>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</si>
  <si>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</si>
  <si>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</si>
  <si>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</si>
  <si>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</si>
  <si>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</si>
  <si>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</si>
  <si>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</si>
  <si>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</si>
  <si>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</si>
  <si>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</si>
  <si>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</si>
  <si>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</si>
  <si>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</si>
  <si>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</si>
  <si>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</si>
  <si>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</si>
  <si>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</si>
  <si>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</si>
  <si>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 xml:space="preserve">Washington </t>
  </si>
  <si>
    <t>750 East Gorman Street</t>
  </si>
  <si>
    <t>Nashville</t>
  </si>
  <si>
    <t>mbrink@nashville49.org</t>
  </si>
  <si>
    <t>Michael Brink</t>
  </si>
  <si>
    <t>618-327-4500</t>
  </si>
  <si>
    <t>618-327-4503</t>
  </si>
  <si>
    <t>Emling &amp; Hoffman, PC</t>
  </si>
  <si>
    <t>Donald L Hoffman</t>
  </si>
  <si>
    <t>1191 West Saint Louis Street</t>
  </si>
  <si>
    <t>IL</t>
  </si>
  <si>
    <t>618-327-4375</t>
  </si>
  <si>
    <t>618-327-4376</t>
  </si>
  <si>
    <t>060-004252</t>
  </si>
  <si>
    <t>donhoffman@emlingcpa.com</t>
  </si>
  <si>
    <t>Ron Daniels</t>
  </si>
  <si>
    <t>rdaniels@roe13.org</t>
  </si>
  <si>
    <t>618-594-2432</t>
  </si>
  <si>
    <t>618-594-7192</t>
  </si>
  <si>
    <t>#20 - See Findings 2019-001 and 2019-002.</t>
  </si>
  <si>
    <t xml:space="preserve">Detailed property records are not presently maintained; consequently, we are unable to express an opinion on the General Fixed Assets Account Group.              </t>
  </si>
  <si>
    <t>2012A</t>
  </si>
  <si>
    <t>Page 10: Line 72:  Education:  Kindergarten and Pre-K Snacks and Milk</t>
  </si>
  <si>
    <t>Page 10:  Line  81:  Education Fund:  Athletic Concession sales</t>
  </si>
  <si>
    <t>Page 11:  Line 106: Education Fund:  Jr. Hornets Club Receipts</t>
  </si>
  <si>
    <t>Page 11:  Line 107: Operations &amp; Maintenace Fund:  Verizon, AT&amp;T E-Rate Reimbursements</t>
  </si>
  <si>
    <t>Page 12:  Line 168:  Education Fund:  Illinois State Library Grant</t>
  </si>
  <si>
    <t>Segregation of Duties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</si>
  <si>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</si>
  <si>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</si>
  <si>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</si>
  <si>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</si>
  <si>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 xml:space="preserve">The School District should segregate or rotate duties so that no one individual handles a transaction from its inception to its completion.  While the School District's current staffing arrangement may not permit an adequate segregation of duties in all respects for an effective system of internal control  procedures, it is important that the personnel and management is aware of this condition.  </t>
  </si>
  <si>
    <t>The School District is aware of this condition.  They will review their staffing arrangement, assignment of duties, and employee bonding.</t>
  </si>
  <si>
    <t>2018-001</t>
  </si>
  <si>
    <t>2018-002</t>
  </si>
  <si>
    <t>Lack of Certified Staff on Hand</t>
  </si>
  <si>
    <t>Not implemented due to limited resources.</t>
  </si>
  <si>
    <t>Transportation -Pupil Trans - Purchased Service</t>
  </si>
  <si>
    <t>40-2550-300</t>
  </si>
  <si>
    <t>Schmale Bus Service</t>
  </si>
  <si>
    <t>x</t>
  </si>
  <si>
    <t>Nashville High School District #99</t>
  </si>
  <si>
    <t>Aramark Food Services</t>
  </si>
  <si>
    <t>Egyptian Trust Insurance Co., Prairie State Insurance Coop</t>
  </si>
  <si>
    <t>ROE 13 and Nashville High School District #99</t>
  </si>
  <si>
    <t>Kaskaskia Special Education District</t>
  </si>
  <si>
    <t>Washington County School District</t>
  </si>
  <si>
    <t>NA</t>
  </si>
  <si>
    <t xml:space="preserve">Emling &amp; Hoffman, PC </t>
  </si>
  <si>
    <t>Management is currently confident with the abilities of the accounting staff to prepare interim financial statements.  The School District has also accepted the additional risk associated with the auditor drafting the year end basic financial statements including the notes to the basic financial statements.  Mangament will review, approve and take responsibility fo the audit adjustments and basic finanical statments.</t>
  </si>
  <si>
    <t>The School District should review the additional costs it would incur to prepare the financial statements internally with the corresponding reduction of risk associated with material misstatment of the School District's basic finanical statements.</t>
  </si>
  <si>
    <t>The School District has not retained an individual to specifically monitor standards promulgated by the American Institute of Certified Public Accountants as they relate to full disclosure financial reporting.  Preparation of full disclosure year end basic financial statements is not an assigned function for the School District accounting staff.</t>
  </si>
  <si>
    <t>Lack of sufficient expertise for full disclosure year end basic financial statement preparation could result in controls not being effective in preventing or detecting material misstatments particularly in the related footnotes to the basic financial statements.</t>
  </si>
  <si>
    <t>Although the auditor can propose adjustment and assist in assembling or drafting the basic financial statements, the auditor cannot establish or maintain the School District's internal controls, including monitoring ongoing activities, since doing so would impair the auditor's independence.</t>
  </si>
  <si>
    <t>The School District prepares interim financial reports using software specifically designed for school district financial reporting.  For year end reporting purposes, the School District relies on the auditor to prepare drafts of full disclosure basic finanical statements (including footnotes) in a format acceptabel by ISBE.  The School District currently lacks sufficient expertise to prepare year end, full disclosure basic financial statements without significant assistance from the auditor, but does possess sufficient skills, knowledge or experience to approve the journal entries and the draft basic financial statments.</t>
  </si>
  <si>
    <t>Current Government Auditing Standards require the School District to designate a qualified management level individual to be responsible and accountable for overseeing the drafting of the School District's basic financial statements and footnotes in accordance with the regualatory basis of accounting, which is a basis of accounting other than accounting principles generally accepted in the United States of America.</t>
  </si>
  <si>
    <t>618-327-3055</t>
  </si>
  <si>
    <t>Nashville CCSD 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</si>
</sst>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3" fillId="0" borderId="22" xfId="3" applyNumberFormat="1" applyFont="1" applyBorder="1" applyAlignment="1" applyProtection="1">
      <alignment horizontal="left" vertical="center" wrapText="1"/>
      <protection locked="0"/>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8" fontId="54"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0</xdr:row>
          <xdr:rowOff>95250</xdr:rowOff>
        </xdr:from>
        <xdr:to>
          <xdr:col>1</xdr:col>
          <xdr:colOff>981075</xdr:colOff>
          <xdr:row>4</xdr:row>
          <xdr:rowOff>133350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1302327</xdr:colOff>
          <xdr:row>0</xdr:row>
          <xdr:rowOff>85725</xdr:rowOff>
        </xdr:from>
        <xdr:to>
          <xdr:col>1</xdr:col>
          <xdr:colOff>2216727</xdr:colOff>
          <xdr:row>4</xdr:row>
          <xdr:rowOff>134216</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xdr:row>
          <xdr:rowOff>104775</xdr:rowOff>
        </xdr:from>
        <xdr:to>
          <xdr:col>1</xdr:col>
          <xdr:colOff>990600</xdr:colOff>
          <xdr:row>10</xdr:row>
          <xdr:rowOff>142875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1285875</xdr:colOff>
          <xdr:row>6</xdr:row>
          <xdr:rowOff>142875</xdr:rowOff>
        </xdr:from>
        <xdr:to>
          <xdr:col>1</xdr:col>
          <xdr:colOff>2200275</xdr:colOff>
          <xdr:row>11</xdr:row>
          <xdr:rowOff>19050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FFC71826-38B9-41E1-85B3-A153F39CB5C6}"/>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A281F19-B5D1-4AF2-BCB5-7888E5800265}"/>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view="pageBreakPreview" zoomScaleNormal="110" zoomScaleSheetLayoutView="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4" t="s">
        <v>405</v>
      </c>
      <c r="J1" s="1985"/>
      <c r="K1" s="1985"/>
      <c r="L1" s="1985"/>
      <c r="M1" s="1985"/>
      <c r="N1" s="1985"/>
      <c r="O1" s="1985"/>
      <c r="P1" s="1985"/>
      <c r="Q1" s="1985"/>
      <c r="R1" s="1985"/>
      <c r="S1" s="1985"/>
    </row>
    <row r="2" spans="1:28" ht="12" customHeight="1" x14ac:dyDescent="0.2">
      <c r="A2" s="47" t="s">
        <v>1990</v>
      </c>
      <c r="D2" s="48"/>
      <c r="I2" s="1986" t="s">
        <v>979</v>
      </c>
      <c r="J2" s="1985"/>
      <c r="K2" s="1985"/>
      <c r="L2" s="1985"/>
      <c r="M2" s="1985"/>
      <c r="N2" s="1985"/>
      <c r="O2" s="1985"/>
      <c r="P2" s="1985"/>
      <c r="Q2" s="1985"/>
      <c r="R2" s="1985"/>
      <c r="S2" s="1985"/>
    </row>
    <row r="3" spans="1:28" ht="12" customHeight="1" x14ac:dyDescent="0.2">
      <c r="A3" s="155" t="s">
        <v>1942</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2064</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2064</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13095049004</v>
      </c>
      <c r="B13" s="2020"/>
      <c r="C13" s="2020"/>
      <c r="D13" s="2020"/>
      <c r="E13" s="2020"/>
      <c r="F13" s="2020"/>
      <c r="G13" s="2020"/>
      <c r="H13" s="2021"/>
      <c r="I13" s="31"/>
      <c r="J13" s="30"/>
      <c r="K13" s="28"/>
      <c r="L13" s="30"/>
      <c r="M13" s="30"/>
      <c r="N13" s="30"/>
      <c r="O13" s="30"/>
      <c r="P13" s="30"/>
      <c r="Q13" s="30"/>
      <c r="R13" s="30"/>
      <c r="S13" s="30"/>
      <c r="T13" s="2024" t="s">
        <v>2072</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2065</v>
      </c>
      <c r="B15" s="2022"/>
      <c r="C15" s="2022"/>
      <c r="D15" s="2022"/>
      <c r="E15" s="2022"/>
      <c r="F15" s="2022"/>
      <c r="G15" s="2022"/>
      <c r="H15" s="2023"/>
      <c r="T15" s="2028" t="s">
        <v>2073</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2123</v>
      </c>
      <c r="B17" s="1979"/>
      <c r="C17" s="1979"/>
      <c r="D17" s="1979"/>
      <c r="E17" s="1979"/>
      <c r="F17" s="1979"/>
      <c r="G17" s="1979"/>
      <c r="H17" s="2004"/>
      <c r="T17" s="2035" t="s">
        <v>2074</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2066</v>
      </c>
      <c r="B19" s="1964"/>
      <c r="C19" s="1964"/>
      <c r="D19" s="1964"/>
      <c r="E19" s="1964"/>
      <c r="F19" s="1964"/>
      <c r="G19" s="1964"/>
      <c r="H19" s="1944"/>
      <c r="I19" s="30"/>
      <c r="J19" s="99"/>
      <c r="K19" s="40"/>
      <c r="L19" s="38"/>
      <c r="M19" s="112" t="s">
        <v>315</v>
      </c>
      <c r="P19" s="27"/>
      <c r="Q19" s="27"/>
      <c r="R19" s="27"/>
      <c r="S19" s="31"/>
      <c r="T19" s="2018" t="s">
        <v>2067</v>
      </c>
      <c r="U19" s="1943"/>
      <c r="V19" s="1943"/>
      <c r="W19" s="1944"/>
      <c r="X19" s="2033" t="s">
        <v>2075</v>
      </c>
      <c r="Y19" s="2034"/>
      <c r="Z19" s="2031">
        <v>62263</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2067</v>
      </c>
      <c r="B21" s="1943"/>
      <c r="C21" s="1943"/>
      <c r="D21" s="1943"/>
      <c r="E21" s="1943"/>
      <c r="F21" s="1943"/>
      <c r="G21" s="1943"/>
      <c r="H21" s="1944"/>
      <c r="I21" s="1998" t="s">
        <v>678</v>
      </c>
      <c r="J21" s="1993"/>
      <c r="K21" s="1993"/>
      <c r="L21" s="1993"/>
      <c r="M21" s="1993"/>
      <c r="N21" s="1993"/>
      <c r="O21" s="1993"/>
      <c r="P21" s="1993"/>
      <c r="Q21" s="1993"/>
      <c r="R21" s="1993"/>
      <c r="S21" s="1999"/>
      <c r="T21" s="2042" t="s">
        <v>2076</v>
      </c>
      <c r="U21" s="2043"/>
      <c r="V21" s="2043"/>
      <c r="W21" s="2043"/>
      <c r="X21" s="2048" t="s">
        <v>2077</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t="s">
        <v>2068</v>
      </c>
      <c r="B23" s="1996"/>
      <c r="C23" s="1996"/>
      <c r="D23" s="1996"/>
      <c r="E23" s="1996"/>
      <c r="F23" s="1996"/>
      <c r="G23" s="1996"/>
      <c r="H23" s="1997"/>
      <c r="T23" s="1978" t="s">
        <v>2078</v>
      </c>
      <c r="U23" s="2041"/>
      <c r="V23" s="2041"/>
      <c r="W23" s="2041"/>
      <c r="X23" s="2045">
        <v>43831</v>
      </c>
      <c r="Y23" s="2046"/>
      <c r="Z23" s="2046"/>
      <c r="AA23" s="2047"/>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62263</v>
      </c>
      <c r="B25" s="1943"/>
      <c r="C25" s="1943"/>
      <c r="D25" s="1943"/>
      <c r="E25" s="1943"/>
      <c r="F25" s="1943"/>
      <c r="G25" s="1943"/>
      <c r="H25" s="1944"/>
      <c r="I25" s="113"/>
      <c r="J25" s="1967"/>
      <c r="K25" s="1967"/>
      <c r="L25" s="1967"/>
      <c r="M25" s="1967"/>
      <c r="N25" s="1967"/>
      <c r="O25" s="1967"/>
      <c r="P25" s="1967"/>
      <c r="Q25" s="1967"/>
      <c r="R25" s="1967"/>
      <c r="S25" s="1968"/>
      <c r="T25" s="2038" t="s">
        <v>2079</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48" t="s">
        <v>2064</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2069</v>
      </c>
      <c r="B38" s="1979"/>
      <c r="C38" s="1979"/>
      <c r="D38" s="1979"/>
      <c r="E38" s="1979"/>
      <c r="F38" s="1943"/>
      <c r="G38" s="1943"/>
      <c r="H38" s="1944"/>
      <c r="I38" s="1971"/>
      <c r="J38" s="1972"/>
      <c r="K38" s="1972"/>
      <c r="L38" s="1972"/>
      <c r="M38" s="1972"/>
      <c r="N38" s="1972"/>
      <c r="O38" s="1972"/>
      <c r="P38" s="1973"/>
      <c r="Q38" s="1973"/>
      <c r="R38" s="1973"/>
      <c r="S38" s="1974"/>
      <c r="T38" s="2028" t="s">
        <v>2080</v>
      </c>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2068</v>
      </c>
      <c r="B40" s="1957"/>
      <c r="C40" s="1958"/>
      <c r="D40" s="1958"/>
      <c r="E40" s="1958"/>
      <c r="F40" s="1959"/>
      <c r="G40" s="1959"/>
      <c r="H40" s="1960"/>
      <c r="I40" s="1981"/>
      <c r="J40" s="1982"/>
      <c r="K40" s="1982"/>
      <c r="L40" s="1982"/>
      <c r="M40" s="1982"/>
      <c r="N40" s="1982"/>
      <c r="O40" s="1982"/>
      <c r="P40" s="1982"/>
      <c r="Q40" s="1982"/>
      <c r="R40" s="1982"/>
      <c r="S40" s="1983"/>
      <c r="T40" s="1981" t="s">
        <v>2081</v>
      </c>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2122</v>
      </c>
      <c r="B42" s="1962"/>
      <c r="C42" s="1963"/>
      <c r="D42" s="1961" t="s">
        <v>2071</v>
      </c>
      <c r="E42" s="1962"/>
      <c r="F42" s="1962"/>
      <c r="G42" s="1962"/>
      <c r="H42" s="1963"/>
      <c r="I42" s="1945"/>
      <c r="J42" s="1946"/>
      <c r="K42" s="1946"/>
      <c r="L42" s="1946"/>
      <c r="M42" s="1946"/>
      <c r="N42" s="1946"/>
      <c r="O42" s="1947"/>
      <c r="P42" s="1980"/>
      <c r="Q42" s="1946"/>
      <c r="R42" s="1946"/>
      <c r="S42" s="1947"/>
      <c r="T42" s="1945" t="s">
        <v>2082</v>
      </c>
      <c r="U42" s="1946"/>
      <c r="V42" s="1946"/>
      <c r="W42" s="1947"/>
      <c r="X42" s="1980" t="s">
        <v>2083</v>
      </c>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horizontalDpi="4294967293" verticalDpi="4294967293"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BreakPreview" topLeftCell="A6" colorId="8" zoomScaleNormal="110" zoomScaleSheetLayoutView="100" workbookViewId="0">
      <selection activeCell="F52" sqref="F5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4" t="s">
        <v>1801</v>
      </c>
      <c r="B2" s="1528" t="s">
        <v>1948</v>
      </c>
      <c r="C2" s="714" t="s">
        <v>1949</v>
      </c>
      <c r="D2" s="714" t="s">
        <v>1950</v>
      </c>
      <c r="E2" s="714" t="s">
        <v>1951</v>
      </c>
      <c r="F2" s="714" t="s">
        <v>1952</v>
      </c>
    </row>
    <row r="3" spans="1:6" ht="12" customHeight="1" x14ac:dyDescent="0.2">
      <c r="A3" s="2185"/>
      <c r="B3" s="1525"/>
      <c r="C3" s="1526"/>
      <c r="D3" s="1527" t="s">
        <v>256</v>
      </c>
      <c r="E3" s="1526"/>
      <c r="F3" s="1527" t="s">
        <v>257</v>
      </c>
    </row>
    <row r="4" spans="1:6" ht="13.7" customHeight="1" x14ac:dyDescent="0.2">
      <c r="A4" s="715" t="s">
        <v>1155</v>
      </c>
      <c r="B4" s="1748">
        <f>'Revenues 9-14'!C5</f>
        <v>2360485</v>
      </c>
      <c r="C4" s="1524"/>
      <c r="D4" s="1751">
        <f>B4-C4</f>
        <v>2360485</v>
      </c>
      <c r="E4" s="1524">
        <v>2569158</v>
      </c>
      <c r="F4" s="1751">
        <f>E4-C4</f>
        <v>2569158</v>
      </c>
    </row>
    <row r="5" spans="1:6" ht="13.7" customHeight="1" x14ac:dyDescent="0.2">
      <c r="A5" s="715" t="s">
        <v>870</v>
      </c>
      <c r="B5" s="1749">
        <f>'Revenues 9-14'!D5</f>
        <v>334337</v>
      </c>
      <c r="C5" s="585"/>
      <c r="D5" s="1752">
        <f t="shared" ref="D5:D18" si="0">B5-C5</f>
        <v>334337</v>
      </c>
      <c r="E5" s="585">
        <v>342000</v>
      </c>
      <c r="F5" s="1752">
        <f>E5-C5</f>
        <v>342000</v>
      </c>
    </row>
    <row r="6" spans="1:6" ht="13.7" customHeight="1" x14ac:dyDescent="0.2">
      <c r="A6" s="715" t="s">
        <v>411</v>
      </c>
      <c r="B6" s="1749">
        <f>'Revenues 9-14'!E5</f>
        <v>233078</v>
      </c>
      <c r="C6" s="585"/>
      <c r="D6" s="1752">
        <f t="shared" si="0"/>
        <v>233078</v>
      </c>
      <c r="E6" s="585"/>
      <c r="F6" s="1752">
        <f t="shared" ref="F6:F18" si="1">E6-C6</f>
        <v>0</v>
      </c>
    </row>
    <row r="7" spans="1:6" ht="13.7" customHeight="1" x14ac:dyDescent="0.2">
      <c r="A7" s="715" t="s">
        <v>155</v>
      </c>
      <c r="B7" s="1749">
        <f>'Revenues 9-14'!F5</f>
        <v>229548</v>
      </c>
      <c r="C7" s="585"/>
      <c r="D7" s="1752">
        <f t="shared" si="0"/>
        <v>229548</v>
      </c>
      <c r="E7" s="585">
        <v>230000</v>
      </c>
      <c r="F7" s="1752">
        <f t="shared" si="1"/>
        <v>230000</v>
      </c>
    </row>
    <row r="8" spans="1:6" ht="13.7" customHeight="1" x14ac:dyDescent="0.2">
      <c r="A8" s="715" t="s">
        <v>1179</v>
      </c>
      <c r="B8" s="1749">
        <f>'Revenues 9-14'!G5</f>
        <v>69873</v>
      </c>
      <c r="C8" s="585"/>
      <c r="D8" s="1752">
        <f t="shared" si="0"/>
        <v>69873</v>
      </c>
      <c r="E8" s="585">
        <v>55000</v>
      </c>
      <c r="F8" s="1752">
        <f t="shared" si="1"/>
        <v>55000</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60579</v>
      </c>
      <c r="C10" s="585"/>
      <c r="D10" s="1752">
        <f t="shared" si="0"/>
        <v>60579</v>
      </c>
      <c r="E10" s="585">
        <v>50000</v>
      </c>
      <c r="F10" s="1752">
        <f t="shared" si="1"/>
        <v>50000</v>
      </c>
    </row>
    <row r="11" spans="1:6" x14ac:dyDescent="0.2">
      <c r="A11" s="715" t="s">
        <v>409</v>
      </c>
      <c r="B11" s="1749">
        <f>'Revenues 9-14'!J5</f>
        <v>179653</v>
      </c>
      <c r="C11" s="585"/>
      <c r="D11" s="1752">
        <f t="shared" si="0"/>
        <v>179653</v>
      </c>
      <c r="E11" s="585">
        <v>180000</v>
      </c>
      <c r="F11" s="1752">
        <f t="shared" si="1"/>
        <v>180000</v>
      </c>
    </row>
    <row r="12" spans="1:6" ht="13.7" customHeight="1" x14ac:dyDescent="0.2">
      <c r="A12" s="715" t="s">
        <v>157</v>
      </c>
      <c r="B12" s="1749">
        <f>'Revenues 9-14'!K5</f>
        <v>54898</v>
      </c>
      <c r="C12" s="585"/>
      <c r="D12" s="1752">
        <f t="shared" si="0"/>
        <v>54898</v>
      </c>
      <c r="E12" s="585">
        <v>55000</v>
      </c>
      <c r="F12" s="1752">
        <f t="shared" si="1"/>
        <v>55000</v>
      </c>
    </row>
    <row r="13" spans="1:6" ht="13.7" customHeight="1" x14ac:dyDescent="0.2">
      <c r="A13" s="715" t="s">
        <v>936</v>
      </c>
      <c r="B13" s="1749">
        <f>SUM('Revenues 9-14'!C6:D6)</f>
        <v>15970</v>
      </c>
      <c r="C13" s="585"/>
      <c r="D13" s="1752">
        <f t="shared" si="0"/>
        <v>15970</v>
      </c>
      <c r="E13" s="585">
        <v>16000</v>
      </c>
      <c r="F13" s="1752">
        <f t="shared" si="1"/>
        <v>16000</v>
      </c>
    </row>
    <row r="14" spans="1:6" ht="13.7" customHeight="1" x14ac:dyDescent="0.2">
      <c r="A14" s="715" t="s">
        <v>410</v>
      </c>
      <c r="B14" s="1749">
        <f>SUM('Revenues 9-14'!C7:D7,'Revenues 9-14'!F7:H7)</f>
        <v>21966</v>
      </c>
      <c r="C14" s="585"/>
      <c r="D14" s="1752">
        <f t="shared" si="0"/>
        <v>21966</v>
      </c>
      <c r="E14" s="585">
        <v>22000</v>
      </c>
      <c r="F14" s="1752">
        <f t="shared" si="1"/>
        <v>22000</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69873</v>
      </c>
      <c r="C16" s="585"/>
      <c r="D16" s="1752">
        <f t="shared" si="0"/>
        <v>69873</v>
      </c>
      <c r="E16" s="585">
        <v>55000</v>
      </c>
      <c r="F16" s="1752">
        <f t="shared" si="1"/>
        <v>55000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3630260</v>
      </c>
      <c r="C19" s="1750">
        <f>SUM(C4:C18)</f>
        <v>0</v>
      </c>
      <c r="D19" s="1750">
        <f>SUM(D4:D18)</f>
        <v>3630260</v>
      </c>
      <c r="E19" s="1750">
        <f>SUM(E4:E18)</f>
        <v>3574158</v>
      </c>
      <c r="F19" s="1750">
        <f>SUM(F4:F18)</f>
        <v>3574158</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topLeftCell="A17" colorId="8" zoomScaleNormal="110" zoomScaleSheetLayoutView="100" workbookViewId="0">
      <selection activeCell="F52" sqref="F5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1801</v>
      </c>
      <c r="B2" s="2212"/>
      <c r="C2" s="1882" t="s">
        <v>1953</v>
      </c>
      <c r="D2" s="723" t="s">
        <v>1954</v>
      </c>
      <c r="E2" s="723" t="s">
        <v>1955</v>
      </c>
      <c r="F2" s="1882" t="s">
        <v>1956</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4">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7" t="s">
        <v>631</v>
      </c>
      <c r="B15" s="2198"/>
      <c r="C15" s="1754">
        <f>SUM(C6:C14)</f>
        <v>0</v>
      </c>
      <c r="D15" s="1754">
        <f>SUM(D6:D14)</f>
        <v>0</v>
      </c>
      <c r="E15" s="1754">
        <f>SUM(E6:E14)</f>
        <v>0</v>
      </c>
      <c r="F15" s="1754">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4">
        <f>SUM(C17+D17)-E17</f>
        <v>0</v>
      </c>
    </row>
    <row r="18" spans="1:11" ht="12.75" customHeight="1" thickTop="1" thickBot="1" x14ac:dyDescent="0.25">
      <c r="A18" s="2192" t="s">
        <v>6</v>
      </c>
      <c r="B18" s="2193"/>
      <c r="C18" s="726"/>
      <c r="D18" s="585"/>
      <c r="E18" s="726"/>
      <c r="F18" s="1754">
        <f>SUM(C18+D18)-E18</f>
        <v>0</v>
      </c>
    </row>
    <row r="19" spans="1:11" ht="12.75" customHeight="1" thickTop="1" thickBot="1" x14ac:dyDescent="0.25">
      <c r="A19" s="2192" t="s">
        <v>388</v>
      </c>
      <c r="B19" s="2193"/>
      <c r="C19" s="726"/>
      <c r="D19" s="585"/>
      <c r="E19" s="726"/>
      <c r="F19" s="1754">
        <f>SUM(C19+D19)-E19</f>
        <v>0</v>
      </c>
    </row>
    <row r="20" spans="1:11" ht="12.75" customHeight="1" thickTop="1" thickBot="1" x14ac:dyDescent="0.25">
      <c r="A20" s="2192" t="s">
        <v>448</v>
      </c>
      <c r="B20" s="2193"/>
      <c r="C20" s="726"/>
      <c r="D20" s="585"/>
      <c r="E20" s="726"/>
      <c r="F20" s="1754">
        <f>SUM(C20+D20)-E20</f>
        <v>0</v>
      </c>
    </row>
    <row r="21" spans="1:11" ht="14.25" thickTop="1" thickBot="1" x14ac:dyDescent="0.25">
      <c r="A21" s="2197" t="s">
        <v>632</v>
      </c>
      <c r="B21" s="2198"/>
      <c r="C21" s="1754">
        <f>SUM(C17:C20)</f>
        <v>0</v>
      </c>
      <c r="D21" s="1754">
        <f>SUM(D17:D20)</f>
        <v>0</v>
      </c>
      <c r="E21" s="1754">
        <f>SUM(E17:E20)</f>
        <v>0</v>
      </c>
      <c r="F21" s="1754">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4">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4">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4">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3" t="s">
        <v>583</v>
      </c>
      <c r="D30" s="1883" t="s">
        <v>1673</v>
      </c>
      <c r="E30" s="1883" t="s">
        <v>1957</v>
      </c>
      <c r="F30" s="1883" t="s">
        <v>1958</v>
      </c>
      <c r="G30" s="1883" t="s">
        <v>1909</v>
      </c>
      <c r="H30" s="1883" t="s">
        <v>1959</v>
      </c>
      <c r="I30" s="1883" t="s">
        <v>1960</v>
      </c>
      <c r="J30" s="1884" t="s">
        <v>2</v>
      </c>
      <c r="K30" s="731"/>
    </row>
    <row r="31" spans="1:11" ht="12" customHeight="1" x14ac:dyDescent="0.2">
      <c r="A31" s="732" t="s">
        <v>2086</v>
      </c>
      <c r="B31" s="733">
        <v>40970</v>
      </c>
      <c r="C31" s="734">
        <v>1395000</v>
      </c>
      <c r="D31" s="735">
        <v>3</v>
      </c>
      <c r="E31" s="734">
        <v>730000</v>
      </c>
      <c r="F31" s="734"/>
      <c r="G31" s="734"/>
      <c r="H31" s="734">
        <v>150000</v>
      </c>
      <c r="I31" s="1755">
        <f>((E31+F31)-H31)+G31</f>
        <v>580000</v>
      </c>
      <c r="J31" s="734">
        <v>550750</v>
      </c>
      <c r="K31" s="736"/>
    </row>
    <row r="32" spans="1:11" ht="12" customHeight="1" x14ac:dyDescent="0.2">
      <c r="A32" s="732">
        <v>2016</v>
      </c>
      <c r="B32" s="733">
        <v>42586</v>
      </c>
      <c r="C32" s="734">
        <v>1432000</v>
      </c>
      <c r="D32" s="735">
        <v>3</v>
      </c>
      <c r="E32" s="734">
        <v>1427000</v>
      </c>
      <c r="F32" s="734"/>
      <c r="G32" s="734"/>
      <c r="H32" s="734">
        <v>30000</v>
      </c>
      <c r="I32" s="1755">
        <f>((E32+F32)-H32)+G32</f>
        <v>1397000</v>
      </c>
      <c r="J32" s="734">
        <v>1397000</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2827000</v>
      </c>
      <c r="D49" s="745"/>
      <c r="E49" s="1755">
        <f t="shared" ref="E49:J49" si="2">SUM(E31:E48)</f>
        <v>2157000</v>
      </c>
      <c r="F49" s="1755">
        <f t="shared" si="2"/>
        <v>0</v>
      </c>
      <c r="G49" s="1755">
        <f t="shared" si="2"/>
        <v>0</v>
      </c>
      <c r="H49" s="1755">
        <f t="shared" si="2"/>
        <v>180000</v>
      </c>
      <c r="I49" s="1755">
        <f t="shared" si="2"/>
        <v>1977000</v>
      </c>
      <c r="J49" s="1755">
        <f t="shared" si="2"/>
        <v>1947750</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BreakPreview" topLeftCell="A28" colorId="8" zoomScaleNormal="110" zoomScaleSheetLayoutView="100" workbookViewId="0">
      <selection activeCell="F52" sqref="F5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1811</v>
      </c>
      <c r="K2" s="762" t="s">
        <v>138</v>
      </c>
    </row>
    <row r="3" spans="1:11" x14ac:dyDescent="0.2">
      <c r="A3" s="2237" t="s">
        <v>1961</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v>21966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1812</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6"/>
      <c r="G12" s="1757">
        <f>SUM(G5:G11)</f>
        <v>0</v>
      </c>
      <c r="H12" s="1757">
        <f>SUM(H5:H11)</f>
        <v>21966</v>
      </c>
      <c r="I12" s="1757">
        <f>SUM(I5:I11)</f>
        <v>0</v>
      </c>
      <c r="J12" s="1757">
        <f>SUM(J5:J11)</f>
        <v>0</v>
      </c>
      <c r="K12" s="1757">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v>21966</v>
      </c>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1808</v>
      </c>
      <c r="B19" s="2227"/>
      <c r="C19" s="2227"/>
      <c r="D19" s="2227"/>
      <c r="E19" s="2228"/>
      <c r="F19" s="789" t="s">
        <v>933</v>
      </c>
      <c r="G19" s="782"/>
      <c r="H19" s="782"/>
      <c r="I19" s="782"/>
      <c r="J19" s="765"/>
      <c r="K19" s="795"/>
    </row>
    <row r="20" spans="1:11" x14ac:dyDescent="0.2">
      <c r="A20" s="2229" t="s">
        <v>1813</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8"/>
      <c r="G21" s="792"/>
      <c r="H21" s="796"/>
      <c r="I21" s="796"/>
      <c r="J21" s="1759">
        <f>SUM(J18:J20)</f>
        <v>0</v>
      </c>
      <c r="K21" s="793"/>
    </row>
    <row r="22" spans="1:11" ht="13.5" thickTop="1" x14ac:dyDescent="0.2">
      <c r="A22" s="2219" t="s">
        <v>1814</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0"/>
      <c r="G23" s="1757">
        <f>SUM(G14:G16,G21,G22)</f>
        <v>0</v>
      </c>
      <c r="H23" s="1757">
        <f>SUM(H14:H16,H21,H22)</f>
        <v>21966</v>
      </c>
      <c r="I23" s="1757">
        <f>SUM(I14:I16,I21,I22)</f>
        <v>0</v>
      </c>
      <c r="J23" s="1757">
        <f>SUM(J14:J16,J21,J22)</f>
        <v>0</v>
      </c>
      <c r="K23" s="1757">
        <f>SUM(K14:K16,K21,K22)</f>
        <v>0</v>
      </c>
    </row>
    <row r="24" spans="1:11" ht="14.25" thickTop="1" thickBot="1" x14ac:dyDescent="0.25">
      <c r="A24" s="2249" t="s">
        <v>1962</v>
      </c>
      <c r="B24" s="2248"/>
      <c r="C24" s="2248"/>
      <c r="D24" s="2248"/>
      <c r="E24" s="2248"/>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8" t="s">
        <v>1908</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1809</v>
      </c>
      <c r="B46" s="408" t="s">
        <v>1675</v>
      </c>
    </row>
    <row r="47" spans="1:11" s="823" customFormat="1" ht="12.75" customHeight="1" x14ac:dyDescent="0.2">
      <c r="A47" s="821"/>
      <c r="B47" s="822" t="s">
        <v>1676</v>
      </c>
      <c r="E47" s="822"/>
      <c r="K47" s="824"/>
    </row>
    <row r="48" spans="1:11" ht="12.75" customHeight="1" x14ac:dyDescent="0.2">
      <c r="A48" s="1532" t="s">
        <v>1810</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topLeftCell="A3" colorId="8" zoomScaleNormal="110" zoomScaleSheetLayoutView="100" workbookViewId="0">
      <selection activeCell="F52" sqref="F5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1907</v>
      </c>
      <c r="B1" s="2255"/>
      <c r="C1" s="2256"/>
      <c r="D1" s="826"/>
      <c r="E1" s="827"/>
      <c r="F1" s="827"/>
      <c r="G1" s="828"/>
      <c r="H1" s="829"/>
      <c r="I1" s="830"/>
      <c r="J1" s="2252"/>
      <c r="K1" s="2253"/>
      <c r="L1" s="2253"/>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v>0</v>
      </c>
      <c r="D3" s="835"/>
      <c r="E3" s="835"/>
      <c r="F3" s="1759">
        <f>(C3+D3)-E3</f>
        <v>0</v>
      </c>
      <c r="G3" s="836"/>
      <c r="H3" s="835">
        <v>0</v>
      </c>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22098</v>
      </c>
      <c r="D5" s="841"/>
      <c r="E5" s="841"/>
      <c r="F5" s="1759">
        <f>(C5+D5)-E5</f>
        <v>22098</v>
      </c>
      <c r="G5" s="837"/>
      <c r="H5" s="842"/>
      <c r="I5" s="842"/>
      <c r="J5" s="842"/>
      <c r="K5" s="793"/>
      <c r="L5" s="1768">
        <f>F5-K5</f>
        <v>22098</v>
      </c>
    </row>
    <row r="6" spans="1:14" ht="14.25" thickTop="1" thickBot="1" x14ac:dyDescent="0.25">
      <c r="A6" s="778" t="s">
        <v>1117</v>
      </c>
      <c r="B6" s="840">
        <v>222</v>
      </c>
      <c r="C6" s="765">
        <v>0</v>
      </c>
      <c r="D6" s="765"/>
      <c r="E6" s="765"/>
      <c r="F6" s="1759">
        <f>(C6+D6)-E6</f>
        <v>0</v>
      </c>
      <c r="G6" s="837">
        <v>50</v>
      </c>
      <c r="H6" s="765">
        <v>0</v>
      </c>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11072057</v>
      </c>
      <c r="D8" s="844">
        <v>3644</v>
      </c>
      <c r="E8" s="844"/>
      <c r="F8" s="1759">
        <f>(C8+D8)-E8</f>
        <v>11075701</v>
      </c>
      <c r="G8" s="843">
        <v>50</v>
      </c>
      <c r="H8" s="765">
        <v>4554824</v>
      </c>
      <c r="I8" s="765">
        <v>228290</v>
      </c>
      <c r="J8" s="765"/>
      <c r="K8" s="1768">
        <f>(H8+I8)-J8</f>
        <v>4783114</v>
      </c>
      <c r="L8" s="1768">
        <f>F8-K8</f>
        <v>6292587</v>
      </c>
    </row>
    <row r="9" spans="1:14" ht="14.25" thickTop="1" thickBot="1" x14ac:dyDescent="0.25">
      <c r="A9" s="778" t="s">
        <v>1119</v>
      </c>
      <c r="B9" s="840">
        <v>232</v>
      </c>
      <c r="C9" s="765">
        <v>0</v>
      </c>
      <c r="D9" s="765"/>
      <c r="E9" s="765"/>
      <c r="F9" s="1759">
        <f>(C9+D9)-E9</f>
        <v>0</v>
      </c>
      <c r="G9" s="843">
        <v>20</v>
      </c>
      <c r="H9" s="765">
        <v>0</v>
      </c>
      <c r="I9" s="765"/>
      <c r="J9" s="765"/>
      <c r="K9" s="1768">
        <f>(H9+I9)-J9</f>
        <v>0</v>
      </c>
      <c r="L9" s="1768">
        <f>F9-K9</f>
        <v>0</v>
      </c>
    </row>
    <row r="10" spans="1:14" ht="24" thickTop="1" thickBot="1" x14ac:dyDescent="0.25">
      <c r="A10" s="845" t="s">
        <v>1120</v>
      </c>
      <c r="B10" s="840">
        <v>240</v>
      </c>
      <c r="C10" s="846">
        <v>333184</v>
      </c>
      <c r="D10" s="846">
        <v>10693</v>
      </c>
      <c r="E10" s="846"/>
      <c r="F10" s="1763">
        <f>(C10+D10)-E10</f>
        <v>343877</v>
      </c>
      <c r="G10" s="843">
        <v>20</v>
      </c>
      <c r="H10" s="847">
        <v>162662</v>
      </c>
      <c r="I10" s="847">
        <v>11074</v>
      </c>
      <c r="J10" s="847"/>
      <c r="K10" s="1768">
        <f>(H10+I10)-J10</f>
        <v>173736</v>
      </c>
      <c r="L10" s="1768">
        <f>F10-K10</f>
        <v>170141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2121021</v>
      </c>
      <c r="D12" s="844">
        <v>247730</v>
      </c>
      <c r="E12" s="844"/>
      <c r="F12" s="1759">
        <f>(C12+D12)-E12</f>
        <v>2368751</v>
      </c>
      <c r="G12" s="843">
        <v>10</v>
      </c>
      <c r="H12" s="765">
        <v>1846418</v>
      </c>
      <c r="I12" s="765">
        <v>76801</v>
      </c>
      <c r="J12" s="765"/>
      <c r="K12" s="1768">
        <f>(H12+I12)-J12</f>
        <v>1923219</v>
      </c>
      <c r="L12" s="1768">
        <f>F12-K12</f>
        <v>445532</v>
      </c>
    </row>
    <row r="13" spans="1:14" ht="14.25" thickTop="1" thickBot="1" x14ac:dyDescent="0.25">
      <c r="A13" s="848" t="s">
        <v>1122</v>
      </c>
      <c r="B13" s="840">
        <v>252</v>
      </c>
      <c r="C13" s="844">
        <v>0</v>
      </c>
      <c r="D13" s="844"/>
      <c r="E13" s="844"/>
      <c r="F13" s="1759">
        <f>(C13+D13)-E13</f>
        <v>0</v>
      </c>
      <c r="G13" s="843">
        <v>5</v>
      </c>
      <c r="H13" s="765">
        <v>0</v>
      </c>
      <c r="I13" s="765"/>
      <c r="J13" s="765"/>
      <c r="K13" s="1768">
        <f>(H13+I13)-J13</f>
        <v>0</v>
      </c>
      <c r="L13" s="1768">
        <f>F13-K13</f>
        <v>0</v>
      </c>
    </row>
    <row r="14" spans="1:14" ht="14.25" thickTop="1" thickBot="1" x14ac:dyDescent="0.25">
      <c r="A14" s="848" t="s">
        <v>1123</v>
      </c>
      <c r="B14" s="840">
        <v>253</v>
      </c>
      <c r="C14" s="765">
        <v>0</v>
      </c>
      <c r="D14" s="765"/>
      <c r="E14" s="765"/>
      <c r="F14" s="1759">
        <f>(C14+D14)-E14</f>
        <v>0</v>
      </c>
      <c r="G14" s="843">
        <v>3</v>
      </c>
      <c r="H14" s="765">
        <v>0</v>
      </c>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13548360</v>
      </c>
      <c r="D16" s="1759">
        <f>SUM(D3,D5:D6,D8:D10,D12:D15)</f>
        <v>262067</v>
      </c>
      <c r="E16" s="1759">
        <f>SUM(E3,E5:E6,E8:E10,E12:E15)</f>
        <v>0</v>
      </c>
      <c r="F16" s="1759">
        <f>SUM(F3,F5:F6,F8:F10,F12:F15)</f>
        <v>13810427</v>
      </c>
      <c r="G16" s="843"/>
      <c r="H16" s="1759">
        <f>SUM(H3,H6,H8:H10,H12:H14,)</f>
        <v>6563904</v>
      </c>
      <c r="I16" s="1759">
        <f>SUM(I3,I6,I8:I10,I12:I14,)</f>
        <v>316165</v>
      </c>
      <c r="J16" s="1759">
        <f>SUM(J3,J6,J8:J10,J12:J14,)</f>
        <v>0</v>
      </c>
      <c r="K16" s="1759">
        <f>(H16+I16)-J16</f>
        <v>6880069</v>
      </c>
      <c r="L16" s="1759">
        <f>F16-K16</f>
        <v>6930358</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316165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view="pageBreakPreview" colorId="8" zoomScaleNormal="110" zoomScaleSheetLayoutView="100" workbookViewId="0">
      <pane ySplit="5" topLeftCell="A108" activePane="bottomLeft" state="frozen"/>
      <selection activeCell="F52" sqref="F52"/>
      <selection pane="bottomLeft" activeCell="F52" sqref="F5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1972</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4277936</v>
      </c>
      <c r="G8" s="865"/>
    </row>
    <row r="9" spans="1:7" x14ac:dyDescent="0.2">
      <c r="A9" s="869" t="s">
        <v>460</v>
      </c>
      <c r="B9" s="870" t="s">
        <v>1875</v>
      </c>
      <c r="C9" s="871"/>
      <c r="D9" s="869" t="s">
        <v>501</v>
      </c>
      <c r="E9" s="868"/>
      <c r="F9" s="1907">
        <f>'Expenditures 15-22'!K151</f>
        <v>479451</v>
      </c>
      <c r="G9" s="872"/>
    </row>
    <row r="10" spans="1:7" x14ac:dyDescent="0.2">
      <c r="A10" s="869" t="s">
        <v>499</v>
      </c>
      <c r="B10" s="870" t="s">
        <v>1876</v>
      </c>
      <c r="C10" s="871"/>
      <c r="D10" s="869" t="s">
        <v>501</v>
      </c>
      <c r="E10" s="868"/>
      <c r="F10" s="1907">
        <f>'Expenditures 15-22'!K174</f>
        <v>233528</v>
      </c>
      <c r="G10" s="872"/>
    </row>
    <row r="11" spans="1:7" x14ac:dyDescent="0.2">
      <c r="A11" s="869" t="s">
        <v>461</v>
      </c>
      <c r="B11" s="870" t="s">
        <v>1877</v>
      </c>
      <c r="C11" s="871"/>
      <c r="D11" s="869" t="s">
        <v>501</v>
      </c>
      <c r="E11" s="868"/>
      <c r="F11" s="1907">
        <f>'Expenditures 15-22'!K210</f>
        <v>435776</v>
      </c>
      <c r="G11" s="872"/>
    </row>
    <row r="12" spans="1:7" x14ac:dyDescent="0.2">
      <c r="A12" s="869" t="s">
        <v>462</v>
      </c>
      <c r="B12" s="870" t="s">
        <v>1878</v>
      </c>
      <c r="C12" s="871"/>
      <c r="D12" s="869" t="s">
        <v>501</v>
      </c>
      <c r="E12" s="868"/>
      <c r="F12" s="1907">
        <f>'Expenditures 15-22'!K295</f>
        <v>129245</v>
      </c>
      <c r="G12" s="872"/>
    </row>
    <row r="13" spans="1:7" x14ac:dyDescent="0.2">
      <c r="A13" s="869" t="s">
        <v>106</v>
      </c>
      <c r="B13" s="870" t="s">
        <v>1879</v>
      </c>
      <c r="C13" s="871"/>
      <c r="D13" s="869" t="s">
        <v>501</v>
      </c>
      <c r="E13" s="868"/>
      <c r="F13" s="1907">
        <f>'Expenditures 15-22'!K342</f>
        <v>174433</v>
      </c>
      <c r="G13" s="873"/>
    </row>
    <row r="14" spans="1:7" ht="12" customHeight="1" thickBot="1" x14ac:dyDescent="0.25">
      <c r="A14" s="1769"/>
      <c r="B14" s="1770"/>
      <c r="C14" s="1771"/>
      <c r="D14" s="1772" t="s">
        <v>501</v>
      </c>
      <c r="E14" s="1773" t="s">
        <v>958</v>
      </c>
      <c r="F14" s="1774">
        <f>SUM(F8:F13)</f>
        <v>5730369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2">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1999</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117965</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2802</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61909</v>
      </c>
      <c r="G52" s="865"/>
    </row>
    <row r="53" spans="1:7" x14ac:dyDescent="0.2">
      <c r="A53" s="869" t="s">
        <v>459</v>
      </c>
      <c r="B53" s="869" t="s">
        <v>1475</v>
      </c>
      <c r="C53" s="889">
        <f>'Expenditures 15-22'!B102</f>
        <v>4000</v>
      </c>
      <c r="D53" s="888" t="str">
        <f>'Expenditures 15-22'!A102</f>
        <v>Total Payments to Other Govt Units</v>
      </c>
      <c r="E53" s="868"/>
      <c r="F53" s="1911">
        <f>'Expenditures 15-22'!K102</f>
        <v>410427</v>
      </c>
      <c r="G53" s="865"/>
    </row>
    <row r="54" spans="1:7" x14ac:dyDescent="0.2">
      <c r="A54" s="869" t="s">
        <v>459</v>
      </c>
      <c r="B54" s="869" t="s">
        <v>1476</v>
      </c>
      <c r="C54" s="889" t="s">
        <v>982</v>
      </c>
      <c r="D54" s="885" t="s">
        <v>1095</v>
      </c>
      <c r="E54" s="868"/>
      <c r="F54" s="1911">
        <f>'Expenditures 15-22'!G114</f>
        <v>205403</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1">
        <f>'Expenditures 15-22'!K139</f>
        <v>0</v>
      </c>
      <c r="G57" s="865"/>
    </row>
    <row r="58" spans="1:7" x14ac:dyDescent="0.2">
      <c r="A58" s="869" t="s">
        <v>460</v>
      </c>
      <c r="B58" s="869" t="s">
        <v>1881</v>
      </c>
      <c r="C58" s="886" t="s">
        <v>982</v>
      </c>
      <c r="D58" s="885" t="s">
        <v>1095</v>
      </c>
      <c r="E58" s="868"/>
      <c r="F58" s="1913">
        <f>'Expenditures 15-22'!G151</f>
        <v>56665</v>
      </c>
      <c r="G58" s="865"/>
    </row>
    <row r="59" spans="1:7" x14ac:dyDescent="0.2">
      <c r="A59" s="893" t="s">
        <v>460</v>
      </c>
      <c r="B59" s="856" t="s">
        <v>1882</v>
      </c>
      <c r="C59" s="894" t="s">
        <v>982</v>
      </c>
      <c r="D59" s="856" t="s">
        <v>291</v>
      </c>
      <c r="F59" s="1914">
        <f>'Expenditures 15-22'!I151</f>
        <v>0</v>
      </c>
      <c r="G59" s="865"/>
    </row>
    <row r="60" spans="1:7" x14ac:dyDescent="0.2">
      <c r="A60" s="893" t="s">
        <v>499</v>
      </c>
      <c r="B60" s="856" t="s">
        <v>1883</v>
      </c>
      <c r="C60" s="894">
        <v>4000</v>
      </c>
      <c r="D60" s="856" t="s">
        <v>312</v>
      </c>
      <c r="F60" s="1912">
        <f>'Expenditures 15-22'!K160</f>
        <v>0</v>
      </c>
      <c r="G60" s="865"/>
    </row>
    <row r="61" spans="1:7" x14ac:dyDescent="0.2">
      <c r="A61" s="895" t="s">
        <v>499</v>
      </c>
      <c r="B61" s="895" t="s">
        <v>1884</v>
      </c>
      <c r="C61" s="896" t="str">
        <f>'Expenditures 15-22'!B170</f>
        <v>5300</v>
      </c>
      <c r="D61" s="897" t="s">
        <v>311</v>
      </c>
      <c r="E61" s="879"/>
      <c r="F61" s="1911">
        <f>'Expenditures 15-22'!K170</f>
        <v>180000</v>
      </c>
      <c r="G61" s="865"/>
    </row>
    <row r="62" spans="1:7" x14ac:dyDescent="0.2">
      <c r="A62" s="869" t="s">
        <v>461</v>
      </c>
      <c r="B62" s="869" t="s">
        <v>1885</v>
      </c>
      <c r="C62" s="886">
        <f>'Expenditures 15-22'!B185</f>
        <v>3000</v>
      </c>
      <c r="D62" s="876" t="s">
        <v>449</v>
      </c>
      <c r="E62" s="868"/>
      <c r="F62" s="1911">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1887</v>
      </c>
      <c r="C64" s="896" t="str">
        <f>'Expenditures 15-22'!B206</f>
        <v>5300</v>
      </c>
      <c r="D64" s="892" t="s">
        <v>311</v>
      </c>
      <c r="E64" s="868"/>
      <c r="F64" s="1911">
        <f>'Expenditures 15-22'!K206</f>
        <v>0</v>
      </c>
      <c r="G64" s="865"/>
    </row>
    <row r="65" spans="1:8" x14ac:dyDescent="0.2">
      <c r="A65" s="869" t="s">
        <v>461</v>
      </c>
      <c r="B65" s="869" t="s">
        <v>1888</v>
      </c>
      <c r="C65" s="886" t="s">
        <v>982</v>
      </c>
      <c r="D65" s="885" t="s">
        <v>1095</v>
      </c>
      <c r="E65" s="868"/>
      <c r="F65" s="1911">
        <f>'Expenditures 15-22'!G210</f>
        <v>0</v>
      </c>
      <c r="G65" s="865"/>
    </row>
    <row r="66" spans="1:8" x14ac:dyDescent="0.2">
      <c r="A66" s="869" t="s">
        <v>461</v>
      </c>
      <c r="B66" s="869" t="s">
        <v>1889</v>
      </c>
      <c r="C66" s="886" t="s">
        <v>982</v>
      </c>
      <c r="D66" s="885" t="s">
        <v>291</v>
      </c>
      <c r="E66" s="868"/>
      <c r="F66" s="1911">
        <f>'Expenditures 15-22'!I210</f>
        <v>0</v>
      </c>
      <c r="G66" s="865"/>
    </row>
    <row r="67" spans="1:8" x14ac:dyDescent="0.2">
      <c r="A67" s="869" t="s">
        <v>462</v>
      </c>
      <c r="B67" s="869" t="s">
        <v>1890</v>
      </c>
      <c r="C67" s="886" t="str">
        <f>'Expenditures 15-22'!B216</f>
        <v>1125</v>
      </c>
      <c r="D67" s="892" t="str">
        <f>'Expenditures 15-22'!A216</f>
        <v>Pre-K Programs</v>
      </c>
      <c r="E67" s="868"/>
      <c r="F67" s="1911">
        <f>'Expenditures 15-22'!K216</f>
        <v>4458</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1891</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1892</v>
      </c>
      <c r="C70" s="886">
        <f>'Expenditures 15-22'!B221</f>
        <v>1300</v>
      </c>
      <c r="D70" s="887" t="str">
        <f>'Expenditures 15-22'!A221</f>
        <v>Adult/Continuing Education Programs</v>
      </c>
      <c r="E70" s="868"/>
      <c r="F70" s="1911">
        <f>'Expenditures 15-22'!K221</f>
        <v>0</v>
      </c>
      <c r="G70" s="865"/>
    </row>
    <row r="71" spans="1:8" x14ac:dyDescent="0.2">
      <c r="A71" s="869" t="s">
        <v>462</v>
      </c>
      <c r="B71" s="869" t="s">
        <v>1893</v>
      </c>
      <c r="C71" s="886">
        <f>'Expenditures 15-22'!B224</f>
        <v>1600</v>
      </c>
      <c r="D71" s="887" t="str">
        <f>'Expenditures 15-22'!A224</f>
        <v>Summer School Programs</v>
      </c>
      <c r="E71" s="868"/>
      <c r="F71" s="1911">
        <f>'Expenditures 15-22'!K224</f>
        <v>36</v>
      </c>
      <c r="G71" s="865"/>
    </row>
    <row r="72" spans="1:8" x14ac:dyDescent="0.2">
      <c r="A72" s="869" t="s">
        <v>462</v>
      </c>
      <c r="B72" s="869" t="s">
        <v>1894</v>
      </c>
      <c r="C72" s="886">
        <f>'Expenditures 15-22'!B280</f>
        <v>3000</v>
      </c>
      <c r="D72" s="876" t="s">
        <v>449</v>
      </c>
      <c r="E72" s="868"/>
      <c r="F72" s="1911">
        <f>'Expenditures 15-22'!K280</f>
        <v>3874</v>
      </c>
      <c r="G72" s="865"/>
    </row>
    <row r="73" spans="1:8" x14ac:dyDescent="0.2">
      <c r="A73" s="869" t="s">
        <v>462</v>
      </c>
      <c r="B73" s="869" t="s">
        <v>1895</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1896</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1897</v>
      </c>
      <c r="E76" s="1773" t="s">
        <v>958</v>
      </c>
      <c r="F76" s="1777">
        <f>SUM(F18:F74)</f>
        <v>1043539</v>
      </c>
      <c r="G76" s="865"/>
    </row>
    <row r="77" spans="1:8" s="893" customFormat="1" ht="12" customHeight="1" thickTop="1" thickBot="1" x14ac:dyDescent="0.25">
      <c r="A77" s="1778"/>
      <c r="B77" s="1775"/>
      <c r="C77" s="1771"/>
      <c r="D77" s="1776" t="s">
        <v>1898</v>
      </c>
      <c r="E77" s="1773"/>
      <c r="F77" s="1779">
        <f>(F14-F76)</f>
        <v>4686830</v>
      </c>
      <c r="G77" s="869"/>
    </row>
    <row r="78" spans="1:8" s="893" customFormat="1" ht="12" customHeight="1" thickTop="1" x14ac:dyDescent="0.2">
      <c r="A78" s="1780"/>
      <c r="B78" s="1775"/>
      <c r="C78" s="1771"/>
      <c r="D78" s="1776" t="s">
        <v>2059</v>
      </c>
      <c r="E78" s="1773"/>
      <c r="F78" s="898">
        <v>509.4</v>
      </c>
      <c r="G78" s="899"/>
      <c r="H78" s="869"/>
    </row>
    <row r="79" spans="1:8" s="893" customFormat="1" ht="12" customHeight="1" thickBot="1" x14ac:dyDescent="0.25">
      <c r="A79" s="1781"/>
      <c r="B79" s="1775"/>
      <c r="C79" s="1771"/>
      <c r="D79" s="1776" t="s">
        <v>1899</v>
      </c>
      <c r="E79" s="1773" t="s">
        <v>958</v>
      </c>
      <c r="F79" s="1782">
        <f>IF(F78&gt;0,F77/F78," Complete Line 78")</f>
        <v>9200.6870828425599</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100703</v>
      </c>
      <c r="G94" s="912"/>
    </row>
    <row r="95" spans="1:7" x14ac:dyDescent="0.2">
      <c r="A95" s="908" t="s">
        <v>140</v>
      </c>
      <c r="B95" s="908" t="s">
        <v>175</v>
      </c>
      <c r="C95" s="910">
        <v>1700</v>
      </c>
      <c r="D95" s="918" t="str">
        <f>'Revenues 9-14'!A82</f>
        <v>Total District/School Activity Income</v>
      </c>
      <c r="E95" s="906"/>
      <c r="F95" s="1788">
        <f>SUM('Revenues 9-14'!C82,'Revenues 9-14'!D82)</f>
        <v>20874</v>
      </c>
      <c r="G95" s="912"/>
    </row>
    <row r="96" spans="1:7" x14ac:dyDescent="0.2">
      <c r="A96" s="908" t="s">
        <v>459</v>
      </c>
      <c r="B96" s="908" t="s">
        <v>176</v>
      </c>
      <c r="C96" s="910">
        <f>'Revenues 9-14'!B84</f>
        <v>1811</v>
      </c>
      <c r="D96" s="911" t="str">
        <f>'Revenues 9-14'!A84</f>
        <v>Rentals - Regular Textbooks</v>
      </c>
      <c r="E96" s="906"/>
      <c r="F96" s="1788">
        <f>'Revenues 9-14'!C84</f>
        <v>33077</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30040</v>
      </c>
      <c r="G104" s="912"/>
    </row>
    <row r="105" spans="1:7" x14ac:dyDescent="0.2">
      <c r="A105" s="908" t="s">
        <v>503</v>
      </c>
      <c r="B105" s="908" t="s">
        <v>2000</v>
      </c>
      <c r="C105" s="913">
        <v>3100</v>
      </c>
      <c r="D105" s="919" t="str">
        <f>'Revenues 9-14'!A132</f>
        <v>Total Special Education</v>
      </c>
      <c r="E105" s="906"/>
      <c r="F105" s="1788">
        <f>SUM('Revenues 9-14'!C132:D132,'Revenues 9-14'!F132)</f>
        <v>243566</v>
      </c>
      <c r="G105" s="912"/>
    </row>
    <row r="106" spans="1:7" x14ac:dyDescent="0.2">
      <c r="A106" s="908" t="s">
        <v>673</v>
      </c>
      <c r="B106" s="908" t="s">
        <v>2001</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2002</v>
      </c>
      <c r="C107" s="920">
        <v>3300</v>
      </c>
      <c r="D107" s="911" t="str">
        <f>'Revenues 9-14'!A145</f>
        <v>Total Bilingual Ed</v>
      </c>
      <c r="E107" s="906"/>
      <c r="F107" s="1788">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8">
        <f>'Revenues 9-14'!C146</f>
        <v>2209</v>
      </c>
      <c r="G108" s="912"/>
    </row>
    <row r="109" spans="1:7" x14ac:dyDescent="0.2">
      <c r="A109" s="908" t="s">
        <v>673</v>
      </c>
      <c r="B109" s="908" t="s">
        <v>2004</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8">
        <f>SUM('Revenues 9-14'!C148,'Revenues 9-14'!D148)</f>
        <v>0</v>
      </c>
      <c r="G110" s="912"/>
    </row>
    <row r="111" spans="1:7" x14ac:dyDescent="0.2">
      <c r="A111" s="908" t="s">
        <v>668</v>
      </c>
      <c r="B111" s="908" t="s">
        <v>2006</v>
      </c>
      <c r="C111" s="922">
        <v>3500</v>
      </c>
      <c r="D111" s="911" t="str">
        <f>'Revenues 9-14'!A155</f>
        <v>Total Transportation</v>
      </c>
      <c r="E111" s="906"/>
      <c r="F111" s="1788">
        <f>SUM('Revenues 9-14'!C155,'Revenues 9-14'!D155,'Revenues 9-14'!F155,'Revenues 9-14'!G155)</f>
        <v>181247</v>
      </c>
      <c r="G111" s="912"/>
    </row>
    <row r="112" spans="1:7" x14ac:dyDescent="0.2">
      <c r="A112" s="908" t="s">
        <v>459</v>
      </c>
      <c r="B112" s="908" t="s">
        <v>2007</v>
      </c>
      <c r="C112" s="920">
        <f>'Revenues 9-14'!B156</f>
        <v>3610</v>
      </c>
      <c r="D112" s="911" t="str">
        <f>'Revenues 9-14'!A156</f>
        <v>Learning Improvement - Change Grants</v>
      </c>
      <c r="E112" s="906"/>
      <c r="F112" s="1788">
        <f>'Revenues 9-14'!C156</f>
        <v>0</v>
      </c>
      <c r="G112" s="912"/>
    </row>
    <row r="113" spans="1:7" x14ac:dyDescent="0.2">
      <c r="A113" s="908" t="s">
        <v>668</v>
      </c>
      <c r="B113" s="908" t="s">
        <v>2008</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5">
        <f>SUM('Revenues 9-14'!C163:G163)</f>
        <v>0</v>
      </c>
      <c r="G118" s="912"/>
    </row>
    <row r="119" spans="1:7" x14ac:dyDescent="0.2">
      <c r="A119" s="923" t="s">
        <v>504</v>
      </c>
      <c r="B119" s="923" t="s">
        <v>2014</v>
      </c>
      <c r="C119" s="924">
        <f>'Revenues 9-14'!B164</f>
        <v>3815</v>
      </c>
      <c r="D119" s="925" t="str">
        <f>'Revenues 9-14'!A164</f>
        <v>State Charter Schools</v>
      </c>
      <c r="E119" s="906"/>
      <c r="F119" s="1905">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8">
        <f>'Revenues 9-14'!D167</f>
        <v>0</v>
      </c>
      <c r="G120" s="930"/>
    </row>
    <row r="121" spans="1:7" x14ac:dyDescent="0.2">
      <c r="A121" s="927" t="s">
        <v>500</v>
      </c>
      <c r="B121" s="927" t="s">
        <v>2016</v>
      </c>
      <c r="C121" s="928">
        <f>'Revenues 9-14'!B168</f>
        <v>3999</v>
      </c>
      <c r="D121" s="929" t="s">
        <v>543</v>
      </c>
      <c r="E121" s="931"/>
      <c r="F121" s="1788">
        <f>SUM('Revenues 9-14'!C168:G168,'Revenues 9-14'!J168)</f>
        <v>750</v>
      </c>
      <c r="G121" s="930"/>
    </row>
    <row r="122" spans="1:7" x14ac:dyDescent="0.2">
      <c r="A122" s="927" t="s">
        <v>459</v>
      </c>
      <c r="B122" s="927" t="s">
        <v>2017</v>
      </c>
      <c r="C122" s="932">
        <f>'Revenues 9-14'!B177</f>
        <v>4045</v>
      </c>
      <c r="D122" s="929" t="str">
        <f>'Revenues 9-14'!A177 &amp; " (Subtract)"</f>
        <v>Head Start (Subtract)</v>
      </c>
      <c r="E122" s="906"/>
      <c r="F122" s="1788">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2019</v>
      </c>
      <c r="C124" s="932">
        <v>4100</v>
      </c>
      <c r="D124" s="933" t="str">
        <f>'Revenues 9-14'!A188</f>
        <v>Total Title V</v>
      </c>
      <c r="E124" s="906"/>
      <c r="F124" s="1788">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8">
        <f>SUM('Revenues 9-14'!C198,'Revenues 9-14'!G198)</f>
        <v>129775</v>
      </c>
      <c r="G125" s="930"/>
    </row>
    <row r="126" spans="1:7" x14ac:dyDescent="0.2">
      <c r="A126" s="927" t="s">
        <v>668</v>
      </c>
      <c r="B126" s="927" t="s">
        <v>2021</v>
      </c>
      <c r="C126" s="932">
        <v>4300</v>
      </c>
      <c r="D126" s="933" t="str">
        <f>'Revenues 9-14'!A204</f>
        <v>Total Title I</v>
      </c>
      <c r="E126" s="906"/>
      <c r="F126" s="1788">
        <f>SUM('Revenues 9-14'!C204,'Revenues 9-14'!D204,'Revenues 9-14'!F204,'Revenues 9-14'!G204)</f>
        <v>103379</v>
      </c>
      <c r="G126" s="930"/>
    </row>
    <row r="127" spans="1:7" x14ac:dyDescent="0.2">
      <c r="A127" s="927" t="s">
        <v>668</v>
      </c>
      <c r="B127" s="927" t="s">
        <v>2022</v>
      </c>
      <c r="C127" s="932">
        <v>4400</v>
      </c>
      <c r="D127" s="933" t="str">
        <f>'Revenues 9-14'!A209</f>
        <v>Total Title IV</v>
      </c>
      <c r="E127" s="906"/>
      <c r="F127" s="1788">
        <f>SUM('Revenues 9-14'!C209,'Revenues 9-14'!D209,'Revenues 9-14'!F209,'Revenues 9-14'!G209)</f>
        <v>883</v>
      </c>
      <c r="G127" s="930"/>
    </row>
    <row r="128" spans="1:7" x14ac:dyDescent="0.2">
      <c r="A128" s="927" t="s">
        <v>668</v>
      </c>
      <c r="B128" s="927" t="s">
        <v>2023</v>
      </c>
      <c r="C128" s="932">
        <f>'Revenues 9-14'!B213</f>
        <v>4620</v>
      </c>
      <c r="D128" s="933" t="str">
        <f>'Revenues 9-14'!A213</f>
        <v>Fed - Spec Education - IDEA - Flow Through</v>
      </c>
      <c r="E128" s="906"/>
      <c r="F128" s="1788">
        <f>SUM('Revenues 9-14'!C213:D213,'Revenues 9-14'!F213:G213)</f>
        <v>59388</v>
      </c>
      <c r="G128" s="930"/>
    </row>
    <row r="129" spans="1:7" x14ac:dyDescent="0.2">
      <c r="A129" s="927" t="s">
        <v>668</v>
      </c>
      <c r="B129" s="927" t="s">
        <v>2024</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2026</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8">
        <v>0</v>
      </c>
      <c r="G138" s="905"/>
    </row>
    <row r="139" spans="1:7" s="867" customFormat="1" hidden="1" x14ac:dyDescent="0.2">
      <c r="A139" s="934" t="s">
        <v>206</v>
      </c>
      <c r="B139" s="934" t="s">
        <v>2033</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2041</v>
      </c>
      <c r="C157" s="940" t="s">
        <v>841</v>
      </c>
      <c r="D157" s="941" t="s">
        <v>777</v>
      </c>
      <c r="E157" s="942"/>
      <c r="F157" s="1788">
        <f>SUM(F133:F156)</f>
        <v>0</v>
      </c>
      <c r="G157" s="905"/>
    </row>
    <row r="158" spans="1:7" s="867" customFormat="1" x14ac:dyDescent="0.2">
      <c r="A158" s="938" t="s">
        <v>459</v>
      </c>
      <c r="B158" s="939" t="s">
        <v>2042</v>
      </c>
      <c r="C158" s="940" t="s">
        <v>1427</v>
      </c>
      <c r="D158" s="941" t="s">
        <v>1428</v>
      </c>
      <c r="E158" s="942"/>
      <c r="F158" s="1788">
        <f>SUM('Revenues 9-14'!C253)</f>
        <v>0</v>
      </c>
      <c r="G158" s="905"/>
    </row>
    <row r="159" spans="1:7" s="867" customFormat="1" x14ac:dyDescent="0.2">
      <c r="A159" s="938" t="s">
        <v>500</v>
      </c>
      <c r="B159" s="939" t="s">
        <v>2043</v>
      </c>
      <c r="C159" s="940" t="s">
        <v>1466</v>
      </c>
      <c r="D159" s="941" t="s">
        <v>1467</v>
      </c>
      <c r="E159" s="942"/>
      <c r="F159" s="1788">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5">
        <f>SUM('Revenues 9-14'!C259,'Revenues 9-14'!D259,'Revenues 9-14'!F259,'Revenues 9-14'!G259)</f>
        <v>20958</v>
      </c>
      <c r="G164" s="930"/>
    </row>
    <row r="165" spans="1:7" x14ac:dyDescent="0.2">
      <c r="A165" s="927" t="s">
        <v>668</v>
      </c>
      <c r="B165" s="927" t="s">
        <v>2049</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8">
        <f>SUM('Revenues 9-14'!C263:D263,'Revenues 9-14'!F263:G263)</f>
        <v>6050</v>
      </c>
      <c r="G168" s="947">
        <v>6320</v>
      </c>
    </row>
    <row r="169" spans="1:7" x14ac:dyDescent="0.2">
      <c r="A169" s="927" t="s">
        <v>668</v>
      </c>
      <c r="B169" s="927" t="s">
        <v>2051</v>
      </c>
      <c r="C169" s="932">
        <f>'Revenues 9-14'!B264</f>
        <v>4992</v>
      </c>
      <c r="D169" s="933" t="str">
        <f>'Revenues 9-14'!A264</f>
        <v>Medicaid Matching Funds - Fee-for-Service Program</v>
      </c>
      <c r="E169" s="906"/>
      <c r="F169" s="1788">
        <f>SUM('Revenues 9-14'!C264:D264,'Revenues 9-14'!F264:G264)</f>
        <v>15837</v>
      </c>
      <c r="G169" s="947"/>
    </row>
    <row r="170" spans="1:7" x14ac:dyDescent="0.2">
      <c r="A170" s="948" t="s">
        <v>668</v>
      </c>
      <c r="B170" s="944" t="s">
        <v>2052</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6" t="s">
        <v>5</v>
      </c>
      <c r="B171" s="1917" t="s">
        <v>1918</v>
      </c>
      <c r="C171" s="1918">
        <v>3100</v>
      </c>
      <c r="D171" s="1919" t="s">
        <v>1920</v>
      </c>
      <c r="E171" s="906"/>
      <c r="F171" s="1904">
        <v>139529</v>
      </c>
      <c r="G171" s="927"/>
    </row>
    <row r="172" spans="1:7" x14ac:dyDescent="0.2">
      <c r="A172" s="1916" t="s">
        <v>664</v>
      </c>
      <c r="B172" s="1917" t="s">
        <v>1918</v>
      </c>
      <c r="C172" s="1918">
        <v>3300</v>
      </c>
      <c r="D172" s="1919" t="s">
        <v>1921</v>
      </c>
      <c r="E172" s="906"/>
      <c r="F172" s="1904">
        <v>0</v>
      </c>
      <c r="G172" s="927"/>
    </row>
    <row r="173" spans="1:7" ht="6" customHeight="1" x14ac:dyDescent="0.2">
      <c r="A173" s="927"/>
      <c r="B173" s="927"/>
      <c r="C173" s="949"/>
      <c r="D173" s="927"/>
      <c r="E173" s="906"/>
      <c r="F173" s="950"/>
      <c r="G173" s="947"/>
    </row>
    <row r="174" spans="1:7" x14ac:dyDescent="0.2">
      <c r="A174" s="1769"/>
      <c r="B174" s="1783"/>
      <c r="C174" s="1784"/>
      <c r="D174" s="1785" t="s">
        <v>2053</v>
      </c>
      <c r="E174" s="1786" t="s">
        <v>958</v>
      </c>
      <c r="F174" s="1787">
        <f>SUM(F84:F132,F157:F172)</f>
        <v>1088265</v>
      </c>
    </row>
    <row r="175" spans="1:7" ht="12" customHeight="1" x14ac:dyDescent="0.2">
      <c r="A175" s="1769"/>
      <c r="B175" s="1783"/>
      <c r="C175" s="1784"/>
      <c r="D175" s="1785" t="s">
        <v>2054</v>
      </c>
      <c r="E175" s="1786"/>
      <c r="F175" s="1788">
        <f>'PCTC-OEPP 27-28'!F77-F174</f>
        <v>3598565</v>
      </c>
    </row>
    <row r="176" spans="1:7" ht="12" customHeight="1" x14ac:dyDescent="0.2">
      <c r="A176" s="1769"/>
      <c r="B176" s="1783"/>
      <c r="C176" s="1784"/>
      <c r="D176" s="1785" t="s">
        <v>1816</v>
      </c>
      <c r="E176" s="1786"/>
      <c r="F176" s="1788">
        <f>'Cap Outlay Deprec 26'!I18</f>
        <v>316165</v>
      </c>
    </row>
    <row r="177" spans="1:7" ht="12" customHeight="1" x14ac:dyDescent="0.2">
      <c r="A177" s="1769"/>
      <c r="B177" s="1783"/>
      <c r="C177" s="1784"/>
      <c r="D177" s="1785" t="s">
        <v>2055</v>
      </c>
      <c r="E177" s="1786"/>
      <c r="F177" s="1788">
        <f>F175+F176</f>
        <v>3914730</v>
      </c>
    </row>
    <row r="178" spans="1:7" ht="12" customHeight="1" x14ac:dyDescent="0.2">
      <c r="A178" s="1769"/>
      <c r="B178" s="1789"/>
      <c r="C178" s="1784"/>
      <c r="D178" s="1785" t="str">
        <f>D78</f>
        <v>9 Month ADA from District Average Daily Attendance/Prior General State Aid Inquiry 2018-2019</v>
      </c>
      <c r="E178" s="1786"/>
      <c r="F178" s="1790">
        <f>'PCTC-OEPP 27-28'!F78</f>
        <v>509.4</v>
      </c>
      <c r="G178" s="930"/>
    </row>
    <row r="179" spans="1:7" ht="12" customHeight="1" thickBot="1" x14ac:dyDescent="0.25">
      <c r="A179" s="1769"/>
      <c r="B179" s="1789"/>
      <c r="C179" s="1784"/>
      <c r="D179" s="1785" t="s">
        <v>2056</v>
      </c>
      <c r="E179" s="1786" t="s">
        <v>1545</v>
      </c>
      <c r="F179" s="1791">
        <f>F177/F178</f>
        <v>7684.9823321554777</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0" customFormat="1" ht="12.2" customHeight="1" x14ac:dyDescent="0.2">
      <c r="A182" s="1920" t="s">
        <v>1991</v>
      </c>
      <c r="B182" s="1921"/>
      <c r="C182" s="1922"/>
      <c r="D182" s="1921"/>
      <c r="E182" s="1922"/>
      <c r="F182" s="1921"/>
      <c r="G182" s="1921"/>
    </row>
    <row r="183" spans="1:7" s="1920" customFormat="1" ht="12.2" customHeight="1" x14ac:dyDescent="0.2">
      <c r="A183" s="1923" t="s">
        <v>1993</v>
      </c>
      <c r="C183" s="1922"/>
      <c r="D183" s="1921"/>
      <c r="E183" s="1922"/>
      <c r="F183" s="1921"/>
      <c r="G183" s="1921"/>
    </row>
    <row r="184" spans="1:7" ht="12" customHeight="1" x14ac:dyDescent="0.2">
      <c r="C184" s="949"/>
      <c r="D184" s="930"/>
      <c r="E184" s="949"/>
      <c r="F184" s="930"/>
      <c r="G184" s="930"/>
    </row>
    <row r="185" spans="1:7" x14ac:dyDescent="0.2">
      <c r="A185" s="1924" t="s">
        <v>1923</v>
      </c>
      <c r="B185" s="1925"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showGridLines="0" zoomScaleNormal="100" workbookViewId="0">
      <selection activeCell="F52" sqref="F5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8" t="s">
        <v>1831</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71" t="s">
        <v>1817</v>
      </c>
      <c r="B4" s="2272"/>
      <c r="C4" s="2272"/>
      <c r="D4" s="2272"/>
      <c r="E4" s="2272"/>
      <c r="F4" s="2272"/>
      <c r="G4" s="2273"/>
    </row>
    <row r="5" spans="1:7" x14ac:dyDescent="0.25">
      <c r="A5" s="2274"/>
      <c r="B5" s="2275"/>
      <c r="C5" s="2275"/>
      <c r="D5" s="2275"/>
      <c r="E5" s="2275"/>
      <c r="F5" s="2275"/>
      <c r="G5" s="2276"/>
    </row>
    <row r="6" spans="1:7" ht="18.75" x14ac:dyDescent="0.25">
      <c r="A6" s="1934" t="s">
        <v>2063</v>
      </c>
      <c r="B6" s="1935"/>
      <c r="C6" s="1935"/>
      <c r="D6" s="1935"/>
      <c r="E6" s="1935"/>
      <c r="F6" s="1935"/>
      <c r="G6" s="1936"/>
    </row>
    <row r="7" spans="1:7" ht="18.75" x14ac:dyDescent="0.25">
      <c r="A7" s="1534" t="s">
        <v>1818</v>
      </c>
      <c r="B7" s="1535"/>
      <c r="C7" s="1535"/>
      <c r="D7" s="1535"/>
      <c r="E7" s="1535"/>
      <c r="F7" s="1535"/>
      <c r="G7" s="1536"/>
    </row>
    <row r="8" spans="1:7" ht="30.75" customHeight="1" x14ac:dyDescent="0.25">
      <c r="A8" s="2277" t="s">
        <v>1930</v>
      </c>
      <c r="B8" s="2278"/>
      <c r="C8" s="2278"/>
      <c r="D8" s="2278"/>
      <c r="E8" s="2278"/>
      <c r="F8" s="2278"/>
      <c r="G8" s="2279"/>
    </row>
    <row r="9" spans="1:7" ht="15.75" customHeight="1" x14ac:dyDescent="0.25">
      <c r="A9" s="2280" t="s">
        <v>1905</v>
      </c>
      <c r="B9" s="2281"/>
      <c r="C9" s="2281"/>
      <c r="D9" s="2281"/>
      <c r="E9" s="2281"/>
      <c r="F9" s="2281"/>
      <c r="G9" s="2282"/>
    </row>
    <row r="10" spans="1:7" ht="35.25" customHeight="1" x14ac:dyDescent="0.25">
      <c r="A10" s="2277" t="s">
        <v>2062</v>
      </c>
      <c r="B10" s="2278"/>
      <c r="C10" s="2278"/>
      <c r="D10" s="2278"/>
      <c r="E10" s="2278"/>
      <c r="F10" s="2278"/>
      <c r="G10" s="2279"/>
    </row>
    <row r="11" spans="1:7" ht="15" customHeight="1" x14ac:dyDescent="0.25">
      <c r="A11" s="1537" t="s">
        <v>1819</v>
      </c>
      <c r="B11" s="1538"/>
      <c r="C11" s="1538"/>
      <c r="D11" s="1538"/>
      <c r="E11" s="1538"/>
      <c r="F11" s="1538"/>
      <c r="G11" s="1539"/>
    </row>
    <row r="12" spans="1:7" ht="17.25" customHeight="1" x14ac:dyDescent="0.25">
      <c r="A12" s="2277" t="s">
        <v>1932</v>
      </c>
      <c r="B12" s="2278"/>
      <c r="C12" s="2278"/>
      <c r="D12" s="2278"/>
      <c r="E12" s="2278"/>
      <c r="F12" s="2278"/>
      <c r="G12" s="2279"/>
    </row>
    <row r="13" spans="1:7" ht="15" customHeight="1" x14ac:dyDescent="0.25">
      <c r="A13" s="1537" t="s">
        <v>1824</v>
      </c>
      <c r="B13" s="1538"/>
      <c r="C13" s="1538"/>
      <c r="D13" s="1538"/>
      <c r="E13" s="1538"/>
      <c r="F13" s="1538"/>
      <c r="G13" s="1539"/>
    </row>
    <row r="14" spans="1:7" ht="32.25" customHeight="1" x14ac:dyDescent="0.25">
      <c r="A14" s="2268" t="s">
        <v>1973</v>
      </c>
      <c r="B14" s="2269"/>
      <c r="C14" s="2269"/>
      <c r="D14" s="2269"/>
      <c r="E14" s="2269"/>
      <c r="F14" s="2269"/>
      <c r="G14" s="2270"/>
    </row>
    <row r="15" spans="1:7" x14ac:dyDescent="0.25">
      <c r="A15" s="1660" t="s">
        <v>1832</v>
      </c>
      <c r="B15" s="1661"/>
      <c r="C15" s="1661"/>
      <c r="D15" s="1661"/>
      <c r="E15" s="1661"/>
      <c r="F15" s="1661"/>
      <c r="G15" s="1662"/>
    </row>
    <row r="16" spans="1:7" ht="61.5" customHeight="1" x14ac:dyDescent="0.25">
      <c r="A16" s="1546" t="s">
        <v>1825</v>
      </c>
      <c r="B16" s="1546" t="s">
        <v>1826</v>
      </c>
      <c r="C16" s="1546" t="s">
        <v>1827</v>
      </c>
      <c r="D16" s="1547" t="s">
        <v>1828</v>
      </c>
      <c r="E16" s="1547" t="s">
        <v>1820</v>
      </c>
      <c r="F16" s="1547" t="s">
        <v>1829</v>
      </c>
      <c r="G16" s="1547" t="s">
        <v>1830</v>
      </c>
    </row>
    <row r="17" spans="1:8" x14ac:dyDescent="0.25">
      <c r="A17" s="1648" t="s">
        <v>1833</v>
      </c>
      <c r="B17" s="1649" t="s">
        <v>1823</v>
      </c>
      <c r="C17" s="1650" t="s">
        <v>1821</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9" t="s">
        <v>2103</v>
      </c>
      <c r="B18" s="1940" t="s">
        <v>2104</v>
      </c>
      <c r="C18" s="1941" t="s">
        <v>2105</v>
      </c>
      <c r="D18" s="1842">
        <v>391798</v>
      </c>
      <c r="E18" s="1540">
        <f t="shared" ref="E18:E39" si="0">IF(D18&lt;=25000,D18,IF(D18&gt;25000,25000,0))</f>
        <v>25000</v>
      </c>
      <c r="F18" s="1933">
        <f t="shared" ref="F18:F19"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2">
        <f>IF(F18=0,0,D18-F18)</f>
        <v>366798</v>
      </c>
      <c r="H18" s="1647"/>
    </row>
    <row r="19" spans="1:8" x14ac:dyDescent="0.25">
      <c r="A19" s="1653"/>
      <c r="B19" s="1931"/>
      <c r="C19" s="1655"/>
      <c r="D19" s="1842"/>
      <c r="E19" s="1540">
        <f t="shared" ref="E19:E38" si="2">IF(D19&lt;=25000,D19,IF(D19&gt;25000,25000,0))</f>
        <v>0</v>
      </c>
      <c r="F19" s="1933">
        <f t="shared" si="1"/>
        <v>0</v>
      </c>
      <c r="G19" s="1792">
        <f t="shared" ref="G19:G38" si="3">IF(F19=0,0,D19-F19)</f>
        <v>0</v>
      </c>
    </row>
    <row r="20" spans="1:8" x14ac:dyDescent="0.25">
      <c r="A20" s="1653"/>
      <c r="B20" s="1666"/>
      <c r="C20" s="1654"/>
      <c r="D20" s="1842"/>
      <c r="E20" s="1540">
        <f t="shared" ref="E20" si="4">IF(D20&lt;=25000,D20,IF(D20&gt;25000,25000,0))</f>
        <v>0</v>
      </c>
      <c r="F20" s="1933">
        <f t="shared" ref="F20:F38" si="5">(IF(D20="",0,(IF(OR(B20="10-1000-100",B20="10-1000-200",B20="10-1000-300",B20="10-1000-400",B20="10-1000-600",B20="10-1000-800",B20="50-1000-200",B20="10-2100-100",B20="10-2100-200",B20="10-2100-300",B20="10-2100-400",B20="10-2100-600",B20="10-2100-800",B20="20-2100-100",B20="20-2100-200",B20="20-2100-300",B20="20-2100-400",B20="20-2100-600",B20="20-2100-800",B20="40-2100-100",B20="40-2100-200",B20="40-2100-300",B20="40-2100-400",B20="40-2100-600",B20="40-2100-800",B20="50-2100-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10-2540-800",B20="20-2540-100",B20="20-2540-200",B20="20-2540-300",B20="20-2540-400",B20="20-2540-600",B20="20-2540-800",B20="50-2540-200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10-3000-100",B20="10-3000-200",B20="10-3000-300",B20="10-3000-400",B20="10-3000-600",B20="10-3000-800",B20="20-3000-100",B20="20-3000-200",B20="20-3000-300",B20="20-3000-400",B20="20-3000-600",B20="20-3000-800",B20="40-3000-100",B20="40-3000-200",B20="40-3000-300",B20="40-3000-400",B20="40-3000-600",B20="40-3000-800",B20="50-3000-200"),E20,"Check func/obj # in Colm B"))))</f>
        <v>0</v>
      </c>
      <c r="G20" s="1792">
        <f t="shared" ref="G20" si="6">IF(F20=0,0,D20-F20)</f>
        <v>0</v>
      </c>
    </row>
    <row r="21" spans="1:8" x14ac:dyDescent="0.25">
      <c r="A21" s="1653"/>
      <c r="B21" s="1666"/>
      <c r="C21" s="1654"/>
      <c r="D21" s="1842"/>
      <c r="E21" s="1540">
        <f t="shared" ref="E21:E25" si="7">IF(D21&lt;=25000,D21,IF(D21&gt;25000,25000,0))</f>
        <v>0</v>
      </c>
      <c r="F21" s="1933">
        <f t="shared" si="5"/>
        <v>0</v>
      </c>
      <c r="G21" s="1792">
        <f t="shared" ref="G21:G25" si="8">IF(F21=0,0,D21-F21)</f>
        <v>0</v>
      </c>
    </row>
    <row r="22" spans="1:8" x14ac:dyDescent="0.25">
      <c r="A22" s="1653"/>
      <c r="B22" s="1666"/>
      <c r="C22" s="1654"/>
      <c r="D22" s="1842"/>
      <c r="E22" s="1540">
        <f t="shared" si="7"/>
        <v>0</v>
      </c>
      <c r="F22" s="1933">
        <f t="shared" si="5"/>
        <v>0</v>
      </c>
      <c r="G22" s="1792">
        <f t="shared" si="8"/>
        <v>0</v>
      </c>
    </row>
    <row r="23" spans="1:8" x14ac:dyDescent="0.25">
      <c r="A23" s="1653"/>
      <c r="B23" s="1666"/>
      <c r="C23" s="1654"/>
      <c r="D23" s="1842"/>
      <c r="E23" s="1540">
        <f t="shared" si="7"/>
        <v>0</v>
      </c>
      <c r="F23" s="1933">
        <f t="shared" si="5"/>
        <v>0</v>
      </c>
      <c r="G23" s="1792">
        <f t="shared" si="8"/>
        <v>0</v>
      </c>
    </row>
    <row r="24" spans="1:8" x14ac:dyDescent="0.25">
      <c r="A24" s="1653"/>
      <c r="B24" s="1666"/>
      <c r="C24" s="1654"/>
      <c r="D24" s="1842"/>
      <c r="E24" s="1540">
        <f t="shared" si="7"/>
        <v>0</v>
      </c>
      <c r="F24" s="1933">
        <f t="shared" si="5"/>
        <v>0</v>
      </c>
      <c r="G24" s="1792">
        <f t="shared" si="8"/>
        <v>0</v>
      </c>
    </row>
    <row r="25" spans="1:8" x14ac:dyDescent="0.25">
      <c r="A25" s="1653"/>
      <c r="B25" s="1666"/>
      <c r="C25" s="1654"/>
      <c r="D25" s="1842"/>
      <c r="E25" s="1540">
        <f t="shared" si="7"/>
        <v>0</v>
      </c>
      <c r="F25" s="1933">
        <f t="shared" si="5"/>
        <v>0</v>
      </c>
      <c r="G25" s="1792">
        <f t="shared" si="8"/>
        <v>0</v>
      </c>
    </row>
    <row r="26" spans="1:8" x14ac:dyDescent="0.25">
      <c r="A26" s="1653"/>
      <c r="B26" s="1666"/>
      <c r="C26" s="1654"/>
      <c r="D26" s="1842"/>
      <c r="E26" s="1540">
        <f t="shared" ref="E26:E32" si="9">IF(D26&lt;=25000,D26,IF(D26&gt;25000,25000,0))</f>
        <v>0</v>
      </c>
      <c r="F26" s="1933">
        <f t="shared" si="5"/>
        <v>0</v>
      </c>
      <c r="G26" s="1792">
        <f t="shared" ref="G26:G32" si="10">IF(F26=0,0,D26-F26)</f>
        <v>0</v>
      </c>
    </row>
    <row r="27" spans="1:8" x14ac:dyDescent="0.25">
      <c r="A27" s="1653"/>
      <c r="B27" s="1666"/>
      <c r="C27" s="1654"/>
      <c r="D27" s="1842"/>
      <c r="E27" s="1540">
        <f t="shared" si="9"/>
        <v>0</v>
      </c>
      <c r="F27" s="1933">
        <f t="shared" si="5"/>
        <v>0</v>
      </c>
      <c r="G27" s="1792">
        <f t="shared" si="10"/>
        <v>0</v>
      </c>
    </row>
    <row r="28" spans="1:8" x14ac:dyDescent="0.25">
      <c r="A28" s="1653"/>
      <c r="B28" s="1666"/>
      <c r="C28" s="1654"/>
      <c r="D28" s="1842"/>
      <c r="E28" s="1540">
        <f t="shared" si="9"/>
        <v>0</v>
      </c>
      <c r="F28" s="1933">
        <f t="shared" si="5"/>
        <v>0</v>
      </c>
      <c r="G28" s="1792">
        <f t="shared" si="10"/>
        <v>0</v>
      </c>
    </row>
    <row r="29" spans="1:8" x14ac:dyDescent="0.25">
      <c r="A29" s="1653"/>
      <c r="B29" s="1666"/>
      <c r="C29" s="1654"/>
      <c r="D29" s="1842"/>
      <c r="E29" s="1540">
        <f t="shared" si="9"/>
        <v>0</v>
      </c>
      <c r="F29" s="1933">
        <f t="shared" si="5"/>
        <v>0</v>
      </c>
      <c r="G29" s="1792">
        <f t="shared" si="10"/>
        <v>0</v>
      </c>
    </row>
    <row r="30" spans="1:8" x14ac:dyDescent="0.25">
      <c r="A30" s="1653"/>
      <c r="B30" s="1666"/>
      <c r="C30" s="1654"/>
      <c r="D30" s="1842"/>
      <c r="E30" s="1540">
        <f t="shared" si="9"/>
        <v>0</v>
      </c>
      <c r="F30" s="1933">
        <f t="shared" si="5"/>
        <v>0</v>
      </c>
      <c r="G30" s="1792">
        <f t="shared" si="10"/>
        <v>0</v>
      </c>
    </row>
    <row r="31" spans="1:8" x14ac:dyDescent="0.25">
      <c r="A31" s="1653"/>
      <c r="B31" s="1666"/>
      <c r="C31" s="1654"/>
      <c r="D31" s="1842"/>
      <c r="E31" s="1540">
        <f t="shared" si="9"/>
        <v>0</v>
      </c>
      <c r="F31" s="1933">
        <f t="shared" si="5"/>
        <v>0</v>
      </c>
      <c r="G31" s="1792">
        <f t="shared" si="10"/>
        <v>0</v>
      </c>
    </row>
    <row r="32" spans="1:8" x14ac:dyDescent="0.25">
      <c r="A32" s="1653"/>
      <c r="B32" s="1666"/>
      <c r="C32" s="1654"/>
      <c r="D32" s="1842"/>
      <c r="E32" s="1540">
        <f t="shared" si="9"/>
        <v>0</v>
      </c>
      <c r="F32" s="1933">
        <f t="shared" si="5"/>
        <v>0</v>
      </c>
      <c r="G32" s="1792">
        <f t="shared" si="10"/>
        <v>0</v>
      </c>
    </row>
    <row r="33" spans="1:7" x14ac:dyDescent="0.25">
      <c r="A33" s="1653"/>
      <c r="B33" s="1666"/>
      <c r="C33" s="1654"/>
      <c r="D33" s="1842"/>
      <c r="E33" s="1540">
        <f t="shared" ref="E33:E34" si="11">IF(D33&lt;=25000,D33,IF(D33&gt;25000,25000,0))</f>
        <v>0</v>
      </c>
      <c r="F33" s="1933">
        <f t="shared" si="5"/>
        <v>0</v>
      </c>
      <c r="G33" s="1792">
        <f t="shared" ref="G33:G34" si="12">IF(F33=0,0,D33-F33)</f>
        <v>0</v>
      </c>
    </row>
    <row r="34" spans="1:7" x14ac:dyDescent="0.25">
      <c r="A34" s="1653"/>
      <c r="B34" s="1666"/>
      <c r="C34" s="1654"/>
      <c r="D34" s="1842"/>
      <c r="E34" s="1540">
        <f t="shared" si="11"/>
        <v>0</v>
      </c>
      <c r="F34" s="1933">
        <f t="shared" si="5"/>
        <v>0</v>
      </c>
      <c r="G34" s="1792">
        <f t="shared" si="12"/>
        <v>0</v>
      </c>
    </row>
    <row r="35" spans="1:7" x14ac:dyDescent="0.25">
      <c r="A35" s="1653"/>
      <c r="B35" s="1666"/>
      <c r="C35" s="1654"/>
      <c r="D35" s="1842"/>
      <c r="E35" s="1540">
        <f t="shared" ref="E35:E37" si="13">IF(D35&lt;=25000,D35,IF(D35&gt;25000,25000,0))</f>
        <v>0</v>
      </c>
      <c r="F35" s="1933">
        <f t="shared" si="5"/>
        <v>0</v>
      </c>
      <c r="G35" s="1792">
        <f t="shared" ref="G35:G37" si="14">IF(F35=0,0,D35-F35)</f>
        <v>0</v>
      </c>
    </row>
    <row r="36" spans="1:7" x14ac:dyDescent="0.25">
      <c r="A36" s="1653"/>
      <c r="B36" s="1666"/>
      <c r="C36" s="1654"/>
      <c r="D36" s="1842"/>
      <c r="E36" s="1540">
        <f t="shared" si="13"/>
        <v>0</v>
      </c>
      <c r="F36" s="1933">
        <f t="shared" si="5"/>
        <v>0</v>
      </c>
      <c r="G36" s="1792">
        <f t="shared" si="14"/>
        <v>0</v>
      </c>
    </row>
    <row r="37" spans="1:7" x14ac:dyDescent="0.25">
      <c r="A37" s="1653"/>
      <c r="B37" s="1666"/>
      <c r="C37" s="1654"/>
      <c r="D37" s="1842"/>
      <c r="E37" s="1540">
        <f t="shared" si="13"/>
        <v>0</v>
      </c>
      <c r="F37" s="1933">
        <f t="shared" si="5"/>
        <v>0</v>
      </c>
      <c r="G37" s="1792">
        <f t="shared" si="14"/>
        <v>0</v>
      </c>
    </row>
    <row r="38" spans="1:7" x14ac:dyDescent="0.25">
      <c r="A38" s="1653"/>
      <c r="B38" s="1665"/>
      <c r="C38" s="1654"/>
      <c r="D38" s="1842"/>
      <c r="E38" s="1540">
        <f t="shared" si="2"/>
        <v>0</v>
      </c>
      <c r="F38" s="1933">
        <f t="shared" si="5"/>
        <v>0</v>
      </c>
      <c r="G38" s="1792">
        <f t="shared" si="3"/>
        <v>0</v>
      </c>
    </row>
    <row r="39" spans="1:7" x14ac:dyDescent="0.25">
      <c r="A39" s="1795" t="s">
        <v>156</v>
      </c>
      <c r="B39" s="1796"/>
      <c r="C39" s="1797"/>
      <c r="D39" s="1793">
        <f>SUM(D18:D38)</f>
        <v>391798</v>
      </c>
      <c r="E39" s="1541">
        <f t="shared" si="0"/>
        <v>25000</v>
      </c>
      <c r="F39" s="1930">
        <f>SUM(F18:F38)</f>
        <v>25000</v>
      </c>
      <c r="G39" s="1794">
        <f>SUM(G18:G38)</f>
        <v>366798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8" colorId="8" zoomScaleNormal="100" workbookViewId="0">
      <selection activeCell="F52" sqref="F5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129775</v>
      </c>
      <c r="F10" s="974"/>
      <c r="G10" s="975"/>
      <c r="H10" s="162"/>
      <c r="I10" s="162"/>
    </row>
    <row r="11" spans="1:9" s="668" customFormat="1" ht="22.5" customHeight="1" x14ac:dyDescent="0.2">
      <c r="A11" s="2288" t="s">
        <v>1974</v>
      </c>
      <c r="B11" s="2289"/>
      <c r="C11" s="2289"/>
      <c r="D11" s="2290"/>
      <c r="E11" s="977">
        <v>15359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2689584</v>
      </c>
      <c r="F19" s="1798"/>
      <c r="G19" s="1800">
        <f>'Expenditures 15-22'!K33-SUM('Expenditures 15-22'!G33,'Expenditures 15-22'!I33)+'Expenditures 15-22'!D229</f>
        <v>2689584</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78449</v>
      </c>
      <c r="F21" s="1801"/>
      <c r="G21" s="1804">
        <f>'Expenditures 15-22'!K42-SUM('Expenditures 15-22'!G42,'Expenditures 15-22'!I42)+'Expenditures 15-22'!K120-SUM('Expenditures 15-22'!G120,'Expenditures 15-22'!I120)+'Expenditures 15-22'!K180-SUM('Expenditures 15-22'!G180,'Expenditures 15-22'!I180)+'Expenditures 15-22'!D238</f>
        <v>78449</v>
      </c>
      <c r="H21" s="987"/>
      <c r="I21" s="162"/>
    </row>
    <row r="22" spans="1:9" s="668" customFormat="1" ht="12" customHeight="1" x14ac:dyDescent="0.2">
      <c r="A22" s="994" t="s">
        <v>564</v>
      </c>
      <c r="B22" s="995"/>
      <c r="C22" s="993">
        <v>2200</v>
      </c>
      <c r="D22" s="1801"/>
      <c r="E22" s="1803">
        <f>'Expenditures 15-22'!K47-SUM('Expenditures 15-22'!G47,'Expenditures 15-22'!I47)+'Expenditures 15-22'!D243</f>
        <v>328356</v>
      </c>
      <c r="F22" s="1801"/>
      <c r="G22" s="1804">
        <f>'Expenditures 15-22'!K47-SUM('Expenditures 15-22'!G47,'Expenditures 15-22'!I47)+'Expenditures 15-22'!D243</f>
        <v>328356</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311592</v>
      </c>
      <c r="F23" s="1801"/>
      <c r="G23" s="1803">
        <f>'Expenditures 15-22'!K53-SUM('Expenditures 15-22'!G53,'Expenditures 15-22'!I53)+'Expenditures 15-22'!D257+'Expenditures 15-22'!K330-SUM('Expenditures 15-22'!G330,'Expenditures 15-22'!I330)</f>
        <v>311592</v>
      </c>
      <c r="H23" s="987"/>
      <c r="I23" s="162"/>
    </row>
    <row r="24" spans="1:9" s="668" customFormat="1" ht="12" customHeight="1" x14ac:dyDescent="0.2">
      <c r="A24" s="994" t="s">
        <v>566</v>
      </c>
      <c r="B24" s="995"/>
      <c r="C24" s="993">
        <v>2400</v>
      </c>
      <c r="D24" s="1801"/>
      <c r="E24" s="1803">
        <f>'Expenditures 15-22'!K57-SUM('Expenditures 15-22'!G57,'Expenditures 15-22'!I57)+'Expenditures 15-22'!D261</f>
        <v>126181</v>
      </c>
      <c r="F24" s="1801"/>
      <c r="G24" s="1804">
        <f>'Expenditures 15-22'!K57-SUM('Expenditures 15-22'!G57,'Expenditures 15-22'!I57)+'Expenditures 15-22'!D261</f>
        <v>126181</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110312</v>
      </c>
      <c r="E27" s="1803">
        <f>E8</f>
        <v>0</v>
      </c>
      <c r="F27" s="1803">
        <f>'Expenditures 15-22'!K60-SUM('Expenditures 15-22'!G60,'Expenditures 15-22'!I60)+'Expenditures 15-22'!D264-E8</f>
        <v>110312</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468201</v>
      </c>
      <c r="F28" s="1805">
        <f>'Expenditures 15-22'!K61-SUM('Expenditures 15-22'!G61,'Expenditures 15-22'!I61)+'Expenditures 15-22'!K124-SUM('Expenditures 15-22'!G124,'Expenditures 15-22'!I124)+'Expenditures 15-22'!D266-E9</f>
        <v>468201</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435776</v>
      </c>
      <c r="F29" s="1801"/>
      <c r="G29" s="1804">
        <f>'Expenditures 15-22'!K62-SUM('Expenditures 15-22'!G62,'Expenditures 15-22'!I62)+'Expenditures 15-22'!K125-SUM('Expenditures 15-22'!G125,'Expenditures 15-22'!I125)+'Expenditures 15-22'!K182-SUM('Expenditures 15-22'!G182,'Expenditures 15-22'!I182)+'Expenditures 15-22'!D267</f>
        <v>435776</v>
      </c>
      <c r="H29" s="985"/>
    </row>
    <row r="30" spans="1:9" ht="12" customHeight="1" x14ac:dyDescent="0.2">
      <c r="A30" s="994" t="s">
        <v>100</v>
      </c>
      <c r="B30" s="997"/>
      <c r="C30" s="993">
        <v>2560</v>
      </c>
      <c r="D30" s="1801"/>
      <c r="E30" s="1803">
        <f>'Expenditures 15-22'!K63-SUM('Expenditures 15-22'!G63,'Expenditures 15-22'!I63)+'Expenditures 15-22'!D268-E10</f>
        <v>80337</v>
      </c>
      <c r="F30" s="1801"/>
      <c r="G30" s="1803">
        <f>'Expenditures 15-22'!K63-SUM('Expenditures 15-22'!G63,'Expenditures 15-22'!I63)+'Expenditures 15-22'!D268-E10</f>
        <v>80337</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65783</v>
      </c>
      <c r="F39" s="1801"/>
      <c r="G39" s="1803">
        <f>'Expenditures 15-22'!K75-SUM('Expenditures 15-22'!G75,'Expenditures 15-22'!I75)+'Expenditures 15-22'!K130-SUM('Expenditures 15-22'!G130,'Expenditures 15-22'!I130)+'Expenditures 15-22'!K185-SUM('Expenditures 15-22'!G185,'Expenditures 15-22'!I185)+'Expenditures 15-22'!D280</f>
        <v>65783</v>
      </c>
    </row>
    <row r="40" spans="1:7" ht="12" customHeight="1" x14ac:dyDescent="0.2">
      <c r="A40" s="990" t="s">
        <v>1822</v>
      </c>
      <c r="B40" s="991"/>
      <c r="C40" s="993"/>
      <c r="D40" s="1801"/>
      <c r="E40" s="1805">
        <f>-'Contracts Paid in CY 29'!G39</f>
        <v>-366798</v>
      </c>
      <c r="F40" s="1801"/>
      <c r="G40" s="1805">
        <f>-'Contracts Paid in CY 29'!G39</f>
        <v>-366798</v>
      </c>
    </row>
    <row r="41" spans="1:7" ht="12" customHeight="1" x14ac:dyDescent="0.2">
      <c r="A41" s="998" t="s">
        <v>156</v>
      </c>
      <c r="B41" s="999"/>
      <c r="C41" s="1000"/>
      <c r="D41" s="1805">
        <f>SUM(D19:D39)</f>
        <v>110312</v>
      </c>
      <c r="E41" s="1805">
        <f>SUM(E19:E40)</f>
        <v>4217461</v>
      </c>
      <c r="F41" s="1805">
        <f>SUM(F19:F39)</f>
        <v>578513</v>
      </c>
      <c r="G41" s="1805">
        <f>SUM(G19:G40)</f>
        <v>3749260</v>
      </c>
    </row>
    <row r="42" spans="1:7" x14ac:dyDescent="0.2">
      <c r="A42" s="987"/>
      <c r="B42" s="162"/>
      <c r="C42" s="1001"/>
      <c r="D42" s="2286" t="s">
        <v>522</v>
      </c>
      <c r="E42" s="2287"/>
      <c r="F42" s="1002" t="s">
        <v>523</v>
      </c>
      <c r="G42" s="1003"/>
    </row>
    <row r="43" spans="1:7" ht="12" customHeight="1" x14ac:dyDescent="0.2">
      <c r="A43" s="987"/>
      <c r="B43" s="162"/>
      <c r="C43" s="1001"/>
      <c r="D43" s="1806" t="s">
        <v>473</v>
      </c>
      <c r="E43" s="1807">
        <f>D41</f>
        <v>110312</v>
      </c>
      <c r="F43" s="1806" t="s">
        <v>473</v>
      </c>
      <c r="G43" s="1807">
        <f>F41</f>
        <v>578513</v>
      </c>
    </row>
    <row r="44" spans="1:7" ht="12" customHeight="1" x14ac:dyDescent="0.2">
      <c r="A44" s="987"/>
      <c r="B44" s="162"/>
      <c r="C44" s="1001"/>
      <c r="D44" s="1806" t="s">
        <v>474</v>
      </c>
      <c r="E44" s="1807">
        <f>E41</f>
        <v>4217461</v>
      </c>
      <c r="F44" s="1806" t="s">
        <v>474</v>
      </c>
      <c r="G44" s="1807">
        <f>G41</f>
        <v>3749260</v>
      </c>
    </row>
    <row r="45" spans="1:7" ht="12" customHeight="1" x14ac:dyDescent="0.2">
      <c r="A45" s="987"/>
      <c r="B45" s="162"/>
      <c r="C45" s="162"/>
      <c r="D45" s="1808" t="s">
        <v>1006</v>
      </c>
      <c r="E45" s="1809">
        <f>(E43/E44)</f>
        <v>2.6156021359770725E-2</v>
      </c>
      <c r="F45" s="1808" t="s">
        <v>1006</v>
      </c>
      <c r="G45" s="1809">
        <f>(G43/G44)</f>
        <v>0.15430058198151103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Normal="100" workbookViewId="0">
      <pane ySplit="4" topLeftCell="A5" activePane="bottomLeft" state="frozen"/>
      <selection activeCell="F52" sqref="F52"/>
      <selection pane="bottomLeft" activeCell="F52" sqref="F52"/>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5" t="s">
        <v>1379</v>
      </c>
      <c r="B1" s="2305"/>
      <c r="C1" s="2305"/>
      <c r="D1" s="2305"/>
      <c r="E1" s="2305"/>
      <c r="F1" s="2305"/>
    </row>
    <row r="2" spans="1:10" x14ac:dyDescent="0.2">
      <c r="A2" s="1885" t="s">
        <v>1910</v>
      </c>
      <c r="B2" s="1846"/>
      <c r="C2" s="1885"/>
      <c r="D2" s="1846"/>
      <c r="E2" s="1846"/>
      <c r="F2" s="1847"/>
    </row>
    <row r="3" spans="1:10" x14ac:dyDescent="0.2">
      <c r="A3" s="1885" t="s">
        <v>1975</v>
      </c>
      <c r="B3" s="1846"/>
      <c r="C3" s="1885"/>
      <c r="D3" s="1846"/>
      <c r="E3" s="1846"/>
      <c r="F3" s="1847"/>
    </row>
    <row r="4" spans="1:10" ht="3.75" customHeight="1" x14ac:dyDescent="0.2">
      <c r="A4" s="1846"/>
      <c r="B4" s="1846"/>
      <c r="C4" s="1846"/>
      <c r="D4" s="1846"/>
      <c r="E4" s="1846"/>
      <c r="F4" s="1847"/>
    </row>
    <row r="5" spans="1:10" ht="15" x14ac:dyDescent="0.25">
      <c r="A5" s="2306" t="s">
        <v>1546</v>
      </c>
      <c r="B5" s="2307"/>
      <c r="C5" s="2308"/>
      <c r="D5" s="2308"/>
      <c r="E5" s="2308"/>
      <c r="F5" s="2308"/>
    </row>
    <row r="6" spans="1:10" ht="12" customHeight="1" x14ac:dyDescent="0.25">
      <c r="A6" s="1848"/>
      <c r="B6" s="1849"/>
      <c r="C6" s="2309" t="str">
        <f>COVER!A17</f>
        <v>Nashville CCSD 49</v>
      </c>
      <c r="D6" s="2309"/>
      <c r="E6" s="2309"/>
      <c r="F6" s="1850"/>
    </row>
    <row r="7" spans="1:10" ht="11.25" customHeight="1" thickBot="1" x14ac:dyDescent="0.3">
      <c r="A7" s="1848"/>
      <c r="B7" s="1849"/>
      <c r="C7" s="2310">
        <f>COVER!A13</f>
        <v>13095049004</v>
      </c>
      <c r="D7" s="2310"/>
      <c r="E7" s="2310"/>
      <c r="F7" s="1850"/>
    </row>
    <row r="8" spans="1:10" ht="25.5" customHeight="1" thickBot="1" x14ac:dyDescent="0.25">
      <c r="A8" s="1891" t="s">
        <v>1906</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t="s">
        <v>2106</v>
      </c>
      <c r="D11" s="1863" t="s">
        <v>2106</v>
      </c>
      <c r="E11" s="1864"/>
      <c r="F11" s="1865" t="s">
        <v>2107</v>
      </c>
      <c r="H11" s="1876">
        <f>IF(C11="X",5,0)</f>
        <v>5</v>
      </c>
      <c r="I11" s="1876">
        <f>IF(D11="X",5,0)</f>
        <v>5</v>
      </c>
      <c r="J11" s="1876">
        <f>IF(E11="X",5,0)</f>
        <v>0</v>
      </c>
    </row>
    <row r="12" spans="1:10" ht="12" customHeight="1" x14ac:dyDescent="0.2">
      <c r="A12" s="1861" t="s">
        <v>1384</v>
      </c>
      <c r="B12" s="1862"/>
      <c r="C12" s="1863" t="s">
        <v>2106</v>
      </c>
      <c r="D12" s="1863" t="s">
        <v>2106</v>
      </c>
      <c r="E12" s="1866"/>
      <c r="F12" s="1865" t="s">
        <v>2107</v>
      </c>
      <c r="H12" s="1876">
        <f t="shared" ref="H12:H33" si="0">IF(C12="X",5,0)</f>
        <v>5</v>
      </c>
      <c r="I12" s="1876">
        <f t="shared" ref="I12:I33" si="1">IF(D12="X",5,0)</f>
        <v>5</v>
      </c>
      <c r="J12" s="1876">
        <f t="shared" ref="J12:J33" si="2">IF(E12="X",5,0)</f>
        <v>0</v>
      </c>
    </row>
    <row r="13" spans="1:10" ht="12" customHeight="1" x14ac:dyDescent="0.2">
      <c r="A13" s="1861" t="s">
        <v>1385</v>
      </c>
      <c r="B13" s="1862"/>
      <c r="C13" s="1863" t="s">
        <v>2106</v>
      </c>
      <c r="D13" s="1863" t="s">
        <v>2106</v>
      </c>
      <c r="E13" s="1866"/>
      <c r="F13" s="1865" t="s">
        <v>2107</v>
      </c>
      <c r="H13" s="1876">
        <f t="shared" si="0"/>
        <v>5</v>
      </c>
      <c r="I13" s="1876">
        <f t="shared" si="1"/>
        <v>5</v>
      </c>
      <c r="J13" s="1876">
        <f t="shared" si="2"/>
        <v>0</v>
      </c>
    </row>
    <row r="14" spans="1:10" ht="12" customHeight="1" x14ac:dyDescent="0.2">
      <c r="A14" s="1861" t="s">
        <v>1386</v>
      </c>
      <c r="B14" s="1862"/>
      <c r="C14" s="1863" t="s">
        <v>2106</v>
      </c>
      <c r="D14" s="1863" t="s">
        <v>2106</v>
      </c>
      <c r="E14" s="1866"/>
      <c r="F14" s="1865"/>
      <c r="H14" s="1876">
        <f t="shared" si="0"/>
        <v>5</v>
      </c>
      <c r="I14" s="1876">
        <f t="shared" si="1"/>
        <v>5</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t="s">
        <v>2106</v>
      </c>
      <c r="D16" s="1863" t="s">
        <v>2106</v>
      </c>
      <c r="E16" s="1866"/>
      <c r="F16" s="1865" t="s">
        <v>2108</v>
      </c>
      <c r="H16" s="1876">
        <f t="shared" si="0"/>
        <v>5</v>
      </c>
      <c r="I16" s="1876">
        <f t="shared" si="1"/>
        <v>5</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t="s">
        <v>2106</v>
      </c>
      <c r="D19" s="1863" t="s">
        <v>2106</v>
      </c>
      <c r="E19" s="1866"/>
      <c r="F19" s="1865" t="s">
        <v>2109</v>
      </c>
      <c r="H19" s="1876">
        <f t="shared" si="0"/>
        <v>5</v>
      </c>
      <c r="I19" s="1876">
        <f t="shared" si="1"/>
        <v>5</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t="s">
        <v>2106</v>
      </c>
      <c r="D24" s="1863" t="s">
        <v>2106</v>
      </c>
      <c r="E24" s="1866"/>
      <c r="F24" s="1865" t="s">
        <v>2110</v>
      </c>
      <c r="H24" s="1876">
        <f t="shared" si="0"/>
        <v>5</v>
      </c>
      <c r="I24" s="1876">
        <f t="shared" si="1"/>
        <v>5</v>
      </c>
      <c r="J24" s="1876">
        <f t="shared" si="2"/>
        <v>0</v>
      </c>
    </row>
    <row r="25" spans="1:12" ht="12" customHeight="1" x14ac:dyDescent="0.2">
      <c r="A25" s="1861" t="s">
        <v>1533</v>
      </c>
      <c r="B25" s="1862"/>
      <c r="C25" s="1863" t="s">
        <v>2106</v>
      </c>
      <c r="D25" s="1863" t="s">
        <v>2106</v>
      </c>
      <c r="E25" s="1866"/>
      <c r="F25" s="1865"/>
      <c r="H25" s="1876">
        <f t="shared" si="0"/>
        <v>5</v>
      </c>
      <c r="I25" s="1876">
        <f t="shared" si="1"/>
        <v>5</v>
      </c>
      <c r="J25" s="1876">
        <f t="shared" si="2"/>
        <v>0</v>
      </c>
    </row>
    <row r="26" spans="1:12" ht="12" customHeight="1" x14ac:dyDescent="0.2">
      <c r="A26" s="1861" t="s">
        <v>1534</v>
      </c>
      <c r="B26" s="1862"/>
      <c r="C26" s="1863" t="s">
        <v>2106</v>
      </c>
      <c r="D26" s="1863" t="s">
        <v>2106</v>
      </c>
      <c r="E26" s="1866"/>
      <c r="F26" s="1865" t="s">
        <v>2111</v>
      </c>
      <c r="H26" s="1876">
        <f t="shared" si="0"/>
        <v>5</v>
      </c>
      <c r="I26" s="1876">
        <f t="shared" si="1"/>
        <v>5</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t="s">
        <v>2106</v>
      </c>
      <c r="D28" s="1863" t="s">
        <v>2106</v>
      </c>
      <c r="E28" s="1866"/>
      <c r="F28" s="1865" t="s">
        <v>2112</v>
      </c>
      <c r="H28" s="1876">
        <f t="shared" si="0"/>
        <v>5</v>
      </c>
      <c r="I28" s="1876">
        <f t="shared" si="1"/>
        <v>5</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t="s">
        <v>2106</v>
      </c>
      <c r="D30" s="1863" t="s">
        <v>2106</v>
      </c>
      <c r="E30" s="1866"/>
      <c r="F30" s="1865" t="s">
        <v>2107</v>
      </c>
      <c r="H30" s="1876">
        <f t="shared" si="0"/>
        <v>5</v>
      </c>
      <c r="I30" s="1876">
        <f t="shared" si="1"/>
        <v>5</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55</v>
      </c>
      <c r="I34" s="1876">
        <f>SUM(I11:I32)</f>
        <v>55</v>
      </c>
      <c r="J34" s="1876">
        <f>SUM(J11:J32)</f>
        <v>0</v>
      </c>
      <c r="K34" s="1876">
        <f>SUM(H34:J34)</f>
        <v>110</v>
      </c>
    </row>
    <row r="35" spans="1:11" ht="12" customHeight="1" x14ac:dyDescent="0.2">
      <c r="A35" s="1869" t="s">
        <v>1392</v>
      </c>
      <c r="B35" s="1870"/>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1"/>
      <c r="B39" s="1871"/>
      <c r="C39" s="1871"/>
      <c r="D39" s="1871"/>
      <c r="E39" s="1871"/>
      <c r="F39" s="1871"/>
    </row>
    <row r="40" spans="1:11" s="1868" customFormat="1" ht="12" customHeight="1" x14ac:dyDescent="0.25">
      <c r="A40" s="1872" t="s">
        <v>1391</v>
      </c>
      <c r="B40" s="1873"/>
      <c r="C40" s="2300"/>
      <c r="D40" s="2300"/>
      <c r="E40" s="2300"/>
      <c r="F40" s="2301"/>
      <c r="H40" s="1877"/>
      <c r="I40" s="1877"/>
      <c r="J40" s="1877"/>
      <c r="K40" s="1877"/>
    </row>
    <row r="41" spans="1:11" s="1868" customFormat="1" ht="12" customHeight="1" x14ac:dyDescent="0.25">
      <c r="A41" s="2302"/>
      <c r="B41" s="2303"/>
      <c r="C41" s="2303"/>
      <c r="D41" s="2303"/>
      <c r="E41" s="2303"/>
      <c r="F41" s="2304"/>
      <c r="H41" s="1877"/>
      <c r="I41" s="1877"/>
      <c r="J41" s="1877"/>
      <c r="K41" s="1877"/>
    </row>
    <row r="42" spans="1:11" s="1868" customFormat="1" ht="12" customHeight="1" x14ac:dyDescent="0.25">
      <c r="A42" s="2302"/>
      <c r="B42" s="2303"/>
      <c r="C42" s="2303"/>
      <c r="D42" s="2303"/>
      <c r="E42" s="2303"/>
      <c r="F42" s="2304"/>
      <c r="H42" s="1877"/>
      <c r="I42" s="1877"/>
      <c r="J42" s="1877"/>
      <c r="K42" s="1877"/>
    </row>
    <row r="43" spans="1:11" s="1868" customFormat="1" ht="15" x14ac:dyDescent="0.25">
      <c r="A43" s="2291"/>
      <c r="B43" s="2292"/>
      <c r="C43" s="2292"/>
      <c r="D43" s="2292"/>
      <c r="E43" s="2292"/>
      <c r="F43" s="2293"/>
      <c r="H43" s="1877"/>
      <c r="I43" s="1877"/>
      <c r="J43" s="1877"/>
      <c r="K43" s="1877"/>
    </row>
    <row r="44" spans="1:11" s="1868" customFormat="1" ht="12" hidden="1" customHeight="1" x14ac:dyDescent="0.25">
      <c r="A44" s="2291"/>
      <c r="B44" s="2292"/>
      <c r="C44" s="2292"/>
      <c r="D44" s="2292"/>
      <c r="E44" s="2292"/>
      <c r="F44" s="2293"/>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26" colorId="8" zoomScaleNormal="100" workbookViewId="0">
      <selection activeCell="F52" sqref="F5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2"/>
      <c r="C6" s="1642"/>
      <c r="D6" s="1642"/>
      <c r="E6" s="1643"/>
      <c r="F6" s="1015"/>
      <c r="G6" s="1009"/>
      <c r="H6" s="1016" t="s">
        <v>1028</v>
      </c>
      <c r="I6" s="2318" t="str">
        <f>COVER!A17</f>
        <v>Nashville CCSD 49</v>
      </c>
      <c r="J6" s="2319"/>
      <c r="Q6" s="1663"/>
    </row>
    <row r="7" spans="1:17" x14ac:dyDescent="0.2">
      <c r="A7" s="2320" t="s">
        <v>869</v>
      </c>
      <c r="B7" s="2321"/>
      <c r="C7" s="2321"/>
      <c r="D7" s="2321"/>
      <c r="E7" s="2322"/>
      <c r="F7" s="1017"/>
      <c r="G7" s="1009"/>
      <c r="H7" s="1016" t="s">
        <v>372</v>
      </c>
      <c r="I7" s="2323">
        <f>COVER!A13</f>
        <v>13095049004</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3" t="s">
        <v>1976</v>
      </c>
      <c r="F9" s="1023"/>
      <c r="G9" s="1023"/>
      <c r="H9" s="1894"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105605</v>
      </c>
      <c r="F12" s="1039"/>
      <c r="G12" s="1810">
        <f t="shared" ref="G12:G18" si="0">SUM(E12:F12)</f>
        <v>105605</v>
      </c>
      <c r="H12" s="1040">
        <v>109490</v>
      </c>
      <c r="I12" s="1039"/>
      <c r="J12" s="1810">
        <f t="shared" ref="J12:J18" si="1">SUM(H12:I12)</f>
        <v>109490</v>
      </c>
    </row>
    <row r="13" spans="1:17" ht="15" customHeight="1" x14ac:dyDescent="0.2">
      <c r="A13" s="1035">
        <v>2</v>
      </c>
      <c r="B13" s="1036" t="s">
        <v>42</v>
      </c>
      <c r="C13" s="1037"/>
      <c r="D13" s="1038">
        <v>2330</v>
      </c>
      <c r="E13" s="1810">
        <f>'Expenditures 15-22'!K51</f>
        <v>0</v>
      </c>
      <c r="F13" s="1039"/>
      <c r="G13" s="1810">
        <f t="shared" si="0"/>
        <v>0</v>
      </c>
      <c r="H13" s="1040">
        <v>0</v>
      </c>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v>0</v>
      </c>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v>0</v>
      </c>
      <c r="I15" s="1040">
        <v>0</v>
      </c>
      <c r="J15" s="1810">
        <f t="shared" si="1"/>
        <v>0</v>
      </c>
    </row>
    <row r="16" spans="1:17" ht="15" customHeight="1" x14ac:dyDescent="0.2">
      <c r="A16" s="1035">
        <v>5</v>
      </c>
      <c r="B16" s="1036" t="s">
        <v>101</v>
      </c>
      <c r="C16" s="1037"/>
      <c r="D16" s="1038">
        <v>2570</v>
      </c>
      <c r="E16" s="1810">
        <f>'Expenditures 15-22'!K64</f>
        <v>0</v>
      </c>
      <c r="F16" s="1039"/>
      <c r="G16" s="1810">
        <f t="shared" si="0"/>
        <v>0</v>
      </c>
      <c r="H16" s="1040">
        <v>0</v>
      </c>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v>0</v>
      </c>
      <c r="I17" s="1039"/>
      <c r="J17" s="1810">
        <f t="shared" si="1"/>
        <v>0</v>
      </c>
    </row>
    <row r="18" spans="1:10" ht="22.5" customHeight="1" x14ac:dyDescent="0.2">
      <c r="A18" s="1042">
        <v>7</v>
      </c>
      <c r="B18" s="2327" t="s">
        <v>7</v>
      </c>
      <c r="C18" s="2328"/>
      <c r="D18" s="2329"/>
      <c r="E18" s="1043"/>
      <c r="F18" s="1043"/>
      <c r="G18" s="1811">
        <f t="shared" si="0"/>
        <v>0</v>
      </c>
      <c r="H18" s="1040">
        <v>0</v>
      </c>
      <c r="I18" s="1040">
        <v>0</v>
      </c>
      <c r="J18" s="1810">
        <f t="shared" si="1"/>
        <v>0</v>
      </c>
    </row>
    <row r="19" spans="1:10" ht="12.75" customHeight="1" thickBot="1" x14ac:dyDescent="0.25">
      <c r="A19" s="1035">
        <v>8</v>
      </c>
      <c r="B19" s="1044" t="s">
        <v>1161</v>
      </c>
      <c r="D19" s="1045"/>
      <c r="E19" s="1812">
        <f t="shared" ref="E19:J19" si="2">SUM(E12:E17)-E18</f>
        <v>105605</v>
      </c>
      <c r="F19" s="1812">
        <f t="shared" si="2"/>
        <v>0</v>
      </c>
      <c r="G19" s="1812">
        <f t="shared" si="2"/>
        <v>105605</v>
      </c>
      <c r="H19" s="1812">
        <f t="shared" si="2"/>
        <v>109490</v>
      </c>
      <c r="I19" s="1812">
        <f t="shared" si="2"/>
        <v>0</v>
      </c>
      <c r="J19" s="1812">
        <f t="shared" si="2"/>
        <v>109490</v>
      </c>
    </row>
    <row r="20" spans="1:10" ht="13.5" thickTop="1" x14ac:dyDescent="0.2">
      <c r="A20" s="1035">
        <v>9</v>
      </c>
      <c r="B20" s="2330" t="s">
        <v>1978</v>
      </c>
      <c r="C20" s="2330"/>
      <c r="D20" s="2331"/>
      <c r="E20" s="1046"/>
      <c r="F20" s="1046"/>
      <c r="G20" s="1046"/>
      <c r="H20" s="1046"/>
      <c r="I20" s="1046"/>
      <c r="J20" s="1813">
        <f>IF(AND(G19&gt;0,J19&gt;0),(((J19-G19)/G19)),"Enter Budget Data")</f>
        <v>3.6788030869750486E-2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t="s">
        <v>2069</v>
      </c>
      <c r="D28" s="2334"/>
      <c r="E28" s="1054"/>
      <c r="F28" s="2334" t="s">
        <v>2070</v>
      </c>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1980</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9" zoomScaleNormal="100" workbookViewId="0">
      <selection activeCell="F52" sqref="F5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c r="B6" s="329" t="s">
        <v>2088</v>
      </c>
    </row>
    <row r="7" spans="1:2" x14ac:dyDescent="0.2">
      <c r="A7" s="1068">
        <v>3</v>
      </c>
      <c r="B7" s="329" t="s">
        <v>2089</v>
      </c>
    </row>
    <row r="8" spans="1:2" x14ac:dyDescent="0.2">
      <c r="A8" s="1068">
        <v>4</v>
      </c>
      <c r="B8" s="329" t="s">
        <v>2090</v>
      </c>
    </row>
    <row r="9" spans="1:2" x14ac:dyDescent="0.2">
      <c r="A9" s="1069"/>
      <c r="B9" s="329" t="s">
        <v>2091</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Nashville CCSD 49</v>
      </c>
    </row>
    <row r="65" spans="2:2" x14ac:dyDescent="0.2">
      <c r="B65" s="1070">
        <f>COVER!A13</f>
        <v>13095049004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5" t="s">
        <v>1611</v>
      </c>
    </row>
    <row r="23" spans="1:5" x14ac:dyDescent="0.2">
      <c r="A23" s="168"/>
      <c r="B23" s="162" t="s">
        <v>1855</v>
      </c>
      <c r="D23" s="167" t="s">
        <v>637</v>
      </c>
      <c r="E23" s="1835"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Normal="100" workbookViewId="0">
      <selection activeCell="F52" sqref="F5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2" sqref="C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66675</xdr:colOff>
                <xdr:row>0</xdr:row>
                <xdr:rowOff>95250</xdr:rowOff>
              </from>
              <to>
                <xdr:col>1</xdr:col>
                <xdr:colOff>981075</xdr:colOff>
                <xdr:row>4</xdr:row>
                <xdr:rowOff>133350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1304925</xdr:colOff>
                <xdr:row>0</xdr:row>
                <xdr:rowOff>85725</xdr:rowOff>
              </from>
              <to>
                <xdr:col>1</xdr:col>
                <xdr:colOff>2219325</xdr:colOff>
                <xdr:row>4</xdr:row>
                <xdr:rowOff>123825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76200</xdr:colOff>
                <xdr:row>6</xdr:row>
                <xdr:rowOff>104775</xdr:rowOff>
              </from>
              <to>
                <xdr:col>1</xdr:col>
                <xdr:colOff>990600</xdr:colOff>
                <xdr:row>10</xdr:row>
                <xdr:rowOff>142875</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1285875</xdr:colOff>
                <xdr:row>6</xdr:row>
                <xdr:rowOff>142875</xdr:rowOff>
              </from>
              <to>
                <xdr:col>1</xdr:col>
                <xdr:colOff>2200275</xdr:colOff>
                <xdr:row>11</xdr:row>
                <xdr:rowOff>19050</xdr:rowOff>
              </to>
            </anchor>
          </objectPr>
        </oleObject>
      </mc:Choice>
      <mc:Fallback>
        <oleObject progId="Acrobat Document" dvAspect="DVASPECT_ICON" shapeId="36868"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9" zoomScaleNormal="100" workbookViewId="0">
      <selection activeCell="F52" sqref="F5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1984</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1985</v>
      </c>
      <c r="B4" s="2358"/>
      <c r="C4" s="2358"/>
      <c r="D4" s="2358"/>
      <c r="E4" s="2358"/>
      <c r="F4" s="2359"/>
      <c r="G4" s="1074"/>
      <c r="H4" s="1074"/>
    </row>
    <row r="5" spans="1:8" ht="14.25" customHeight="1" x14ac:dyDescent="0.2">
      <c r="A5" s="2360" t="s">
        <v>1981</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4768155</v>
      </c>
      <c r="C8" s="1814">
        <f>'Acct Summary 7-8'!D8</f>
        <v>518919</v>
      </c>
      <c r="D8" s="1814">
        <f>'Acct Summary 7-8'!F8</f>
        <v>492324</v>
      </c>
      <c r="E8" s="1814">
        <f>'Acct Summary 7-8'!I8</f>
        <v>66736</v>
      </c>
      <c r="F8" s="1814">
        <f>SUM(B8:E8)</f>
        <v>5846134</v>
      </c>
    </row>
    <row r="9" spans="1:8" s="1079" customFormat="1" ht="14.25" customHeight="1" thickBot="1" x14ac:dyDescent="0.25">
      <c r="A9" s="1078" t="s">
        <v>1369</v>
      </c>
      <c r="B9" s="1815">
        <f>'Acct Summary 7-8'!C17</f>
        <v>4277936</v>
      </c>
      <c r="C9" s="1815">
        <f>'Acct Summary 7-8'!D17</f>
        <v>479451</v>
      </c>
      <c r="D9" s="1815">
        <f>'Acct Summary 7-8'!F17</f>
        <v>435776</v>
      </c>
      <c r="E9" s="1814"/>
      <c r="F9" s="1814">
        <f>SUM(B9:E9)</f>
        <v>5193163</v>
      </c>
    </row>
    <row r="10" spans="1:8" s="1079" customFormat="1" ht="14.25" thickTop="1" thickBot="1" x14ac:dyDescent="0.25">
      <c r="A10" s="1080" t="s">
        <v>1370</v>
      </c>
      <c r="B10" s="1816">
        <f>(B8-B9)</f>
        <v>490219</v>
      </c>
      <c r="C10" s="1816">
        <f>(C8-C9)</f>
        <v>39468</v>
      </c>
      <c r="D10" s="1816">
        <f>(D8-D9)</f>
        <v>56548</v>
      </c>
      <c r="E10" s="1815">
        <f>(E8-E9)</f>
        <v>66736</v>
      </c>
      <c r="F10" s="1817">
        <f>SUM(F8-F9)</f>
        <v>652971</v>
      </c>
    </row>
    <row r="11" spans="1:8" s="1079" customFormat="1" ht="14.25" thickTop="1" thickBot="1" x14ac:dyDescent="0.25">
      <c r="A11" s="1081" t="s">
        <v>1982</v>
      </c>
      <c r="B11" s="1818">
        <f>'Acct Summary 7-8'!C81</f>
        <v>3682287</v>
      </c>
      <c r="C11" s="1818">
        <f>'Acct Summary 7-8'!D81</f>
        <v>499876</v>
      </c>
      <c r="D11" s="1818">
        <f>'Acct Summary 7-8'!F81</f>
        <v>439399</v>
      </c>
      <c r="E11" s="1818">
        <f>'Acct Summary 7-8'!I81</f>
        <v>810510</v>
      </c>
      <c r="F11" s="1819">
        <f>SUM(B11:E11)</f>
        <v>5432072</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9" colorId="8" zoomScale="110" zoomScaleNormal="110" workbookViewId="0">
      <selection activeCell="F52" sqref="F5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29'!D39&gt;0,"OK","PLEASE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13095049004</v>
      </c>
    </row>
    <row r="3" spans="1:2" x14ac:dyDescent="0.2">
      <c r="A3" t="s">
        <v>956</v>
      </c>
      <c r="B3" s="138" t="str">
        <f>COVER!A15</f>
        <v xml:space="preserve">Washington </v>
      </c>
    </row>
    <row r="4" spans="1:2" x14ac:dyDescent="0.2">
      <c r="A4" t="s">
        <v>1007</v>
      </c>
      <c r="B4" s="138" t="str">
        <f>COVER!A17</f>
        <v>Nashville CCSD 49</v>
      </c>
    </row>
    <row r="5" spans="1:2" x14ac:dyDescent="0.2">
      <c r="A5" t="s">
        <v>704</v>
      </c>
      <c r="B5" s="138" t="str">
        <f>COVER!A38</f>
        <v>Michael Brink</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060-004252</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1191 West Saint Louis Street</v>
      </c>
    </row>
    <row r="19" spans="1:2" x14ac:dyDescent="0.2">
      <c r="A19" t="s">
        <v>886</v>
      </c>
      <c r="B19" s="138" t="str">
        <f>COVER!T25</f>
        <v>donhoffman@emlingcpa.com</v>
      </c>
    </row>
    <row r="20" spans="1:2" x14ac:dyDescent="0.2">
      <c r="A20" t="s">
        <v>887</v>
      </c>
      <c r="B20" s="138" t="str">
        <f>COVER!T19</f>
        <v>Nashville</v>
      </c>
    </row>
    <row r="21" spans="1:2" x14ac:dyDescent="0.2">
      <c r="A21" t="s">
        <v>479</v>
      </c>
      <c r="B21" s="138" t="str">
        <f>COVER!X19</f>
        <v>IL</v>
      </c>
    </row>
    <row r="22" spans="1:2" x14ac:dyDescent="0.2">
      <c r="A22" t="s">
        <v>888</v>
      </c>
      <c r="B22" s="138">
        <f>COVER!Z19</f>
        <v>62263</v>
      </c>
    </row>
    <row r="23" spans="1:2" x14ac:dyDescent="0.2">
      <c r="A23" t="s">
        <v>1152</v>
      </c>
      <c r="B23" s="138" t="str">
        <f>COVER!T21</f>
        <v>618-327-4375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3298381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3682287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3682287</v>
      </c>
      <c r="D92" s="2" t="str">
        <f t="shared" si="0"/>
        <v>Error?</v>
      </c>
    </row>
    <row r="93" spans="1:4" x14ac:dyDescent="0.2">
      <c r="A93" s="5">
        <v>32</v>
      </c>
      <c r="B93" s="138">
        <f>'Assets-Liab 5-6'!C41</f>
        <v>3682287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450718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499876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499876</v>
      </c>
      <c r="D123" s="2" t="str">
        <f t="shared" si="0"/>
        <v>Error?</v>
      </c>
    </row>
    <row r="124" spans="1:4" x14ac:dyDescent="0.2">
      <c r="A124" s="5">
        <v>63</v>
      </c>
      <c r="B124" s="138">
        <f>'Assets-Liab 5-6'!D41</f>
        <v>499876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29250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29250</v>
      </c>
      <c r="D140" s="2" t="str">
        <f t="shared" si="1"/>
        <v>Error?</v>
      </c>
    </row>
    <row r="141" spans="1:4" x14ac:dyDescent="0.2">
      <c r="A141" s="5">
        <v>80</v>
      </c>
      <c r="B141" s="138">
        <f>'Assets-Liab 5-6'!E41</f>
        <v>29250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343826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439399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439399</v>
      </c>
      <c r="D170" s="2" t="str">
        <f t="shared" si="1"/>
        <v>Error?</v>
      </c>
    </row>
    <row r="171" spans="1:4" x14ac:dyDescent="0.2">
      <c r="A171" s="5">
        <v>110</v>
      </c>
      <c r="B171" s="138">
        <f>'Assets-Liab 5-6'!F41</f>
        <v>439399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82763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119821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119821</v>
      </c>
      <c r="D189" s="2" t="str">
        <f t="shared" si="1"/>
        <v>Error?</v>
      </c>
    </row>
    <row r="190" spans="1:4" x14ac:dyDescent="0.2">
      <c r="A190" s="5">
        <v>129</v>
      </c>
      <c r="B190" s="138">
        <f>'Assets-Liab 5-6'!G41</f>
        <v>119821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22098</v>
      </c>
      <c r="D273" s="2" t="str">
        <f t="shared" si="3"/>
        <v>Error?</v>
      </c>
    </row>
    <row r="274" spans="1:4" x14ac:dyDescent="0.2">
      <c r="A274" s="5">
        <v>213</v>
      </c>
      <c r="B274" s="138">
        <f>'Assets-Liab 5-6'!M17</f>
        <v>11075700</v>
      </c>
      <c r="D274" s="2" t="str">
        <f t="shared" si="3"/>
        <v>Error?</v>
      </c>
    </row>
    <row r="275" spans="1:4" x14ac:dyDescent="0.2">
      <c r="A275" s="5">
        <v>214</v>
      </c>
      <c r="B275" s="138">
        <f>'Assets-Liab 5-6'!M18</f>
        <v>343878</v>
      </c>
      <c r="D275" s="2" t="str">
        <f t="shared" si="3"/>
        <v>Error?</v>
      </c>
    </row>
    <row r="276" spans="1:4" x14ac:dyDescent="0.2">
      <c r="A276" s="5">
        <v>215</v>
      </c>
      <c r="B276" s="138">
        <f>'Assets-Liab 5-6'!M19</f>
        <v>2368751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13810427</v>
      </c>
      <c r="C279" s="2" t="s">
        <v>573</v>
      </c>
      <c r="D279" s="2" t="str">
        <f t="shared" si="3"/>
        <v>Error?</v>
      </c>
    </row>
    <row r="280" spans="1:4" x14ac:dyDescent="0.2">
      <c r="A280" s="5">
        <v>219</v>
      </c>
      <c r="B280" s="138">
        <f>'Assets-Liab 5-6'!M40</f>
        <v>13810427</v>
      </c>
      <c r="D280" s="2" t="str">
        <f t="shared" si="3"/>
        <v>Error?</v>
      </c>
    </row>
    <row r="281" spans="1:4" x14ac:dyDescent="0.2">
      <c r="A281" s="5">
        <v>220</v>
      </c>
      <c r="B281" s="138">
        <f>'Assets-Liab 5-6'!M41</f>
        <v>13810427</v>
      </c>
      <c r="C281" s="2" t="s">
        <v>573</v>
      </c>
      <c r="D281" s="2" t="str">
        <f t="shared" si="3"/>
        <v>Error?</v>
      </c>
    </row>
    <row r="282" spans="1:4" x14ac:dyDescent="0.2">
      <c r="A282" s="5">
        <v>221</v>
      </c>
      <c r="B282" s="138">
        <f>'Assets-Liab 5-6'!N21</f>
        <v>29250</v>
      </c>
      <c r="D282" s="2" t="str">
        <f t="shared" si="3"/>
        <v>Error?</v>
      </c>
    </row>
    <row r="283" spans="1:4" x14ac:dyDescent="0.2">
      <c r="A283" s="5">
        <v>222</v>
      </c>
      <c r="B283" s="138">
        <f>'Assets-Liab 5-6'!N22</f>
        <v>1947750</v>
      </c>
      <c r="D283" s="2" t="str">
        <f t="shared" si="3"/>
        <v>Error?</v>
      </c>
    </row>
    <row r="284" spans="1:4" x14ac:dyDescent="0.2">
      <c r="A284" s="5">
        <v>223</v>
      </c>
      <c r="B284" s="138">
        <f>'Assets-Liab 5-6'!N23</f>
        <v>1977000</v>
      </c>
      <c r="C284" s="2" t="s">
        <v>573</v>
      </c>
      <c r="D284" s="2" t="str">
        <f t="shared" si="3"/>
        <v>Error?</v>
      </c>
    </row>
    <row r="285" spans="1:4" x14ac:dyDescent="0.2">
      <c r="A285" s="5">
        <v>224</v>
      </c>
      <c r="B285" s="138">
        <f>'Assets-Liab 5-6'!N36</f>
        <v>1977000</v>
      </c>
      <c r="D285" s="2" t="str">
        <f t="shared" si="3"/>
        <v>Error?</v>
      </c>
    </row>
    <row r="286" spans="1:4" x14ac:dyDescent="0.2">
      <c r="A286" s="10">
        <v>225</v>
      </c>
      <c r="D286" s="2" t="str">
        <f t="shared" si="3"/>
        <v>OK</v>
      </c>
    </row>
    <row r="287" spans="1:4" x14ac:dyDescent="0.2">
      <c r="A287" s="5">
        <v>226</v>
      </c>
      <c r="B287" s="138">
        <f>'Assets-Liab 5-6'!N37</f>
        <v>1977000</v>
      </c>
      <c r="C287" s="2" t="s">
        <v>573</v>
      </c>
      <c r="D287" s="2" t="str">
        <f t="shared" si="3"/>
        <v>Error?</v>
      </c>
    </row>
    <row r="288" spans="1:4" x14ac:dyDescent="0.2">
      <c r="A288" s="5">
        <v>227</v>
      </c>
      <c r="B288" s="138">
        <f>'Assets-Liab 5-6'!N41</f>
        <v>1977000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1471101</v>
      </c>
      <c r="D705" s="2" t="str">
        <f t="shared" si="10"/>
        <v>Error?</v>
      </c>
    </row>
    <row r="706" spans="1:4" x14ac:dyDescent="0.2">
      <c r="A706" s="5">
        <v>645</v>
      </c>
      <c r="B706" s="138">
        <f>'Expenditures 15-22'!C16</f>
        <v>1460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191367</v>
      </c>
      <c r="D718" s="2" t="str">
        <f t="shared" si="10"/>
        <v>Error?</v>
      </c>
    </row>
    <row r="719" spans="1:4" x14ac:dyDescent="0.2">
      <c r="A719" s="5">
        <v>658</v>
      </c>
      <c r="B719" s="138">
        <f>'Expenditures 15-22'!C15</f>
        <v>2512</v>
      </c>
      <c r="D719" s="2" t="str">
        <f t="shared" si="10"/>
        <v>Error?</v>
      </c>
    </row>
    <row r="720" spans="1:4" x14ac:dyDescent="0.2">
      <c r="A720" s="5">
        <v>659</v>
      </c>
      <c r="B720" s="138">
        <f>'Expenditures 15-22'!C33</f>
        <v>2170683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41550</v>
      </c>
      <c r="D722" s="2" t="str">
        <f t="shared" si="10"/>
        <v>Error?</v>
      </c>
    </row>
    <row r="723" spans="1:4" x14ac:dyDescent="0.2">
      <c r="A723" s="5">
        <v>662</v>
      </c>
      <c r="B723" s="138">
        <f>'Expenditures 15-22'!C38</f>
        <v>21723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63273</v>
      </c>
      <c r="C727" s="2" t="s">
        <v>573</v>
      </c>
      <c r="D727" s="2" t="str">
        <f t="shared" si="10"/>
        <v>Error?</v>
      </c>
    </row>
    <row r="728" spans="1:4" x14ac:dyDescent="0.2">
      <c r="A728" s="5">
        <v>667</v>
      </c>
      <c r="B728" s="138">
        <f>'Expenditures 15-22'!C44</f>
        <v>3094</v>
      </c>
      <c r="D728" s="2" t="str">
        <f t="shared" si="10"/>
        <v>Error?</v>
      </c>
    </row>
    <row r="729" spans="1:4" x14ac:dyDescent="0.2">
      <c r="A729" s="5">
        <v>668</v>
      </c>
      <c r="B729" s="138">
        <f>'Expenditures 15-22'!C45</f>
        <v>123229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126323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67638</v>
      </c>
      <c r="D733" s="2" t="str">
        <f t="shared" si="10"/>
        <v>Error?</v>
      </c>
    </row>
    <row r="734" spans="1:4" x14ac:dyDescent="0.2">
      <c r="A734" s="5">
        <v>673</v>
      </c>
      <c r="B734" s="138">
        <f>'Expenditures 15-22'!C53</f>
        <v>67638</v>
      </c>
      <c r="C734" s="2" t="s">
        <v>573</v>
      </c>
      <c r="D734" s="2" t="str">
        <f t="shared" si="10"/>
        <v>Error?</v>
      </c>
    </row>
    <row r="735" spans="1:4" x14ac:dyDescent="0.2">
      <c r="A735" s="5">
        <v>674</v>
      </c>
      <c r="B735" s="138">
        <f>'Expenditures 15-22'!C55</f>
        <v>83175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83175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79514</v>
      </c>
      <c r="D739" s="2" t="str">
        <f t="shared" si="10"/>
        <v>Error?</v>
      </c>
    </row>
    <row r="740" spans="1:4" x14ac:dyDescent="0.2">
      <c r="A740" s="5">
        <v>679</v>
      </c>
      <c r="B740" s="138">
        <f>'Expenditures 15-22'!C61</f>
        <v>16356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15059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110929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451338</v>
      </c>
      <c r="C755" s="2" t="s">
        <v>573</v>
      </c>
      <c r="D755" s="2" t="str">
        <f t="shared" si="10"/>
        <v>Error?</v>
      </c>
    </row>
    <row r="756" spans="1:4" x14ac:dyDescent="0.2">
      <c r="A756" s="5">
        <v>695</v>
      </c>
      <c r="B756" s="138">
        <f>'Expenditures 15-22'!C75</f>
        <v>48716</v>
      </c>
      <c r="D756" s="2" t="str">
        <f t="shared" si="10"/>
        <v>Error?</v>
      </c>
    </row>
    <row r="757" spans="1:4" x14ac:dyDescent="0.2">
      <c r="A757" s="5">
        <v>696</v>
      </c>
      <c r="B757" s="138">
        <f>'Expenditures 15-22'!C114</f>
        <v>2670737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208566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19793</v>
      </c>
      <c r="D776" s="2" t="str">
        <f t="shared" si="11"/>
        <v>Error?</v>
      </c>
    </row>
    <row r="777" spans="1:4" x14ac:dyDescent="0.2">
      <c r="A777" s="5">
        <v>716</v>
      </c>
      <c r="B777" s="138">
        <f>'Expenditures 15-22'!D15</f>
        <v>290</v>
      </c>
      <c r="D777" s="2" t="str">
        <f t="shared" si="11"/>
        <v>Error?</v>
      </c>
    </row>
    <row r="778" spans="1:4" x14ac:dyDescent="0.2">
      <c r="A778" s="5">
        <v>717</v>
      </c>
      <c r="B778" s="138">
        <f>'Expenditures 15-22'!D33</f>
        <v>281495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5339</v>
      </c>
      <c r="D780" s="2" t="str">
        <f t="shared" si="11"/>
        <v>Error?</v>
      </c>
    </row>
    <row r="781" spans="1:4" x14ac:dyDescent="0.2">
      <c r="A781" s="5">
        <v>720</v>
      </c>
      <c r="B781" s="138">
        <f>'Expenditures 15-22'!D38</f>
        <v>53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5392</v>
      </c>
      <c r="C785" s="2" t="s">
        <v>573</v>
      </c>
      <c r="D785" s="2" t="str">
        <f t="shared" si="11"/>
        <v>Error?</v>
      </c>
    </row>
    <row r="786" spans="1:4" x14ac:dyDescent="0.2">
      <c r="A786" s="5">
        <v>725</v>
      </c>
      <c r="B786" s="138">
        <f>'Expenditures 15-22'!D44</f>
        <v>4514</v>
      </c>
      <c r="D786" s="2" t="str">
        <f t="shared" si="11"/>
        <v>Error?</v>
      </c>
    </row>
    <row r="787" spans="1:4" x14ac:dyDescent="0.2">
      <c r="A787" s="5">
        <v>726</v>
      </c>
      <c r="B787" s="138">
        <f>'Expenditures 15-22'!D45</f>
        <v>10184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14698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35169</v>
      </c>
      <c r="D791" s="2" t="str">
        <f t="shared" si="11"/>
        <v>Error?</v>
      </c>
    </row>
    <row r="792" spans="1:4" x14ac:dyDescent="0.2">
      <c r="A792" s="5">
        <v>731</v>
      </c>
      <c r="B792" s="138">
        <f>'Expenditures 15-22'!D53</f>
        <v>35169</v>
      </c>
      <c r="C792" s="2" t="s">
        <v>573</v>
      </c>
      <c r="D792" s="2" t="str">
        <f t="shared" si="11"/>
        <v>Error?</v>
      </c>
    </row>
    <row r="793" spans="1:4" x14ac:dyDescent="0.2">
      <c r="A793" s="5">
        <v>732</v>
      </c>
      <c r="B793" s="138">
        <f>'Expenditures 15-22'!D55</f>
        <v>37312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37312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3003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3003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95574</v>
      </c>
      <c r="C813" s="2" t="s">
        <v>573</v>
      </c>
      <c r="D813" s="2" t="str">
        <f t="shared" si="11"/>
        <v>Error?</v>
      </c>
    </row>
    <row r="814" spans="1:4" x14ac:dyDescent="0.2">
      <c r="A814" s="5">
        <v>753</v>
      </c>
      <c r="B814" s="138">
        <f>'Expenditures 15-22'!D75</f>
        <v>4096</v>
      </c>
      <c r="D814" s="2" t="str">
        <f t="shared" si="11"/>
        <v>Error?</v>
      </c>
    </row>
    <row r="815" spans="1:4" x14ac:dyDescent="0.2">
      <c r="A815" s="5">
        <v>754</v>
      </c>
      <c r="B815" s="138">
        <f>'Expenditures 15-22'!D114</f>
        <v>381165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46569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8074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66808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2231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2231</v>
      </c>
      <c r="C843" s="2" t="s">
        <v>573</v>
      </c>
      <c r="D843" s="2" t="str">
        <f t="shared" si="12"/>
        <v>Error?</v>
      </c>
    </row>
    <row r="844" spans="1:4" x14ac:dyDescent="0.2">
      <c r="A844" s="5">
        <v>783</v>
      </c>
      <c r="B844" s="138">
        <f>'Expenditures 15-22'!E44</f>
        <v>15594</v>
      </c>
      <c r="D844" s="2" t="str">
        <f t="shared" si="12"/>
        <v>Error?</v>
      </c>
    </row>
    <row r="845" spans="1:4" x14ac:dyDescent="0.2">
      <c r="A845" s="5">
        <v>784</v>
      </c>
      <c r="B845" s="138">
        <f>'Expenditures 15-22'!E45</f>
        <v>122874</v>
      </c>
      <c r="D845" s="2" t="str">
        <f t="shared" si="12"/>
        <v>Error?</v>
      </c>
    </row>
    <row r="846" spans="1:4" x14ac:dyDescent="0.2">
      <c r="A846" s="5">
        <v>785</v>
      </c>
      <c r="B846" s="138">
        <f>'Expenditures 15-22'!E46</f>
        <v>9634</v>
      </c>
      <c r="D846" s="2" t="str">
        <f t="shared" si="12"/>
        <v>Error?</v>
      </c>
    </row>
    <row r="847" spans="1:4" x14ac:dyDescent="0.2">
      <c r="A847" s="5">
        <v>786</v>
      </c>
      <c r="B847" s="138">
        <f>'Expenditures 15-22'!E47</f>
        <v>148102</v>
      </c>
      <c r="C847" s="2" t="s">
        <v>573</v>
      </c>
      <c r="D847" s="2" t="str">
        <f t="shared" si="12"/>
        <v>Error?</v>
      </c>
    </row>
    <row r="848" spans="1:4" x14ac:dyDescent="0.2">
      <c r="A848" s="5">
        <v>787</v>
      </c>
      <c r="B848" s="138">
        <f>'Expenditures 15-22'!E49</f>
        <v>29380</v>
      </c>
      <c r="D848" s="2" t="str">
        <f t="shared" si="12"/>
        <v>Error?</v>
      </c>
    </row>
    <row r="849" spans="1:4" x14ac:dyDescent="0.2">
      <c r="A849" s="5">
        <v>788</v>
      </c>
      <c r="B849" s="138">
        <f>'Expenditures 15-22'!E50</f>
        <v>1437</v>
      </c>
      <c r="D849" s="2" t="str">
        <f t="shared" si="12"/>
        <v>Error?</v>
      </c>
    </row>
    <row r="850" spans="1:4" x14ac:dyDescent="0.2">
      <c r="A850" s="5">
        <v>789</v>
      </c>
      <c r="B850" s="138">
        <f>'Expenditures 15-22'!E53</f>
        <v>30817</v>
      </c>
      <c r="C850" s="2" t="s">
        <v>573</v>
      </c>
      <c r="D850" s="2" t="str">
        <f t="shared" si="12"/>
        <v>Error?</v>
      </c>
    </row>
    <row r="851" spans="1:4" x14ac:dyDescent="0.2">
      <c r="A851" s="5">
        <v>790</v>
      </c>
      <c r="B851" s="138">
        <f>'Expenditures 15-22'!E55</f>
        <v>3883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3883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12341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183019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195360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380393</v>
      </c>
      <c r="C871" s="2" t="s">
        <v>573</v>
      </c>
      <c r="D871" s="2" t="str">
        <f t="shared" si="12"/>
        <v>Error?</v>
      </c>
    </row>
    <row r="872" spans="1:4" x14ac:dyDescent="0.2">
      <c r="A872" s="5">
        <v>811</v>
      </c>
      <c r="B872" s="138">
        <f>'Expenditures 15-22'!E75</f>
        <v>2805</v>
      </c>
      <c r="D872" s="2" t="str">
        <f t="shared" si="12"/>
        <v>Error?</v>
      </c>
    </row>
    <row r="873" spans="1:4" x14ac:dyDescent="0.2">
      <c r="A873" s="5">
        <v>812</v>
      </c>
      <c r="B873" s="138">
        <f>'Expenditures 15-22'!E114</f>
        <v>698931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68620</v>
      </c>
      <c r="D879" s="2" t="str">
        <f t="shared" si="12"/>
        <v>Error?</v>
      </c>
    </row>
    <row r="880" spans="1:4" x14ac:dyDescent="0.2">
      <c r="A880" s="5">
        <v>819</v>
      </c>
      <c r="B880" s="138">
        <f>'Expenditures 15-22'!F16</f>
        <v>1007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15953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91215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91</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32718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32718</v>
      </c>
      <c r="C905" s="2" t="s">
        <v>573</v>
      </c>
      <c r="D905" s="2" t="str">
        <f t="shared" si="13"/>
        <v>Error?</v>
      </c>
    </row>
    <row r="906" spans="1:4" x14ac:dyDescent="0.2">
      <c r="A906" s="5">
        <v>845</v>
      </c>
      <c r="B906" s="138">
        <f>'Expenditures 15-22'!F49</f>
        <v>481</v>
      </c>
      <c r="D906" s="2" t="str">
        <f t="shared" si="13"/>
        <v>Error?</v>
      </c>
    </row>
    <row r="907" spans="1:4" x14ac:dyDescent="0.2">
      <c r="A907" s="5">
        <v>846</v>
      </c>
      <c r="B907" s="138">
        <f>'Expenditures 15-22'!F50</f>
        <v>256</v>
      </c>
      <c r="D907" s="2" t="str">
        <f t="shared" si="13"/>
        <v>Error?</v>
      </c>
    </row>
    <row r="908" spans="1:4" x14ac:dyDescent="0.2">
      <c r="A908" s="5">
        <v>847</v>
      </c>
      <c r="B908" s="138">
        <f>'Expenditures 15-22'!F53</f>
        <v>737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1522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9590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11112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44658</v>
      </c>
      <c r="C929" s="2" t="s">
        <v>573</v>
      </c>
      <c r="D929" s="2" t="str">
        <f t="shared" si="13"/>
        <v>Error?</v>
      </c>
    </row>
    <row r="930" spans="1:4" x14ac:dyDescent="0.2">
      <c r="A930" s="5">
        <v>869</v>
      </c>
      <c r="B930" s="138">
        <f>'Expenditures 15-22'!F75</f>
        <v>6292</v>
      </c>
      <c r="D930" s="2" t="str">
        <f t="shared" si="13"/>
        <v>Error?</v>
      </c>
    </row>
    <row r="931" spans="1:4" x14ac:dyDescent="0.2">
      <c r="A931" s="5">
        <v>870</v>
      </c>
      <c r="B931" s="138">
        <f>'Expenditures 15-22'!F114</f>
        <v>142165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205403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205403</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205403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205403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16510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1105</v>
      </c>
      <c r="D1023" s="2" t="str">
        <f t="shared" ref="D1023:D1086" si="15">IF(ISBLANK(B1023),"OK",IF(A1023-B1023=0,"OK","Error?"))</f>
        <v>Error?</v>
      </c>
    </row>
    <row r="1024" spans="1:4" x14ac:dyDescent="0.2">
      <c r="A1024" s="5">
        <v>963</v>
      </c>
      <c r="B1024" s="138">
        <f>'Expenditures 15-22'!H53</f>
        <v>1105</v>
      </c>
      <c r="C1024" s="2" t="s">
        <v>573</v>
      </c>
      <c r="D1024" s="2" t="str">
        <f t="shared" si="15"/>
        <v>Error?</v>
      </c>
    </row>
    <row r="1025" spans="1:4" x14ac:dyDescent="0.2">
      <c r="A1025" s="5">
        <v>964</v>
      </c>
      <c r="B1025" s="138">
        <f>'Expenditures 15-22'!H55</f>
        <v>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1523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161502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179535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1794856</v>
      </c>
      <c r="C1093" s="2" t="s">
        <v>573</v>
      </c>
      <c r="D1093" s="2" t="str">
        <f t="shared" si="16"/>
        <v>Error?</v>
      </c>
    </row>
    <row r="1094" spans="1:4" x14ac:dyDescent="0.2">
      <c r="A1094" s="5">
        <v>1033</v>
      </c>
      <c r="B1094" s="138">
        <f>'Expenditures 15-22'!K16</f>
        <v>2467</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237847</v>
      </c>
      <c r="C1106" s="2" t="s">
        <v>573</v>
      </c>
      <c r="D1106" s="2" t="str">
        <f t="shared" si="16"/>
        <v>Error?</v>
      </c>
    </row>
    <row r="1107" spans="1:4" x14ac:dyDescent="0.2">
      <c r="A1107" s="5">
        <v>1046</v>
      </c>
      <c r="B1107" s="138">
        <f>'Expenditures 15-22'!K15</f>
        <v>2802</v>
      </c>
      <c r="C1107" s="2" t="s">
        <v>573</v>
      </c>
      <c r="D1107" s="2" t="str">
        <f t="shared" si="16"/>
        <v>Error?</v>
      </c>
    </row>
    <row r="1108" spans="1:4" x14ac:dyDescent="0.2">
      <c r="A1108" s="5">
        <v>1047</v>
      </c>
      <c r="B1108" s="138">
        <f>'Expenditures 15-22'!K33</f>
        <v>2626711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46980</v>
      </c>
      <c r="C1110" s="2" t="s">
        <v>573</v>
      </c>
      <c r="D1110" s="2" t="str">
        <f t="shared" si="16"/>
        <v>Error?</v>
      </c>
    </row>
    <row r="1111" spans="1:4" x14ac:dyDescent="0.2">
      <c r="A1111" s="5">
        <v>1050</v>
      </c>
      <c r="B1111" s="138">
        <f>'Expenditures 15-22'!K38</f>
        <v>24007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70987</v>
      </c>
      <c r="C1115" s="2" t="s">
        <v>573</v>
      </c>
      <c r="D1115" s="2" t="str">
        <f t="shared" si="16"/>
        <v>Error?</v>
      </c>
    </row>
    <row r="1116" spans="1:4" x14ac:dyDescent="0.2">
      <c r="A1116" s="5">
        <v>1055</v>
      </c>
      <c r="B1116" s="138">
        <f>'Expenditures 15-22'!K44</f>
        <v>23202</v>
      </c>
      <c r="C1116" s="2" t="s">
        <v>573</v>
      </c>
      <c r="D1116" s="2" t="str">
        <f t="shared" si="16"/>
        <v>Error?</v>
      </c>
    </row>
    <row r="1117" spans="1:4" x14ac:dyDescent="0.2">
      <c r="A1117" s="5">
        <v>1056</v>
      </c>
      <c r="B1117" s="138">
        <f>'Expenditures 15-22'!K45</f>
        <v>494408</v>
      </c>
      <c r="C1117" s="2" t="s">
        <v>573</v>
      </c>
      <c r="D1117" s="2" t="str">
        <f t="shared" si="16"/>
        <v>Error?</v>
      </c>
    </row>
    <row r="1118" spans="1:4" x14ac:dyDescent="0.2">
      <c r="A1118" s="5">
        <v>1057</v>
      </c>
      <c r="B1118" s="138">
        <f>'Expenditures 15-22'!K46</f>
        <v>9634</v>
      </c>
      <c r="C1118" s="2" t="s">
        <v>573</v>
      </c>
      <c r="D1118" s="2" t="str">
        <f t="shared" si="16"/>
        <v>Error?</v>
      </c>
    </row>
    <row r="1119" spans="1:4" x14ac:dyDescent="0.2">
      <c r="A1119" s="5">
        <v>1058</v>
      </c>
      <c r="B1119" s="138">
        <f>'Expenditures 15-22'!K47</f>
        <v>527244</v>
      </c>
      <c r="C1119" s="2" t="s">
        <v>573</v>
      </c>
      <c r="D1119" s="2" t="str">
        <f t="shared" si="16"/>
        <v>Error?</v>
      </c>
    </row>
    <row r="1120" spans="1:4" x14ac:dyDescent="0.2">
      <c r="A1120" s="5">
        <v>1059</v>
      </c>
      <c r="B1120" s="138">
        <f>'Expenditures 15-22'!K49</f>
        <v>29861</v>
      </c>
      <c r="C1120" s="2" t="s">
        <v>573</v>
      </c>
      <c r="D1120" s="2" t="str">
        <f t="shared" si="16"/>
        <v>Error?</v>
      </c>
    </row>
    <row r="1121" spans="1:4" x14ac:dyDescent="0.2">
      <c r="A1121" s="5">
        <v>1060</v>
      </c>
      <c r="B1121" s="138">
        <f>'Expenditures 15-22'!K50</f>
        <v>105605</v>
      </c>
      <c r="C1121" s="2" t="s">
        <v>573</v>
      </c>
      <c r="D1121" s="2" t="str">
        <f t="shared" si="16"/>
        <v>Error?</v>
      </c>
    </row>
    <row r="1122" spans="1:4" x14ac:dyDescent="0.2">
      <c r="A1122" s="5">
        <v>1061</v>
      </c>
      <c r="B1122" s="138">
        <f>'Expenditures 15-22'!K53</f>
        <v>135466</v>
      </c>
      <c r="C1122" s="2" t="s">
        <v>573</v>
      </c>
      <c r="D1122" s="2" t="str">
        <f t="shared" si="16"/>
        <v>Error?</v>
      </c>
    </row>
    <row r="1123" spans="1:4" x14ac:dyDescent="0.2">
      <c r="A1123" s="5">
        <v>1062</v>
      </c>
      <c r="B1123" s="138">
        <f>'Expenditures 15-22'!K55</f>
        <v>124765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124765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96403</v>
      </c>
      <c r="C1127" s="2" t="s">
        <v>573</v>
      </c>
      <c r="D1127" s="2" t="str">
        <f t="shared" si="16"/>
        <v>Error?</v>
      </c>
    </row>
    <row r="1128" spans="1:4" x14ac:dyDescent="0.2">
      <c r="A1128" s="5">
        <v>1067</v>
      </c>
      <c r="B1128" s="138">
        <f>'Expenditures 15-22'!K61</f>
        <v>16356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207668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320427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1178889</v>
      </c>
      <c r="C1143" s="2" t="s">
        <v>573</v>
      </c>
      <c r="D1143" s="2" t="str">
        <f t="shared" si="16"/>
        <v>Error?</v>
      </c>
    </row>
    <row r="1144" spans="1:4" x14ac:dyDescent="0.2">
      <c r="A1144" s="5">
        <v>1083</v>
      </c>
      <c r="B1144" s="138">
        <f>'Expenditures 15-22'!K75</f>
        <v>61909</v>
      </c>
      <c r="C1144" s="2" t="s">
        <v>573</v>
      </c>
      <c r="D1144" s="2" t="str">
        <f t="shared" si="16"/>
        <v>Error?</v>
      </c>
    </row>
    <row r="1145" spans="1:4" x14ac:dyDescent="0.2">
      <c r="A1145" s="5">
        <v>1084</v>
      </c>
      <c r="B1145" s="138">
        <f>'Expenditures 15-22'!K102</f>
        <v>410427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4277936</v>
      </c>
      <c r="C1152" s="2" t="s">
        <v>573</v>
      </c>
      <c r="D1152" s="2" t="str">
        <f t="shared" si="17"/>
        <v>Error?</v>
      </c>
    </row>
    <row r="1153" spans="1:4" x14ac:dyDescent="0.2">
      <c r="A1153" s="5">
        <v>1092</v>
      </c>
      <c r="B1153" s="138">
        <f>'Expenditures 15-22'!K115</f>
        <v>490219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132088</v>
      </c>
      <c r="D1221" s="2" t="str">
        <f t="shared" si="18"/>
        <v>Error?</v>
      </c>
    </row>
    <row r="1222" spans="1:4" x14ac:dyDescent="0.2">
      <c r="A1222" s="10">
        <v>1161</v>
      </c>
      <c r="D1222" s="2" t="str">
        <f t="shared" si="18"/>
        <v>OK</v>
      </c>
    </row>
    <row r="1223" spans="1:4" x14ac:dyDescent="0.2">
      <c r="A1223" s="5">
        <v>1162</v>
      </c>
      <c r="B1223" s="138">
        <f>'Expenditures 15-22'!C127</f>
        <v>132088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132088</v>
      </c>
      <c r="C1225" s="2" t="s">
        <v>573</v>
      </c>
      <c r="D1225" s="2" t="str">
        <f t="shared" si="18"/>
        <v>Error?</v>
      </c>
    </row>
    <row r="1226" spans="1:4" x14ac:dyDescent="0.2">
      <c r="A1226" s="5">
        <v>1165</v>
      </c>
      <c r="B1226" s="138">
        <f>'Expenditures 15-22'!C151</f>
        <v>132088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11997</v>
      </c>
      <c r="D1229" s="2" t="str">
        <f t="shared" si="18"/>
        <v>Error?</v>
      </c>
    </row>
    <row r="1230" spans="1:4" x14ac:dyDescent="0.2">
      <c r="A1230" s="10">
        <v>1169</v>
      </c>
      <c r="D1230" s="2" t="str">
        <f t="shared" si="18"/>
        <v>OK</v>
      </c>
    </row>
    <row r="1231" spans="1:4" x14ac:dyDescent="0.2">
      <c r="A1231" s="5">
        <v>1170</v>
      </c>
      <c r="B1231" s="138">
        <f>'Expenditures 15-22'!D127</f>
        <v>11997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11997</v>
      </c>
      <c r="C1233" s="2" t="s">
        <v>573</v>
      </c>
      <c r="D1233" s="2" t="str">
        <f t="shared" si="18"/>
        <v>Error?</v>
      </c>
    </row>
    <row r="1234" spans="1:4" x14ac:dyDescent="0.2">
      <c r="A1234" s="5">
        <v>1173</v>
      </c>
      <c r="B1234" s="138">
        <f>'Expenditures 15-22'!D151</f>
        <v>11997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125749</v>
      </c>
      <c r="D1237" s="2" t="str">
        <f t="shared" si="18"/>
        <v>Error?</v>
      </c>
    </row>
    <row r="1238" spans="1:4" x14ac:dyDescent="0.2">
      <c r="A1238" s="10">
        <v>1177</v>
      </c>
      <c r="D1238" s="2" t="str">
        <f t="shared" si="18"/>
        <v>OK</v>
      </c>
    </row>
    <row r="1239" spans="1:4" x14ac:dyDescent="0.2">
      <c r="A1239" s="5">
        <v>1178</v>
      </c>
      <c r="B1239" s="138">
        <f>'Expenditures 15-22'!E127</f>
        <v>125749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125749</v>
      </c>
      <c r="C1241" s="2" t="s">
        <v>573</v>
      </c>
      <c r="D1241" s="2" t="str">
        <f t="shared" si="18"/>
        <v>Error?</v>
      </c>
    </row>
    <row r="1242" spans="1:4" x14ac:dyDescent="0.2">
      <c r="A1242" s="5">
        <v>1181</v>
      </c>
      <c r="B1242" s="138">
        <f>'Expenditures 15-22'!E151</f>
        <v>125749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152952</v>
      </c>
      <c r="D1245" s="2" t="str">
        <f t="shared" si="18"/>
        <v>Error?</v>
      </c>
    </row>
    <row r="1246" spans="1:4" x14ac:dyDescent="0.2">
      <c r="A1246" s="10">
        <v>1185</v>
      </c>
      <c r="D1246" s="2" t="str">
        <f t="shared" si="18"/>
        <v>OK</v>
      </c>
    </row>
    <row r="1247" spans="1:4" x14ac:dyDescent="0.2">
      <c r="A1247" s="5">
        <v>1186</v>
      </c>
      <c r="B1247" s="138">
        <f>'Expenditures 15-22'!F127</f>
        <v>152952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152952</v>
      </c>
      <c r="C1249" s="2" t="s">
        <v>573</v>
      </c>
      <c r="D1249" s="2" t="str">
        <f t="shared" si="18"/>
        <v>Error?</v>
      </c>
    </row>
    <row r="1250" spans="1:4" x14ac:dyDescent="0.2">
      <c r="A1250" s="5">
        <v>1189</v>
      </c>
      <c r="B1250" s="138">
        <f>'Expenditures 15-22'!F151</f>
        <v>152952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14337</v>
      </c>
      <c r="D1252" s="2" t="str">
        <f t="shared" si="18"/>
        <v>Error?</v>
      </c>
    </row>
    <row r="1253" spans="1:4" x14ac:dyDescent="0.2">
      <c r="A1253" s="5">
        <v>1192</v>
      </c>
      <c r="B1253" s="138">
        <f>'Expenditures 15-22'!G124</f>
        <v>42328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56665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56665</v>
      </c>
      <c r="C1258" s="2" t="s">
        <v>573</v>
      </c>
      <c r="D1258" s="2" t="str">
        <f t="shared" si="18"/>
        <v>Error?</v>
      </c>
    </row>
    <row r="1259" spans="1:4" x14ac:dyDescent="0.2">
      <c r="A1259" s="5">
        <v>1198</v>
      </c>
      <c r="B1259" s="138">
        <f>'Expenditures 15-22'!G151</f>
        <v>56665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14337</v>
      </c>
      <c r="C1275" s="2" t="s">
        <v>573</v>
      </c>
      <c r="D1275" s="2" t="str">
        <f t="shared" si="18"/>
        <v>Error?</v>
      </c>
    </row>
    <row r="1276" spans="1:4" x14ac:dyDescent="0.2">
      <c r="A1276" s="5">
        <v>1215</v>
      </c>
      <c r="B1276" s="138">
        <f>'Expenditures 15-22'!K124</f>
        <v>465114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479451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479451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479451</v>
      </c>
      <c r="C1288" s="2" t="s">
        <v>573</v>
      </c>
      <c r="D1288" s="2" t="str">
        <f t="shared" si="19"/>
        <v>Error?</v>
      </c>
    </row>
    <row r="1289" spans="1:4" x14ac:dyDescent="0.2">
      <c r="A1289" s="5">
        <v>1228</v>
      </c>
      <c r="B1289" s="138">
        <f>'Expenditures 15-22'!K152</f>
        <v>39468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53528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233528</v>
      </c>
      <c r="C1317" s="2" t="s">
        <v>573</v>
      </c>
      <c r="D1317" s="2" t="str">
        <f t="shared" si="19"/>
        <v>Error?</v>
      </c>
    </row>
    <row r="1318" spans="1:4" x14ac:dyDescent="0.2">
      <c r="A1318" s="5">
        <v>1257</v>
      </c>
      <c r="B1318" s="138">
        <f>'Expenditures 15-22'!H174</f>
        <v>233528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53528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233528</v>
      </c>
      <c r="C1331" s="2" t="s">
        <v>573</v>
      </c>
      <c r="D1331" s="2" t="str">
        <f t="shared" si="19"/>
        <v>Error?</v>
      </c>
    </row>
    <row r="1332" spans="1:4" x14ac:dyDescent="0.2">
      <c r="A1332" s="5">
        <v>1271</v>
      </c>
      <c r="B1332" s="138">
        <f>'Expenditures 15-22'!K174</f>
        <v>233528</v>
      </c>
      <c r="C1332" s="2" t="s">
        <v>573</v>
      </c>
      <c r="D1332" s="2" t="str">
        <f t="shared" si="19"/>
        <v>Error?</v>
      </c>
    </row>
    <row r="1333" spans="1:4" x14ac:dyDescent="0.2">
      <c r="A1333" s="5">
        <v>1272</v>
      </c>
      <c r="B1333" s="138">
        <f>'Expenditures 15-22'!K175</f>
        <v>-282</v>
      </c>
      <c r="C1333" s="2" t="s">
        <v>573</v>
      </c>
      <c r="D1333" s="2" t="str">
        <f t="shared" si="19"/>
        <v>Error?</v>
      </c>
    </row>
    <row r="1334" spans="1:4" x14ac:dyDescent="0.2">
      <c r="A1334" s="10">
        <v>1273</v>
      </c>
      <c r="D1334" s="2" t="str">
        <f t="shared" si="19"/>
        <v>OK</v>
      </c>
    </row>
    <row r="1335" spans="1:4" x14ac:dyDescent="0.2">
      <c r="A1335" s="5">
        <v>1274</v>
      </c>
      <c r="B1335" s="138">
        <f>'Expenditures 15-22'!C182</f>
        <v>9293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9293</v>
      </c>
      <c r="C1339" s="2" t="s">
        <v>573</v>
      </c>
      <c r="D1339" s="2" t="str">
        <f t="shared" si="19"/>
        <v>Error?</v>
      </c>
    </row>
    <row r="1340" spans="1:4" x14ac:dyDescent="0.2">
      <c r="A1340" s="5">
        <v>1279</v>
      </c>
      <c r="B1340" s="138">
        <f>'Expenditures 15-22'!C210</f>
        <v>9293</v>
      </c>
      <c r="C1340" s="2" t="s">
        <v>573</v>
      </c>
      <c r="D1340" s="2" t="str">
        <f t="shared" si="19"/>
        <v>Error?</v>
      </c>
    </row>
    <row r="1341" spans="1:4" x14ac:dyDescent="0.2">
      <c r="A1341" s="5">
        <v>1280</v>
      </c>
      <c r="B1341" s="138">
        <f>'Expenditures 15-22'!D182</f>
        <v>3039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3039</v>
      </c>
      <c r="C1345" s="2" t="s">
        <v>573</v>
      </c>
      <c r="D1345" s="2" t="str">
        <f t="shared" si="20"/>
        <v>Error?</v>
      </c>
    </row>
    <row r="1346" spans="1:4" x14ac:dyDescent="0.2">
      <c r="A1346" s="5">
        <v>1285</v>
      </c>
      <c r="B1346" s="138">
        <f>'Expenditures 15-22'!D210</f>
        <v>3039</v>
      </c>
      <c r="C1346" s="2" t="s">
        <v>573</v>
      </c>
      <c r="D1346" s="2" t="str">
        <f t="shared" si="20"/>
        <v>Error?</v>
      </c>
    </row>
    <row r="1347" spans="1:4" x14ac:dyDescent="0.2">
      <c r="A1347" s="5">
        <v>1286</v>
      </c>
      <c r="B1347" s="138">
        <f>'Expenditures 15-22'!E182</f>
        <v>423444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423444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423444</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435776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435776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435776</v>
      </c>
      <c r="C1388" s="2" t="s">
        <v>573</v>
      </c>
      <c r="D1388" s="2" t="str">
        <f t="shared" si="20"/>
        <v>Error?</v>
      </c>
    </row>
    <row r="1389" spans="1:4" x14ac:dyDescent="0.2">
      <c r="A1389" s="5">
        <v>1328</v>
      </c>
      <c r="B1389" s="138">
        <f>'Expenditures 15-22'!K211</f>
        <v>56548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3919</v>
      </c>
      <c r="D1408" s="2" t="str">
        <f t="shared" si="21"/>
        <v>Error?</v>
      </c>
    </row>
    <row r="1409" spans="1:4" x14ac:dyDescent="0.2">
      <c r="A1409" s="5">
        <v>1348</v>
      </c>
      <c r="B1409" s="138">
        <f>'Expenditures 15-22'!D224</f>
        <v>36</v>
      </c>
      <c r="D1409" s="2" t="str">
        <f t="shared" si="21"/>
        <v>Error?</v>
      </c>
    </row>
    <row r="1410" spans="1:4" x14ac:dyDescent="0.2">
      <c r="A1410" s="5">
        <v>1349</v>
      </c>
      <c r="B1410" s="138">
        <f>'Expenditures 15-22'!D229</f>
        <v>62873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649</v>
      </c>
      <c r="D1412" s="2" t="str">
        <f t="shared" si="21"/>
        <v>Error?</v>
      </c>
    </row>
    <row r="1413" spans="1:4" x14ac:dyDescent="0.2">
      <c r="A1413" s="5">
        <v>1352</v>
      </c>
      <c r="B1413" s="138">
        <f>'Expenditures 15-22'!D234</f>
        <v>6813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7462</v>
      </c>
      <c r="C1417" s="2" t="s">
        <v>573</v>
      </c>
      <c r="D1417" s="2" t="str">
        <f t="shared" si="21"/>
        <v>Error?</v>
      </c>
    </row>
    <row r="1418" spans="1:4" x14ac:dyDescent="0.2">
      <c r="A1418" s="5">
        <v>1357</v>
      </c>
      <c r="B1418" s="138">
        <f>'Expenditures 15-22'!D240</f>
        <v>45</v>
      </c>
      <c r="D1418" s="2" t="str">
        <f t="shared" si="21"/>
        <v>Error?</v>
      </c>
    </row>
    <row r="1419" spans="1:4" x14ac:dyDescent="0.2">
      <c r="A1419" s="5">
        <v>1358</v>
      </c>
      <c r="B1419" s="138">
        <f>'Expenditures 15-22'!D241</f>
        <v>6470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6515</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1693</v>
      </c>
      <c r="D1423" s="2" t="str">
        <f t="shared" si="21"/>
        <v>Error?</v>
      </c>
    </row>
    <row r="1424" spans="1:4" x14ac:dyDescent="0.2">
      <c r="A1424" s="5">
        <v>1363</v>
      </c>
      <c r="B1424" s="138">
        <f>'Expenditures 15-22'!D257</f>
        <v>1693</v>
      </c>
      <c r="C1424" s="2" t="s">
        <v>573</v>
      </c>
      <c r="D1424" s="2" t="str">
        <f t="shared" si="21"/>
        <v>Error?</v>
      </c>
    </row>
    <row r="1425" spans="1:4" x14ac:dyDescent="0.2">
      <c r="A1425" s="5">
        <v>1364</v>
      </c>
      <c r="B1425" s="138">
        <f>'Expenditures 15-22'!D259</f>
        <v>1416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1416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13909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29059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2444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45412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62498</v>
      </c>
      <c r="C1446" s="2" t="s">
        <v>573</v>
      </c>
      <c r="D1446" s="2" t="str">
        <f t="shared" si="21"/>
        <v>Error?</v>
      </c>
    </row>
    <row r="1447" spans="1:4" x14ac:dyDescent="0.2">
      <c r="A1447" s="5">
        <v>1386</v>
      </c>
      <c r="B1447" s="138">
        <f>'Expenditures 15-22'!D280</f>
        <v>3874</v>
      </c>
      <c r="D1447" s="2" t="str">
        <f t="shared" si="21"/>
        <v>Error?</v>
      </c>
    </row>
    <row r="1448" spans="1:4" x14ac:dyDescent="0.2">
      <c r="A1448" s="5">
        <v>1387</v>
      </c>
      <c r="B1448" s="138">
        <f>'Expenditures 15-22'!D295</f>
        <v>129245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3919</v>
      </c>
      <c r="C1472" s="2" t="s">
        <v>573</v>
      </c>
      <c r="D1472" s="2" t="str">
        <f t="shared" si="22"/>
        <v>Error?</v>
      </c>
    </row>
    <row r="1473" spans="1:4" x14ac:dyDescent="0.2">
      <c r="A1473" s="5">
        <v>1412</v>
      </c>
      <c r="B1473" s="138">
        <f>'Expenditures 15-22'!K224</f>
        <v>36</v>
      </c>
      <c r="C1473" s="2" t="s">
        <v>573</v>
      </c>
      <c r="D1473" s="2" t="str">
        <f t="shared" si="22"/>
        <v>Error?</v>
      </c>
    </row>
    <row r="1474" spans="1:4" x14ac:dyDescent="0.2">
      <c r="A1474" s="5">
        <v>1413</v>
      </c>
      <c r="B1474" s="138">
        <f>'Expenditures 15-22'!K229</f>
        <v>62873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649</v>
      </c>
      <c r="C1476" s="2" t="s">
        <v>573</v>
      </c>
      <c r="D1476" s="2" t="str">
        <f t="shared" si="22"/>
        <v>Error?</v>
      </c>
    </row>
    <row r="1477" spans="1:4" x14ac:dyDescent="0.2">
      <c r="A1477" s="5">
        <v>1416</v>
      </c>
      <c r="B1477" s="138">
        <f>'Expenditures 15-22'!K234</f>
        <v>6813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7462</v>
      </c>
      <c r="C1481" s="2" t="s">
        <v>573</v>
      </c>
      <c r="D1481" s="2" t="str">
        <f t="shared" si="22"/>
        <v>Error?</v>
      </c>
    </row>
    <row r="1482" spans="1:4" x14ac:dyDescent="0.2">
      <c r="A1482" s="5">
        <v>1421</v>
      </c>
      <c r="B1482" s="138">
        <f>'Expenditures 15-22'!K240</f>
        <v>45</v>
      </c>
      <c r="C1482" s="2" t="s">
        <v>573</v>
      </c>
      <c r="D1482" s="2" t="str">
        <f t="shared" si="22"/>
        <v>Error?</v>
      </c>
    </row>
    <row r="1483" spans="1:4" x14ac:dyDescent="0.2">
      <c r="A1483" s="5">
        <v>1422</v>
      </c>
      <c r="B1483" s="138">
        <f>'Expenditures 15-22'!K241</f>
        <v>6470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6515</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1693</v>
      </c>
      <c r="C1487" s="2" t="s">
        <v>573</v>
      </c>
      <c r="D1487" s="2" t="str">
        <f t="shared" si="22"/>
        <v>Error?</v>
      </c>
    </row>
    <row r="1488" spans="1:4" x14ac:dyDescent="0.2">
      <c r="A1488" s="5">
        <v>1427</v>
      </c>
      <c r="B1488" s="138">
        <f>'Expenditures 15-22'!K257</f>
        <v>1693</v>
      </c>
      <c r="C1488" s="2" t="s">
        <v>573</v>
      </c>
      <c r="D1488" s="2" t="str">
        <f t="shared" si="22"/>
        <v>Error?</v>
      </c>
    </row>
    <row r="1489" spans="1:4" x14ac:dyDescent="0.2">
      <c r="A1489" s="5">
        <v>1428</v>
      </c>
      <c r="B1489" s="138">
        <f>'Expenditures 15-22'!K259</f>
        <v>1416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1416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13909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29059</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2444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45412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62498</v>
      </c>
      <c r="C1510" s="2" t="s">
        <v>573</v>
      </c>
      <c r="D1510" s="2" t="str">
        <f t="shared" si="22"/>
        <v>Error?</v>
      </c>
    </row>
    <row r="1511" spans="1:4" x14ac:dyDescent="0.2">
      <c r="A1511" s="5">
        <v>1450</v>
      </c>
      <c r="B1511" s="138">
        <f>'Expenditures 15-22'!K280</f>
        <v>3874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129245</v>
      </c>
      <c r="C1517" s="2" t="s">
        <v>573</v>
      </c>
      <c r="D1517" s="2" t="str">
        <f t="shared" si="22"/>
        <v>Error?</v>
      </c>
    </row>
    <row r="1518" spans="1:4" x14ac:dyDescent="0.2">
      <c r="A1518" s="5">
        <v>1457</v>
      </c>
      <c r="B1518" s="138">
        <f>'Expenditures 15-22'!K296</f>
        <v>11359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3192068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3682287</v>
      </c>
      <c r="C1630" s="2" t="s">
        <v>573</v>
      </c>
      <c r="D1630" s="2" t="str">
        <f t="shared" si="24"/>
        <v>Error?</v>
      </c>
    </row>
    <row r="1631" spans="1:4" x14ac:dyDescent="0.2">
      <c r="A1631" s="5">
        <v>1570</v>
      </c>
      <c r="B1631" s="138">
        <f>'Acct Summary 7-8'!D79</f>
        <v>460408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499876</v>
      </c>
      <c r="C1644" s="2" t="s">
        <v>573</v>
      </c>
      <c r="D1644" s="2" t="str">
        <f t="shared" si="24"/>
        <v>Error?</v>
      </c>
    </row>
    <row r="1645" spans="1:4" x14ac:dyDescent="0.2">
      <c r="A1645" s="5">
        <v>1584</v>
      </c>
      <c r="B1645" s="138">
        <f>'Acct Summary 7-8'!E79</f>
        <v>29532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29250</v>
      </c>
      <c r="C1658" s="2" t="s">
        <v>573</v>
      </c>
      <c r="D1658" s="2" t="str">
        <f t="shared" si="24"/>
        <v>Error?</v>
      </c>
    </row>
    <row r="1659" spans="1:4" x14ac:dyDescent="0.2">
      <c r="A1659" s="5">
        <v>1598</v>
      </c>
      <c r="B1659" s="138">
        <f>'Acct Summary 7-8'!F79</f>
        <v>382851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439399</v>
      </c>
      <c r="C1672" s="2" t="s">
        <v>573</v>
      </c>
      <c r="D1672" s="2" t="str">
        <f t="shared" si="25"/>
        <v>Error?</v>
      </c>
    </row>
    <row r="1673" spans="1:4" x14ac:dyDescent="0.2">
      <c r="A1673" s="5">
        <v>1612</v>
      </c>
      <c r="B1673" s="138">
        <f>'Acct Summary 7-8'!G79</f>
        <v>108462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119821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2360485</v>
      </c>
      <c r="C1744" s="2" t="s">
        <v>573</v>
      </c>
      <c r="D1744" s="2" t="str">
        <f t="shared" si="26"/>
        <v>Error?</v>
      </c>
    </row>
    <row r="1745" spans="1:5" x14ac:dyDescent="0.2">
      <c r="A1745" s="5">
        <v>1684</v>
      </c>
      <c r="B1745" s="138">
        <f>'Tax Sched 23'!B5</f>
        <v>334337</v>
      </c>
      <c r="C1745" s="2" t="s">
        <v>573</v>
      </c>
      <c r="D1745" s="2" t="str">
        <f t="shared" si="26"/>
        <v>Error?</v>
      </c>
    </row>
    <row r="1746" spans="1:5" x14ac:dyDescent="0.2">
      <c r="A1746" s="5">
        <v>1685</v>
      </c>
      <c r="B1746" s="138">
        <f>'Tax Sched 23'!B6</f>
        <v>233078</v>
      </c>
      <c r="C1746" s="2" t="s">
        <v>573</v>
      </c>
      <c r="D1746" s="2" t="str">
        <f t="shared" si="26"/>
        <v>Error?</v>
      </c>
    </row>
    <row r="1747" spans="1:5" x14ac:dyDescent="0.2">
      <c r="A1747" s="5">
        <v>1686</v>
      </c>
      <c r="B1747" s="138">
        <f>'Tax Sched 23'!B7</f>
        <v>229548</v>
      </c>
      <c r="C1747" s="2" t="s">
        <v>573</v>
      </c>
      <c r="D1747" s="2" t="str">
        <f t="shared" si="26"/>
        <v>Error?</v>
      </c>
    </row>
    <row r="1748" spans="1:5" x14ac:dyDescent="0.2">
      <c r="A1748" s="5">
        <v>1687</v>
      </c>
      <c r="B1748" s="138">
        <f>'Tax Sched 23'!B8</f>
        <v>69873</v>
      </c>
      <c r="C1748" s="2" t="s">
        <v>573</v>
      </c>
      <c r="D1748" s="2" t="str">
        <f t="shared" si="26"/>
        <v>Error?</v>
      </c>
    </row>
    <row r="1749" spans="1:5" x14ac:dyDescent="0.2">
      <c r="A1749" s="5">
        <v>1688</v>
      </c>
      <c r="B1749" s="138">
        <f>'Tax Sched 23'!B10</f>
        <v>60579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179653</v>
      </c>
      <c r="C1752" s="2" t="s">
        <v>573</v>
      </c>
      <c r="D1752" s="2" t="str">
        <f t="shared" si="26"/>
        <v>Error?</v>
      </c>
    </row>
    <row r="1753" spans="1:5" x14ac:dyDescent="0.2">
      <c r="A1753" s="5">
        <v>1692</v>
      </c>
      <c r="B1753" s="138">
        <f>'Tax Sched 23'!B12</f>
        <v>54898</v>
      </c>
      <c r="C1753" s="2" t="s">
        <v>573</v>
      </c>
      <c r="D1753" s="2" t="str">
        <f t="shared" si="26"/>
        <v>Error?</v>
      </c>
    </row>
    <row r="1754" spans="1:5" x14ac:dyDescent="0.2">
      <c r="A1754" s="5">
        <v>1693</v>
      </c>
      <c r="B1754" s="138">
        <f>'Tax Sched 23'!B14</f>
        <v>21966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3630260</v>
      </c>
      <c r="C1759" s="2" t="s">
        <v>573</v>
      </c>
      <c r="D1759" s="2" t="str">
        <f t="shared" si="26"/>
        <v>Error?</v>
      </c>
    </row>
    <row r="1760" spans="1:5" x14ac:dyDescent="0.2">
      <c r="A1760" s="5">
        <v>1699</v>
      </c>
      <c r="B1760" s="138">
        <f>'Tax Sched 23'!D4</f>
        <v>2360485</v>
      </c>
      <c r="C1760" s="2" t="s">
        <v>573</v>
      </c>
      <c r="D1760" s="2" t="str">
        <f t="shared" si="26"/>
        <v>Error?</v>
      </c>
    </row>
    <row r="1761" spans="1:5" x14ac:dyDescent="0.2">
      <c r="A1761" s="5">
        <v>1700</v>
      </c>
      <c r="B1761" s="138">
        <f>'Tax Sched 23'!D5</f>
        <v>334337</v>
      </c>
      <c r="C1761" s="2" t="s">
        <v>573</v>
      </c>
      <c r="D1761" s="2" t="str">
        <f t="shared" si="26"/>
        <v>Error?</v>
      </c>
    </row>
    <row r="1762" spans="1:5" s="8" customFormat="1" x14ac:dyDescent="0.2">
      <c r="A1762" s="5">
        <v>1701</v>
      </c>
      <c r="B1762" s="138">
        <f>'Tax Sched 23'!D6</f>
        <v>233078</v>
      </c>
      <c r="C1762" s="2" t="s">
        <v>573</v>
      </c>
      <c r="D1762" s="2" t="str">
        <f t="shared" si="26"/>
        <v>Error?</v>
      </c>
      <c r="E1762" s="9"/>
    </row>
    <row r="1763" spans="1:5" x14ac:dyDescent="0.2">
      <c r="A1763" s="5">
        <v>1702</v>
      </c>
      <c r="B1763" s="138">
        <f>'Tax Sched 23'!D7</f>
        <v>229548</v>
      </c>
      <c r="C1763" s="2" t="s">
        <v>573</v>
      </c>
      <c r="D1763" s="2" t="str">
        <f t="shared" si="26"/>
        <v>Error?</v>
      </c>
    </row>
    <row r="1764" spans="1:5" x14ac:dyDescent="0.2">
      <c r="A1764" s="5">
        <v>1703</v>
      </c>
      <c r="B1764" s="138">
        <f>'Tax Sched 23'!D8</f>
        <v>69873</v>
      </c>
      <c r="C1764" s="2" t="s">
        <v>573</v>
      </c>
      <c r="D1764" s="2" t="str">
        <f t="shared" si="26"/>
        <v>Error?</v>
      </c>
    </row>
    <row r="1765" spans="1:5" x14ac:dyDescent="0.2">
      <c r="A1765" s="5">
        <v>1704</v>
      </c>
      <c r="B1765" s="138">
        <f>'Tax Sched 23'!D10</f>
        <v>60579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179653</v>
      </c>
      <c r="C1768" s="2" t="s">
        <v>573</v>
      </c>
      <c r="D1768" s="2" t="str">
        <f t="shared" si="26"/>
        <v>Error?</v>
      </c>
    </row>
    <row r="1769" spans="1:5" x14ac:dyDescent="0.2">
      <c r="A1769" s="5">
        <v>1708</v>
      </c>
      <c r="B1769" s="138">
        <f>'Tax Sched 23'!D12</f>
        <v>54898</v>
      </c>
      <c r="C1769" s="2" t="s">
        <v>573</v>
      </c>
      <c r="D1769" s="2" t="str">
        <f t="shared" si="26"/>
        <v>Error?</v>
      </c>
    </row>
    <row r="1770" spans="1:5" x14ac:dyDescent="0.2">
      <c r="A1770" s="5">
        <v>1709</v>
      </c>
      <c r="B1770" s="138">
        <f>'Tax Sched 23'!D14</f>
        <v>21966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3630260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2569158</v>
      </c>
      <c r="C1792" s="2" t="s">
        <v>573</v>
      </c>
      <c r="D1792" s="2" t="str">
        <f t="shared" si="27"/>
        <v>Error?</v>
      </c>
    </row>
    <row r="1793" spans="1:4" x14ac:dyDescent="0.2">
      <c r="A1793" s="5">
        <v>1732</v>
      </c>
      <c r="B1793" s="138">
        <f>'Tax Sched 23'!F5</f>
        <v>342000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230000</v>
      </c>
      <c r="C1795" s="2" t="s">
        <v>573</v>
      </c>
      <c r="D1795" s="2" t="str">
        <f t="shared" si="27"/>
        <v>Error?</v>
      </c>
    </row>
    <row r="1796" spans="1:4" x14ac:dyDescent="0.2">
      <c r="A1796" s="5">
        <v>1735</v>
      </c>
      <c r="B1796" s="138">
        <f>'Tax Sched 23'!F8</f>
        <v>55000</v>
      </c>
      <c r="C1796" s="2" t="s">
        <v>573</v>
      </c>
      <c r="D1796" s="2" t="str">
        <f t="shared" si="27"/>
        <v>Error?</v>
      </c>
    </row>
    <row r="1797" spans="1:4" x14ac:dyDescent="0.2">
      <c r="A1797" s="5">
        <v>1736</v>
      </c>
      <c r="B1797" s="138">
        <f>'Tax Sched 23'!F10</f>
        <v>50000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180000</v>
      </c>
      <c r="C1800" s="2" t="s">
        <v>573</v>
      </c>
      <c r="D1800" s="2" t="str">
        <f t="shared" si="27"/>
        <v>Error?</v>
      </c>
    </row>
    <row r="1801" spans="1:4" x14ac:dyDescent="0.2">
      <c r="A1801" s="5">
        <v>1740</v>
      </c>
      <c r="B1801" s="138">
        <f>'Tax Sched 23'!F12</f>
        <v>55000</v>
      </c>
      <c r="C1801" s="2" t="s">
        <v>573</v>
      </c>
      <c r="D1801" s="2" t="str">
        <f t="shared" si="27"/>
        <v>Error?</v>
      </c>
    </row>
    <row r="1802" spans="1:4" x14ac:dyDescent="0.2">
      <c r="A1802" s="5">
        <v>1741</v>
      </c>
      <c r="B1802" s="138">
        <f>'Tax Sched 23'!F14</f>
        <v>22000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3574158</v>
      </c>
      <c r="C1807" s="2" t="s">
        <v>573</v>
      </c>
      <c r="D1807" s="2" t="str">
        <f t="shared" si="27"/>
        <v>Error?</v>
      </c>
    </row>
    <row r="1808" spans="1:4" x14ac:dyDescent="0.2">
      <c r="A1808" s="5">
        <v>1747</v>
      </c>
      <c r="B1808" s="138">
        <f>'Tax Sched 23'!E4</f>
        <v>2569158</v>
      </c>
      <c r="D1808" s="2" t="str">
        <f t="shared" si="27"/>
        <v>Error?</v>
      </c>
    </row>
    <row r="1809" spans="1:4" x14ac:dyDescent="0.2">
      <c r="A1809" s="5">
        <v>1748</v>
      </c>
      <c r="B1809" s="138">
        <f>'Tax Sched 23'!E5</f>
        <v>342000</v>
      </c>
      <c r="D1809" s="2" t="str">
        <f t="shared" si="27"/>
        <v>Error?</v>
      </c>
    </row>
    <row r="1810" spans="1:4" x14ac:dyDescent="0.2">
      <c r="A1810" s="5">
        <v>1749</v>
      </c>
      <c r="B1810" s="138">
        <f>'Tax Sched 23'!E6</f>
        <v>0</v>
      </c>
      <c r="D1810" s="2" t="str">
        <f t="shared" si="27"/>
        <v>Error?</v>
      </c>
    </row>
    <row r="1811" spans="1:4" x14ac:dyDescent="0.2">
      <c r="A1811" s="5">
        <v>1750</v>
      </c>
      <c r="B1811" s="138">
        <f>'Tax Sched 23'!E7</f>
        <v>230000</v>
      </c>
      <c r="D1811" s="2" t="str">
        <f t="shared" si="27"/>
        <v>Error?</v>
      </c>
    </row>
    <row r="1812" spans="1:4" x14ac:dyDescent="0.2">
      <c r="A1812" s="5">
        <v>1751</v>
      </c>
      <c r="B1812" s="138">
        <f>'Tax Sched 23'!E8</f>
        <v>55000</v>
      </c>
      <c r="D1812" s="2" t="str">
        <f t="shared" si="27"/>
        <v>Error?</v>
      </c>
    </row>
    <row r="1813" spans="1:4" x14ac:dyDescent="0.2">
      <c r="A1813" s="5">
        <v>1752</v>
      </c>
      <c r="B1813" s="138">
        <f>'Tax Sched 23'!E10</f>
        <v>50000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180000</v>
      </c>
      <c r="D1816" s="2" t="str">
        <f t="shared" si="27"/>
        <v>Error?</v>
      </c>
    </row>
    <row r="1817" spans="1:4" x14ac:dyDescent="0.2">
      <c r="A1817" s="5">
        <v>1756</v>
      </c>
      <c r="B1817" s="138">
        <f>'Tax Sched 23'!E12</f>
        <v>55000</v>
      </c>
      <c r="D1817" s="2" t="str">
        <f t="shared" si="27"/>
        <v>Error?</v>
      </c>
    </row>
    <row r="1818" spans="1:4" x14ac:dyDescent="0.2">
      <c r="A1818" s="5">
        <v>1757</v>
      </c>
      <c r="B1818" s="138">
        <f>'Tax Sched 23'!E14</f>
        <v>22000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3574158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2157000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21966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21966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21966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22098</v>
      </c>
      <c r="D2008" s="2" t="str">
        <f t="shared" si="30"/>
        <v>Error?</v>
      </c>
    </row>
    <row r="2009" spans="1:4" x14ac:dyDescent="0.2">
      <c r="A2009" s="5">
        <v>1948</v>
      </c>
      <c r="B2009" s="138">
        <f>'Cap Outlay Deprec 26'!C8</f>
        <v>11072057</v>
      </c>
      <c r="D2009" s="2" t="str">
        <f t="shared" si="30"/>
        <v>Error?</v>
      </c>
    </row>
    <row r="2010" spans="1:4" x14ac:dyDescent="0.2">
      <c r="A2010" s="5">
        <v>1949</v>
      </c>
      <c r="B2010" s="138">
        <f>'Cap Outlay Deprec 26'!C10</f>
        <v>333184</v>
      </c>
      <c r="D2010" s="2" t="str">
        <f t="shared" si="30"/>
        <v>Error?</v>
      </c>
    </row>
    <row r="2011" spans="1:4" x14ac:dyDescent="0.2">
      <c r="A2011" s="5">
        <v>1950</v>
      </c>
      <c r="B2011" s="138">
        <f>'Cap Outlay Deprec 26'!C12</f>
        <v>2121021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13548360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3644</v>
      </c>
      <c r="D2015" s="2" t="str">
        <f t="shared" si="30"/>
        <v>Error?</v>
      </c>
    </row>
    <row r="2016" spans="1:4" x14ac:dyDescent="0.2">
      <c r="A2016" s="5">
        <v>1955</v>
      </c>
      <c r="B2016" s="138">
        <f>'Cap Outlay Deprec 26'!D10</f>
        <v>10693</v>
      </c>
      <c r="D2016" s="2" t="str">
        <f t="shared" si="30"/>
        <v>Error?</v>
      </c>
    </row>
    <row r="2017" spans="1:4" x14ac:dyDescent="0.2">
      <c r="A2017" s="5">
        <v>1956</v>
      </c>
      <c r="B2017" s="138">
        <f>'Cap Outlay Deprec 26'!D12</f>
        <v>247730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262067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22098</v>
      </c>
      <c r="C2026" s="2" t="s">
        <v>573</v>
      </c>
      <c r="D2026" s="2" t="str">
        <f t="shared" si="30"/>
        <v>Error?</v>
      </c>
    </row>
    <row r="2027" spans="1:4" x14ac:dyDescent="0.2">
      <c r="A2027" s="5">
        <v>1966</v>
      </c>
      <c r="B2027" s="138">
        <f>'Cap Outlay Deprec 26'!F8</f>
        <v>11075701</v>
      </c>
      <c r="C2027" s="2" t="s">
        <v>573</v>
      </c>
      <c r="D2027" s="2" t="str">
        <f t="shared" si="30"/>
        <v>Error?</v>
      </c>
    </row>
    <row r="2028" spans="1:4" x14ac:dyDescent="0.2">
      <c r="A2028" s="5">
        <v>1967</v>
      </c>
      <c r="B2028" s="138">
        <f>'Cap Outlay Deprec 26'!F10</f>
        <v>343877</v>
      </c>
      <c r="C2028" s="2" t="s">
        <v>573</v>
      </c>
      <c r="D2028" s="2" t="str">
        <f t="shared" si="30"/>
        <v>Error?</v>
      </c>
    </row>
    <row r="2029" spans="1:4" x14ac:dyDescent="0.2">
      <c r="A2029" s="5">
        <v>1968</v>
      </c>
      <c r="B2029" s="138">
        <f>'Cap Outlay Deprec 26'!F12</f>
        <v>2368751</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13810427</v>
      </c>
      <c r="C2031" s="2" t="s">
        <v>573</v>
      </c>
      <c r="D2031" s="2" t="str">
        <f t="shared" si="30"/>
        <v>Error?</v>
      </c>
    </row>
    <row r="2032" spans="1:4" x14ac:dyDescent="0.2">
      <c r="A2032" s="10">
        <v>1971</v>
      </c>
      <c r="D2032" s="2" t="str">
        <f t="shared" si="30"/>
        <v>OK</v>
      </c>
    </row>
    <row r="2033" spans="1:4" x14ac:dyDescent="0.2">
      <c r="A2033" s="5">
        <v>1972</v>
      </c>
      <c r="B2033" s="138">
        <f>'Cap Outlay Deprec 26'!H8</f>
        <v>4554824</v>
      </c>
      <c r="D2033" s="2" t="str">
        <f t="shared" si="30"/>
        <v>Error?</v>
      </c>
    </row>
    <row r="2034" spans="1:4" x14ac:dyDescent="0.2">
      <c r="A2034" s="5">
        <v>1973</v>
      </c>
      <c r="B2034" s="138">
        <f>'Cap Outlay Deprec 26'!H10</f>
        <v>162662</v>
      </c>
      <c r="D2034" s="2" t="str">
        <f t="shared" si="30"/>
        <v>Error?</v>
      </c>
    </row>
    <row r="2035" spans="1:4" x14ac:dyDescent="0.2">
      <c r="A2035" s="5">
        <v>1974</v>
      </c>
      <c r="B2035" s="138">
        <f>'Cap Outlay Deprec 26'!H12</f>
        <v>1846418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6563904</v>
      </c>
      <c r="C2037" s="2" t="s">
        <v>573</v>
      </c>
      <c r="D2037" s="2" t="str">
        <f t="shared" si="30"/>
        <v>Error?</v>
      </c>
    </row>
    <row r="2038" spans="1:4" x14ac:dyDescent="0.2">
      <c r="A2038" s="10">
        <v>1977</v>
      </c>
      <c r="D2038" s="2" t="str">
        <f t="shared" si="30"/>
        <v>OK</v>
      </c>
    </row>
    <row r="2039" spans="1:4" x14ac:dyDescent="0.2">
      <c r="A2039" s="5">
        <v>1978</v>
      </c>
      <c r="B2039" s="138">
        <f>'Cap Outlay Deprec 26'!I8</f>
        <v>228290</v>
      </c>
      <c r="D2039" s="2" t="str">
        <f t="shared" si="30"/>
        <v>Error?</v>
      </c>
    </row>
    <row r="2040" spans="1:4" x14ac:dyDescent="0.2">
      <c r="A2040" s="5">
        <v>1979</v>
      </c>
      <c r="B2040" s="138">
        <f>'Cap Outlay Deprec 26'!I10</f>
        <v>11074</v>
      </c>
      <c r="D2040" s="2" t="str">
        <f t="shared" si="30"/>
        <v>Error?</v>
      </c>
    </row>
    <row r="2041" spans="1:4" x14ac:dyDescent="0.2">
      <c r="A2041" s="5">
        <v>1980</v>
      </c>
      <c r="B2041" s="138">
        <f>'Cap Outlay Deprec 26'!I12</f>
        <v>76801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316165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4783114</v>
      </c>
      <c r="C2051" s="2" t="s">
        <v>573</v>
      </c>
      <c r="D2051" s="2" t="str">
        <f t="shared" si="31"/>
        <v>Error?</v>
      </c>
    </row>
    <row r="2052" spans="1:4" x14ac:dyDescent="0.2">
      <c r="A2052" s="5">
        <v>1991</v>
      </c>
      <c r="B2052" s="138">
        <f>'Cap Outlay Deprec 26'!K10</f>
        <v>173736</v>
      </c>
      <c r="C2052" s="2" t="s">
        <v>573</v>
      </c>
      <c r="D2052" s="2" t="str">
        <f t="shared" si="31"/>
        <v>Error?</v>
      </c>
    </row>
    <row r="2053" spans="1:4" x14ac:dyDescent="0.2">
      <c r="A2053" s="5">
        <v>1992</v>
      </c>
      <c r="B2053" s="138">
        <f>'Cap Outlay Deprec 26'!K12</f>
        <v>1923219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6880069</v>
      </c>
      <c r="C2055" s="2" t="s">
        <v>573</v>
      </c>
      <c r="D2055" s="2" t="str">
        <f t="shared" si="31"/>
        <v>Error?</v>
      </c>
    </row>
    <row r="2056" spans="1:4" x14ac:dyDescent="0.2">
      <c r="A2056" s="5">
        <v>1995</v>
      </c>
      <c r="B2056" s="138">
        <f>'Cap Outlay Deprec 26'!L5</f>
        <v>22098</v>
      </c>
      <c r="C2056" s="2" t="s">
        <v>573</v>
      </c>
      <c r="D2056" s="2" t="str">
        <f t="shared" si="31"/>
        <v>Error?</v>
      </c>
    </row>
    <row r="2057" spans="1:4" x14ac:dyDescent="0.2">
      <c r="A2057" s="5">
        <v>1996</v>
      </c>
      <c r="B2057" s="138">
        <f>'Cap Outlay Deprec 26'!L8</f>
        <v>6292587</v>
      </c>
      <c r="C2057" s="2" t="s">
        <v>573</v>
      </c>
      <c r="D2057" s="2" t="str">
        <f t="shared" si="31"/>
        <v>Error?</v>
      </c>
    </row>
    <row r="2058" spans="1:4" x14ac:dyDescent="0.2">
      <c r="A2058" s="5">
        <v>1997</v>
      </c>
      <c r="B2058" s="138">
        <f>'Cap Outlay Deprec 26'!L10</f>
        <v>170141</v>
      </c>
      <c r="C2058" s="2" t="s">
        <v>573</v>
      </c>
      <c r="D2058" s="2" t="str">
        <f t="shared" si="31"/>
        <v>Error?</v>
      </c>
    </row>
    <row r="2059" spans="1:4" x14ac:dyDescent="0.2">
      <c r="A2059" s="5">
        <v>1998</v>
      </c>
      <c r="B2059" s="138">
        <f>'Cap Outlay Deprec 26'!L12</f>
        <v>445532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6930358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161502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410427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2723111</v>
      </c>
      <c r="C2551" s="2" t="s">
        <v>573</v>
      </c>
      <c r="D2551" s="2" t="str">
        <f t="shared" si="38"/>
        <v>Error?</v>
      </c>
    </row>
    <row r="2552" spans="1:4" x14ac:dyDescent="0.2">
      <c r="A2552" s="10">
        <v>2491</v>
      </c>
      <c r="D2552" s="2" t="str">
        <f t="shared" si="38"/>
        <v>OK</v>
      </c>
    </row>
    <row r="2553" spans="1:4" x14ac:dyDescent="0.2">
      <c r="A2553" s="5">
        <v>2492</v>
      </c>
      <c r="B2553" s="138">
        <f>'Acct Summary 7-8'!C6</f>
        <v>1685771</v>
      </c>
      <c r="C2553" s="2" t="s">
        <v>573</v>
      </c>
      <c r="D2553" s="2" t="str">
        <f t="shared" si="38"/>
        <v>Error?</v>
      </c>
    </row>
    <row r="2554" spans="1:4" x14ac:dyDescent="0.2">
      <c r="A2554" s="5">
        <v>2493</v>
      </c>
      <c r="B2554" s="138">
        <f>'Acct Summary 7-8'!C7</f>
        <v>359273</v>
      </c>
      <c r="C2554" s="2" t="s">
        <v>573</v>
      </c>
      <c r="D2554" s="2" t="str">
        <f t="shared" si="38"/>
        <v>Error?</v>
      </c>
    </row>
    <row r="2555" spans="1:4" x14ac:dyDescent="0.2">
      <c r="A2555" s="5">
        <v>2494</v>
      </c>
      <c r="B2555" s="138">
        <f>'Acct Summary 7-8'!C8</f>
        <v>4768155</v>
      </c>
      <c r="C2555" s="2" t="s">
        <v>573</v>
      </c>
      <c r="D2555" s="2" t="str">
        <f t="shared" si="38"/>
        <v>Error?</v>
      </c>
    </row>
    <row r="2556" spans="1:4" x14ac:dyDescent="0.2">
      <c r="A2556" s="5">
        <v>2495</v>
      </c>
      <c r="B2556" s="138">
        <f>'Acct Summary 7-8'!C12</f>
        <v>2626711</v>
      </c>
      <c r="C2556" s="2" t="s">
        <v>573</v>
      </c>
      <c r="D2556" s="2" t="str">
        <f t="shared" si="38"/>
        <v>Error?</v>
      </c>
    </row>
    <row r="2557" spans="1:4" x14ac:dyDescent="0.2">
      <c r="A2557" s="5">
        <v>2496</v>
      </c>
      <c r="B2557" s="138">
        <f>'Acct Summary 7-8'!C13</f>
        <v>1178889</v>
      </c>
      <c r="C2557" s="2" t="s">
        <v>573</v>
      </c>
      <c r="D2557" s="2" t="str">
        <f t="shared" si="38"/>
        <v>Error?</v>
      </c>
    </row>
    <row r="2558" spans="1:4" x14ac:dyDescent="0.2">
      <c r="A2558" s="5">
        <v>2497</v>
      </c>
      <c r="B2558" s="138">
        <f>'Acct Summary 7-8'!C14</f>
        <v>61909</v>
      </c>
      <c r="C2558" s="2" t="s">
        <v>573</v>
      </c>
      <c r="D2558" s="2" t="str">
        <f t="shared" si="38"/>
        <v>Error?</v>
      </c>
    </row>
    <row r="2559" spans="1:4" x14ac:dyDescent="0.2">
      <c r="A2559" s="5">
        <v>2498</v>
      </c>
      <c r="B2559" s="138">
        <f>'Acct Summary 7-8'!C15</f>
        <v>410427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4277936</v>
      </c>
      <c r="C2561" s="2" t="s">
        <v>573</v>
      </c>
      <c r="D2561" s="2" t="str">
        <f t="shared" si="39"/>
        <v>Error?</v>
      </c>
    </row>
    <row r="2562" spans="1:4" x14ac:dyDescent="0.2">
      <c r="A2562" s="5">
        <v>2501</v>
      </c>
      <c r="B2562" s="138">
        <f>'Acct Summary 7-8'!C20</f>
        <v>490219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518919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518919</v>
      </c>
      <c r="C2568" s="2" t="s">
        <v>573</v>
      </c>
      <c r="D2568" s="2" t="str">
        <f t="shared" si="39"/>
        <v>Error?</v>
      </c>
    </row>
    <row r="2569" spans="1:4" x14ac:dyDescent="0.2">
      <c r="A2569" s="5">
        <v>2508</v>
      </c>
      <c r="B2569" s="138">
        <f>'Acct Summary 7-8'!D13</f>
        <v>479451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479451</v>
      </c>
      <c r="C2573" s="2" t="s">
        <v>573</v>
      </c>
      <c r="D2573" s="2" t="str">
        <f t="shared" si="39"/>
        <v>Error?</v>
      </c>
    </row>
    <row r="2574" spans="1:4" x14ac:dyDescent="0.2">
      <c r="A2574" s="5">
        <v>2513</v>
      </c>
      <c r="B2574" s="138">
        <f>'Acct Summary 7-8'!D20</f>
        <v>39468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232827</v>
      </c>
      <c r="C2591" s="2" t="s">
        <v>573</v>
      </c>
      <c r="D2591" s="2" t="str">
        <f t="shared" si="39"/>
        <v>Error?</v>
      </c>
    </row>
    <row r="2592" spans="1:4" x14ac:dyDescent="0.2">
      <c r="A2592" s="10">
        <v>2531</v>
      </c>
      <c r="D2592" s="2" t="str">
        <f t="shared" si="39"/>
        <v>OK</v>
      </c>
    </row>
    <row r="2593" spans="1:4" x14ac:dyDescent="0.2">
      <c r="A2593" s="5">
        <v>2532</v>
      </c>
      <c r="B2593" s="138">
        <f>'Acct Summary 7-8'!F6</f>
        <v>259497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492324</v>
      </c>
      <c r="C2595" s="2" t="s">
        <v>573</v>
      </c>
      <c r="D2595" s="2" t="str">
        <f t="shared" si="39"/>
        <v>Error?</v>
      </c>
    </row>
    <row r="2596" spans="1:4" x14ac:dyDescent="0.2">
      <c r="A2596" s="5">
        <v>2535</v>
      </c>
      <c r="B2596" s="138">
        <f>'Acct Summary 7-8'!F13</f>
        <v>435776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435776</v>
      </c>
      <c r="C2600" s="2" t="s">
        <v>573</v>
      </c>
      <c r="D2600" s="2" t="str">
        <f t="shared" si="39"/>
        <v>Error?</v>
      </c>
    </row>
    <row r="2601" spans="1:4" x14ac:dyDescent="0.2">
      <c r="A2601" s="5">
        <v>2540</v>
      </c>
      <c r="B2601" s="138">
        <f>'Acct Summary 7-8'!F20</f>
        <v>56548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140604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140604</v>
      </c>
      <c r="C2606" s="2" t="s">
        <v>573</v>
      </c>
      <c r="D2606" s="2" t="str">
        <f t="shared" si="39"/>
        <v>Error?</v>
      </c>
    </row>
    <row r="2607" spans="1:4" x14ac:dyDescent="0.2">
      <c r="A2607" s="5">
        <v>2546</v>
      </c>
      <c r="B2607" s="138">
        <f>'Acct Summary 7-8'!G12</f>
        <v>62873</v>
      </c>
      <c r="C2607" s="2" t="s">
        <v>573</v>
      </c>
      <c r="D2607" s="2" t="str">
        <f t="shared" si="39"/>
        <v>Error?</v>
      </c>
    </row>
    <row r="2608" spans="1:4" x14ac:dyDescent="0.2">
      <c r="A2608" s="5">
        <v>2547</v>
      </c>
      <c r="B2608" s="138">
        <f>'Acct Summary 7-8'!G13</f>
        <v>62498</v>
      </c>
      <c r="C2608" s="2" t="s">
        <v>573</v>
      </c>
      <c r="D2608" s="2" t="str">
        <f t="shared" si="39"/>
        <v>Error?</v>
      </c>
    </row>
    <row r="2609" spans="1:4" x14ac:dyDescent="0.2">
      <c r="A2609" s="5">
        <v>2548</v>
      </c>
      <c r="B2609" s="138">
        <f>'Acct Summary 7-8'!G14</f>
        <v>3874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129245</v>
      </c>
      <c r="C2612" s="2" t="s">
        <v>573</v>
      </c>
      <c r="D2612" s="2" t="str">
        <f t="shared" si="39"/>
        <v>Error?</v>
      </c>
    </row>
    <row r="2613" spans="1:4" x14ac:dyDescent="0.2">
      <c r="A2613" s="5">
        <v>2552</v>
      </c>
      <c r="B2613" s="138">
        <f>'Acct Summary 7-8'!G20</f>
        <v>11359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233246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233246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233528</v>
      </c>
      <c r="C2634" s="2" t="s">
        <v>573</v>
      </c>
      <c r="D2634" s="2" t="str">
        <f t="shared" si="40"/>
        <v>Error?</v>
      </c>
    </row>
    <row r="2635" spans="1:4" x14ac:dyDescent="0.2">
      <c r="A2635" s="5">
        <v>2574</v>
      </c>
      <c r="B2635" s="138">
        <f>'Acct Summary 7-8'!E17</f>
        <v>233528</v>
      </c>
      <c r="C2635" s="2" t="s">
        <v>573</v>
      </c>
      <c r="D2635" s="2" t="str">
        <f t="shared" si="40"/>
        <v>Error?</v>
      </c>
    </row>
    <row r="2636" spans="1:4" x14ac:dyDescent="0.2">
      <c r="A2636" s="5">
        <v>2575</v>
      </c>
      <c r="B2636" s="138">
        <f>'Acct Summary 7-8'!E20</f>
        <v>-282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248925</v>
      </c>
      <c r="C2789" s="2" t="s">
        <v>573</v>
      </c>
      <c r="D2789" s="2" t="str">
        <f t="shared" si="42"/>
        <v>Error?</v>
      </c>
    </row>
    <row r="2790" spans="1:4" x14ac:dyDescent="0.2">
      <c r="A2790" s="5">
        <v>2729</v>
      </c>
      <c r="B2790" s="138">
        <f>'Expenditures 15-22'!E102</f>
        <v>248925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809325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810510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44757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810510</v>
      </c>
      <c r="D2912" s="2" t="str">
        <f t="shared" si="44"/>
        <v>Error?</v>
      </c>
    </row>
    <row r="2913" spans="1:4" x14ac:dyDescent="0.2">
      <c r="A2913" s="5">
        <v>2852</v>
      </c>
      <c r="B2913" s="138">
        <f>'Assets-Liab 5-6'!I41</f>
        <v>810510</v>
      </c>
      <c r="C2913" s="2" t="s">
        <v>573</v>
      </c>
      <c r="D2913" s="2" t="str">
        <f t="shared" si="44"/>
        <v>Error?</v>
      </c>
    </row>
    <row r="2914" spans="1:4" x14ac:dyDescent="0.2">
      <c r="A2914" s="5">
        <v>2853</v>
      </c>
      <c r="B2914" s="138">
        <f>'Assets-Liab 5-6'!L33</f>
        <v>44757</v>
      </c>
      <c r="D2914" s="2" t="str">
        <f t="shared" si="44"/>
        <v>Error?</v>
      </c>
    </row>
    <row r="2915" spans="1:4" x14ac:dyDescent="0.2">
      <c r="A2915" s="10">
        <v>2854</v>
      </c>
      <c r="D2915" s="2" t="str">
        <f t="shared" si="44"/>
        <v>OK</v>
      </c>
    </row>
    <row r="2916" spans="1:4" x14ac:dyDescent="0.2">
      <c r="A2916" s="5">
        <v>2855</v>
      </c>
      <c r="B2916" s="138">
        <f>'Assets-Liab 5-6'!L34</f>
        <v>44757</v>
      </c>
      <c r="C2916" s="2" t="s">
        <v>573</v>
      </c>
      <c r="D2916" s="2" t="str">
        <f t="shared" si="44"/>
        <v>Error?</v>
      </c>
    </row>
    <row r="2917" spans="1:4" x14ac:dyDescent="0.2">
      <c r="A2917" s="5">
        <v>2856</v>
      </c>
      <c r="B2917" s="138">
        <f>'Assets-Liab 5-6'!L41</f>
        <v>44757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4898</v>
      </c>
      <c r="D2949" s="2" t="str">
        <f t="shared" si="45"/>
        <v>Error?</v>
      </c>
    </row>
    <row r="2950" spans="1:4" x14ac:dyDescent="0.2">
      <c r="A2950" s="5">
        <v>2889</v>
      </c>
      <c r="B2950" s="138">
        <f>'Expenditures 15-22'!E79</f>
        <v>244027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161502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4898</v>
      </c>
      <c r="C2973" s="2" t="s">
        <v>573</v>
      </c>
      <c r="D2973" s="2" t="str">
        <f t="shared" si="45"/>
        <v>Error?</v>
      </c>
    </row>
    <row r="2974" spans="1:4" x14ac:dyDescent="0.2">
      <c r="A2974" s="5">
        <v>2913</v>
      </c>
      <c r="B2974" s="138">
        <f>'Expenditures 15-22'!K79</f>
        <v>405529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82394</v>
      </c>
      <c r="D3055" s="2" t="str">
        <f t="shared" si="46"/>
        <v>Error?</v>
      </c>
    </row>
    <row r="3056" spans="1:4" x14ac:dyDescent="0.2">
      <c r="A3056" s="5">
        <v>2995</v>
      </c>
      <c r="B3056" s="138">
        <f>'Expenditures 15-22'!D10</f>
        <v>4961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2911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90266</v>
      </c>
      <c r="C3062" s="2" t="s">
        <v>573</v>
      </c>
      <c r="D3062" s="2" t="str">
        <f t="shared" si="46"/>
        <v>Error?</v>
      </c>
    </row>
    <row r="3063" spans="1:4" x14ac:dyDescent="0.2">
      <c r="A3063" s="10">
        <v>3002</v>
      </c>
      <c r="D3063" s="2" t="str">
        <f t="shared" si="46"/>
        <v>OK</v>
      </c>
    </row>
    <row r="3064" spans="1:4" x14ac:dyDescent="0.2">
      <c r="A3064" s="5">
        <v>3003</v>
      </c>
      <c r="B3064" s="138">
        <f>'Expenditures 15-22'!D219</f>
        <v>4173</v>
      </c>
      <c r="D3064" s="2" t="str">
        <f t="shared" si="46"/>
        <v>Error?</v>
      </c>
    </row>
    <row r="3065" spans="1:4" x14ac:dyDescent="0.2">
      <c r="A3065" s="5">
        <v>3004</v>
      </c>
      <c r="B3065" s="138">
        <f>'Expenditures 15-22'!K219</f>
        <v>4173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66736</v>
      </c>
      <c r="C3225" s="2" t="s">
        <v>573</v>
      </c>
      <c r="D3225" s="2" t="str">
        <f t="shared" si="49"/>
        <v>Error?</v>
      </c>
    </row>
    <row r="3226" spans="1:4" x14ac:dyDescent="0.2">
      <c r="A3226" s="5">
        <v>3165</v>
      </c>
      <c r="B3226" s="138">
        <f>'Acct Summary 7-8'!I8</f>
        <v>66736</v>
      </c>
      <c r="C3226" s="2" t="s">
        <v>573</v>
      </c>
      <c r="D3226" s="2" t="str">
        <f t="shared" si="49"/>
        <v>Error?</v>
      </c>
    </row>
    <row r="3227" spans="1:4" x14ac:dyDescent="0.2">
      <c r="A3227" s="5">
        <v>3166</v>
      </c>
      <c r="B3227" s="138">
        <f>'Acct Summary 7-8'!I20</f>
        <v>66736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490219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39468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56548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11359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-282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66736</v>
      </c>
      <c r="C3320" s="2" t="s">
        <v>573</v>
      </c>
      <c r="D3320" s="2" t="str">
        <f t="shared" si="50"/>
        <v>Error?</v>
      </c>
    </row>
    <row r="3321" spans="1:4" x14ac:dyDescent="0.2">
      <c r="A3321" s="5">
        <v>3260</v>
      </c>
      <c r="B3321" s="138">
        <f>'Acct Summary 7-8'!I79</f>
        <v>743774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810510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323441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40493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2724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13850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366658</v>
      </c>
      <c r="C3380" s="2" t="s">
        <v>573</v>
      </c>
      <c r="D3380" s="2" t="str">
        <f t="shared" si="51"/>
        <v>Error?</v>
      </c>
    </row>
    <row r="3381" spans="1:4" x14ac:dyDescent="0.2">
      <c r="A3381" s="5">
        <v>3320</v>
      </c>
      <c r="B3381" s="138">
        <f>'Expenditures 15-22'!K19</f>
        <v>13850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33211</v>
      </c>
      <c r="D3387" s="2" t="str">
        <f t="shared" si="51"/>
        <v>Error?</v>
      </c>
    </row>
    <row r="3388" spans="1:4" x14ac:dyDescent="0.2">
      <c r="A3388" s="5">
        <v>3327</v>
      </c>
      <c r="B3388" s="138">
        <f>'Expenditures 15-22'!D217</f>
        <v>17055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33211</v>
      </c>
      <c r="C3390" s="2" t="s">
        <v>573</v>
      </c>
      <c r="D3390" s="2" t="str">
        <f t="shared" si="51"/>
        <v>Error?</v>
      </c>
    </row>
    <row r="3391" spans="1:4" x14ac:dyDescent="0.2">
      <c r="A3391" s="5">
        <v>3330</v>
      </c>
      <c r="B3391" s="138">
        <f>'Expenditures 15-22'!K217</f>
        <v>17055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383906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49158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29250</v>
      </c>
      <c r="D3417" s="2" t="str">
        <f t="shared" si="52"/>
        <v>Error?</v>
      </c>
    </row>
    <row r="3418" spans="1:4" x14ac:dyDescent="0.2">
      <c r="A3418" s="10">
        <v>3357</v>
      </c>
      <c r="D3418" s="2" t="str">
        <f t="shared" si="52"/>
        <v>OK</v>
      </c>
    </row>
    <row r="3419" spans="1:4" x14ac:dyDescent="0.2">
      <c r="A3419" s="5">
        <v>3358</v>
      </c>
      <c r="B3419" s="138">
        <f>'Assets-Liab 5-6'!F4</f>
        <v>95573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37058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44757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69873</v>
      </c>
      <c r="C3446" s="2" t="s">
        <v>573</v>
      </c>
      <c r="D3446" s="2" t="str">
        <f t="shared" si="52"/>
        <v>Error?</v>
      </c>
    </row>
    <row r="3447" spans="1:4" x14ac:dyDescent="0.2">
      <c r="A3447" s="5">
        <v>3386</v>
      </c>
      <c r="B3447" s="138">
        <f>'Tax Sched 23'!D16</f>
        <v>69873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55000</v>
      </c>
      <c r="C3449" s="2" t="s">
        <v>573</v>
      </c>
      <c r="D3449" s="2" t="str">
        <f t="shared" si="52"/>
        <v>Error?</v>
      </c>
    </row>
    <row r="3450" spans="1:4" x14ac:dyDescent="0.2">
      <c r="A3450" s="5">
        <v>3389</v>
      </c>
      <c r="B3450" s="138">
        <f>'Tax Sched 23'!E16</f>
        <v>55000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17293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122058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139351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139351</v>
      </c>
      <c r="D3567" s="2" t="str">
        <f t="shared" si="54"/>
        <v>Error?</v>
      </c>
    </row>
    <row r="3568" spans="1:4" x14ac:dyDescent="0.2">
      <c r="A3568" s="5">
        <v>3507</v>
      </c>
      <c r="B3568" s="138">
        <f>'Assets-Liab 5-6'!K41</f>
        <v>139351</v>
      </c>
      <c r="C3568" s="2" t="s">
        <v>573</v>
      </c>
      <c r="D3568" s="2" t="str">
        <f t="shared" si="54"/>
        <v>Error?</v>
      </c>
    </row>
    <row r="3569" spans="1:4" x14ac:dyDescent="0.2">
      <c r="A3569" s="5">
        <v>3508</v>
      </c>
      <c r="B3569" s="138">
        <f>'Acct Summary 7-8'!K4</f>
        <v>55813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55813</v>
      </c>
      <c r="C3571" s="2" t="s">
        <v>573</v>
      </c>
      <c r="D3571" s="2" t="str">
        <f t="shared" si="54"/>
        <v>Error?</v>
      </c>
    </row>
    <row r="3572" spans="1:4" x14ac:dyDescent="0.2">
      <c r="A3572" s="5">
        <v>3511</v>
      </c>
      <c r="B3572" s="138">
        <f>'Acct Summary 7-8'!K13</f>
        <v>33851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33851</v>
      </c>
      <c r="C3575" s="2" t="s">
        <v>573</v>
      </c>
      <c r="D3575" s="2" t="str">
        <f t="shared" si="54"/>
        <v>Error?</v>
      </c>
    </row>
    <row r="3576" spans="1:4" x14ac:dyDescent="0.2">
      <c r="A3576" s="5">
        <v>3515</v>
      </c>
      <c r="B3576" s="138">
        <f>'Acct Summary 7-8'!K20</f>
        <v>21962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21962</v>
      </c>
      <c r="C3588" s="2" t="s">
        <v>573</v>
      </c>
      <c r="D3588" s="2" t="str">
        <f t="shared" si="55"/>
        <v>Error?</v>
      </c>
    </row>
    <row r="3589" spans="1:4" x14ac:dyDescent="0.2">
      <c r="A3589" s="5">
        <v>3528</v>
      </c>
      <c r="B3589" s="138">
        <f>'Acct Summary 7-8'!K79</f>
        <v>117389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139351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33851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33851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33851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33851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33851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33851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33851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21962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15970</v>
      </c>
      <c r="C3725" s="2" t="s">
        <v>573</v>
      </c>
      <c r="D3725" s="2" t="str">
        <f t="shared" si="57"/>
        <v>Error?</v>
      </c>
    </row>
    <row r="3726" spans="1:4" x14ac:dyDescent="0.2">
      <c r="A3726" s="5">
        <v>3665</v>
      </c>
      <c r="B3726" s="138">
        <f>'Tax Sched 23'!D13</f>
        <v>15970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16000</v>
      </c>
      <c r="C3728" s="2" t="s">
        <v>573</v>
      </c>
      <c r="D3728" s="2" t="str">
        <f t="shared" si="57"/>
        <v>Error?</v>
      </c>
    </row>
    <row r="3729" spans="1:4" x14ac:dyDescent="0.2">
      <c r="A3729" s="5">
        <v>3668</v>
      </c>
      <c r="B3729" s="138">
        <f>'Tax Sched 23'!E13</f>
        <v>16000</v>
      </c>
      <c r="D3729" s="2" t="str">
        <f t="shared" si="57"/>
        <v>Error?</v>
      </c>
    </row>
    <row r="3730" spans="1:4" x14ac:dyDescent="0.2">
      <c r="A3730" s="5">
        <v>3669</v>
      </c>
      <c r="B3730" s="138">
        <f>'ICR Computation 30'!E10</f>
        <v>129775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275380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5043535</v>
      </c>
      <c r="C4122" s="2" t="s">
        <v>573</v>
      </c>
      <c r="D4122" s="2" t="str">
        <f t="shared" si="63"/>
        <v>Error?</v>
      </c>
    </row>
    <row r="4123" spans="1:4" x14ac:dyDescent="0.2">
      <c r="A4123" s="5">
        <v>4062</v>
      </c>
      <c r="B4123" s="138">
        <f>'Acct Summary 7-8'!D10</f>
        <v>518919</v>
      </c>
      <c r="C4123" s="2" t="s">
        <v>573</v>
      </c>
      <c r="D4123" s="2" t="str">
        <f t="shared" si="63"/>
        <v>Error?</v>
      </c>
    </row>
    <row r="4124" spans="1:4" x14ac:dyDescent="0.2">
      <c r="A4124" s="5">
        <v>4063</v>
      </c>
      <c r="B4124" s="138">
        <f>'Acct Summary 7-8'!E10</f>
        <v>233246</v>
      </c>
      <c r="C4124" s="2" t="s">
        <v>573</v>
      </c>
      <c r="D4124" s="2" t="str">
        <f t="shared" si="63"/>
        <v>Error?</v>
      </c>
    </row>
    <row r="4125" spans="1:4" x14ac:dyDescent="0.2">
      <c r="A4125" s="5">
        <v>4064</v>
      </c>
      <c r="B4125" s="138">
        <f>'Acct Summary 7-8'!F10</f>
        <v>492324</v>
      </c>
      <c r="C4125" s="2" t="s">
        <v>573</v>
      </c>
      <c r="D4125" s="2" t="str">
        <f t="shared" si="63"/>
        <v>Error?</v>
      </c>
    </row>
    <row r="4126" spans="1:4" x14ac:dyDescent="0.2">
      <c r="A4126" s="5">
        <v>4065</v>
      </c>
      <c r="B4126" s="138">
        <f>'Acct Summary 7-8'!G10</f>
        <v>140604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66736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55813</v>
      </c>
      <c r="C4130" s="2" t="s">
        <v>573</v>
      </c>
      <c r="D4130" s="2" t="str">
        <f t="shared" si="63"/>
        <v>Error?</v>
      </c>
    </row>
    <row r="4131" spans="1:4" x14ac:dyDescent="0.2">
      <c r="A4131" s="5">
        <v>4070</v>
      </c>
      <c r="B4131" s="138">
        <f>'Acct Summary 7-8'!C18</f>
        <v>275380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4553316</v>
      </c>
      <c r="C4136" s="2" t="s">
        <v>573</v>
      </c>
      <c r="D4136" s="2" t="str">
        <f t="shared" si="63"/>
        <v>Error?</v>
      </c>
    </row>
    <row r="4137" spans="1:4" x14ac:dyDescent="0.2">
      <c r="A4137" s="5">
        <v>4076</v>
      </c>
      <c r="B4137" s="138">
        <f>'Acct Summary 7-8'!D19</f>
        <v>479451</v>
      </c>
      <c r="C4137" s="2" t="s">
        <v>573</v>
      </c>
      <c r="D4137" s="2" t="str">
        <f t="shared" si="63"/>
        <v>Error?</v>
      </c>
    </row>
    <row r="4138" spans="1:4" x14ac:dyDescent="0.2">
      <c r="A4138" s="5">
        <v>4077</v>
      </c>
      <c r="B4138" s="138">
        <f>'Acct Summary 7-8'!E19</f>
        <v>233528</v>
      </c>
      <c r="C4138" s="2" t="s">
        <v>573</v>
      </c>
      <c r="D4138" s="2" t="str">
        <f t="shared" si="63"/>
        <v>Error?</v>
      </c>
    </row>
    <row r="4139" spans="1:4" x14ac:dyDescent="0.2">
      <c r="A4139" s="5">
        <v>4078</v>
      </c>
      <c r="B4139" s="138">
        <f>'Acct Summary 7-8'!F19</f>
        <v>435776</v>
      </c>
      <c r="C4139" s="2" t="s">
        <v>573</v>
      </c>
      <c r="D4139" s="2" t="str">
        <f t="shared" si="63"/>
        <v>Error?</v>
      </c>
    </row>
    <row r="4140" spans="1:4" x14ac:dyDescent="0.2">
      <c r="A4140" s="5">
        <v>4079</v>
      </c>
      <c r="B4140" s="138">
        <f>'Acct Summary 7-8'!G19</f>
        <v>129245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33851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1977000</v>
      </c>
      <c r="C4171" s="2" t="s">
        <v>573</v>
      </c>
      <c r="D4171" s="2" t="str">
        <f t="shared" si="64"/>
        <v>Error?</v>
      </c>
    </row>
    <row r="4172" spans="1:4" x14ac:dyDescent="0.2">
      <c r="A4172" s="5">
        <v>4111</v>
      </c>
      <c r="B4172" s="138">
        <f>'Short-Term Long-Term Debt 24'!J49</f>
        <v>1947750</v>
      </c>
      <c r="C4172" s="2" t="s">
        <v>573</v>
      </c>
      <c r="D4172" s="2" t="str">
        <f t="shared" si="64"/>
        <v>Error?</v>
      </c>
    </row>
    <row r="4173" spans="1:4" x14ac:dyDescent="0.2">
      <c r="A4173" s="5">
        <v>4112</v>
      </c>
      <c r="B4173" s="138">
        <f>'Short-Term Long-Term Debt 24'!H49</f>
        <v>180000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2063.52</v>
      </c>
      <c r="C4265" s="2" t="s">
        <v>573</v>
      </c>
      <c r="D4265" s="2" t="str">
        <f t="shared" si="65"/>
        <v>Error?</v>
      </c>
      <c r="E4265" s="128"/>
    </row>
    <row r="4266" spans="1:5" x14ac:dyDescent="0.2">
      <c r="A4266" s="12">
        <v>4205</v>
      </c>
      <c r="B4266" s="138">
        <f>('FP Info 3'!F10)*100000</f>
        <v>274.69</v>
      </c>
      <c r="C4266" s="2" t="s">
        <v>573</v>
      </c>
      <c r="D4266" s="2" t="str">
        <f t="shared" si="65"/>
        <v>Error?</v>
      </c>
      <c r="E4266" s="128"/>
    </row>
    <row r="4267" spans="1:5" x14ac:dyDescent="0.2">
      <c r="A4267" s="12">
        <v>4206</v>
      </c>
      <c r="B4267" s="138">
        <f>('FP Info 3'!H10)*100000</f>
        <v>184.73999999999998</v>
      </c>
      <c r="C4267" s="2" t="s">
        <v>573</v>
      </c>
      <c r="D4267" s="2" t="str">
        <f t="shared" si="65"/>
        <v>Error?</v>
      </c>
      <c r="E4267" s="128"/>
    </row>
    <row r="4268" spans="1:5" x14ac:dyDescent="0.2">
      <c r="A4268" s="12">
        <v>4207</v>
      </c>
      <c r="B4268" s="138">
        <f>('FP Info 3'!J10)*100000</f>
        <v>2523</v>
      </c>
      <c r="C4268" s="2" t="s">
        <v>573</v>
      </c>
      <c r="D4268" s="2" t="str">
        <f t="shared" si="65"/>
        <v>Error?</v>
      </c>
    </row>
    <row r="4269" spans="1:5" x14ac:dyDescent="0.2">
      <c r="A4269" s="12">
        <v>4208</v>
      </c>
      <c r="B4269" s="138">
        <f>'FP Info 3'!J16</f>
        <v>5432072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6050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15837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883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20958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40.160000000000004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124504083</v>
      </c>
      <c r="D4995" s="2" t="str">
        <f t="shared" si="77"/>
        <v>Error?</v>
      </c>
    </row>
    <row r="4996" spans="1:4" x14ac:dyDescent="0.2">
      <c r="A4996" s="12">
        <v>4935</v>
      </c>
      <c r="B4996" s="138">
        <f>'FP Info 3'!H31</f>
        <v>8590781.727</v>
      </c>
      <c r="D4996" s="2" t="str">
        <f t="shared" si="77"/>
        <v>Error?</v>
      </c>
    </row>
    <row r="4997" spans="1:4" x14ac:dyDescent="0.2">
      <c r="A4997" s="12">
        <v>4936</v>
      </c>
      <c r="B4997" s="138">
        <f>'FP Info 3'!H37</f>
        <v>1977000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15970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2360485</v>
      </c>
      <c r="D5061" s="2" t="str">
        <f t="shared" si="78"/>
        <v>Error?</v>
      </c>
    </row>
    <row r="5062" spans="1:4" x14ac:dyDescent="0.2">
      <c r="A5062" s="10">
        <v>5001</v>
      </c>
      <c r="D5062" s="2" t="str">
        <f t="shared" si="78"/>
        <v>OK</v>
      </c>
    </row>
    <row r="5063" spans="1:4" x14ac:dyDescent="0.2">
      <c r="A5063" s="5">
        <v>5002</v>
      </c>
      <c r="B5063" s="138">
        <f>'Revenues 9-14'!C7</f>
        <v>21966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2398421</v>
      </c>
      <c r="C5066" s="2" t="s">
        <v>573</v>
      </c>
      <c r="D5066" s="2" t="str">
        <f t="shared" si="78"/>
        <v>Error?</v>
      </c>
    </row>
    <row r="5067" spans="1:4" x14ac:dyDescent="0.2">
      <c r="A5067" s="5">
        <v>5006</v>
      </c>
      <c r="B5067" s="138">
        <f>'Revenues 9-14'!C14</f>
        <v>870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50000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50870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33902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33902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3655</v>
      </c>
      <c r="D5092" s="2" t="str">
        <f t="shared" si="78"/>
        <v>Error?</v>
      </c>
    </row>
    <row r="5093" spans="1:4" x14ac:dyDescent="0.2">
      <c r="A5093" s="5">
        <v>5032</v>
      </c>
      <c r="B5093" s="138">
        <f>'Revenues 9-14'!C72</f>
        <v>6137</v>
      </c>
      <c r="D5093" s="2" t="str">
        <f t="shared" si="78"/>
        <v>Error?</v>
      </c>
    </row>
    <row r="5094" spans="1:4" x14ac:dyDescent="0.2">
      <c r="A5094" s="5">
        <v>5033</v>
      </c>
      <c r="B5094" s="138">
        <f>'Revenues 9-14'!C73</f>
        <v>1760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100703</v>
      </c>
      <c r="C5096" s="2" t="s">
        <v>573</v>
      </c>
      <c r="D5096" s="2" t="str">
        <f t="shared" si="78"/>
        <v>Error?</v>
      </c>
    </row>
    <row r="5097" spans="1:4" x14ac:dyDescent="0.2">
      <c r="A5097" s="5">
        <v>5036</v>
      </c>
      <c r="B5097" s="138">
        <f>'Revenues 9-14'!C77</f>
        <v>7816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754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12304</v>
      </c>
      <c r="D5101" s="2" t="str">
        <f t="shared" si="78"/>
        <v>Error?</v>
      </c>
    </row>
    <row r="5102" spans="1:4" x14ac:dyDescent="0.2">
      <c r="A5102" s="5">
        <v>5041</v>
      </c>
      <c r="B5102" s="138">
        <f>'Revenues 9-14'!C82</f>
        <v>20874</v>
      </c>
      <c r="C5102" s="2" t="s">
        <v>573</v>
      </c>
      <c r="D5102" s="2" t="str">
        <f t="shared" si="78"/>
        <v>Error?</v>
      </c>
    </row>
    <row r="5103" spans="1:4" x14ac:dyDescent="0.2">
      <c r="A5103" s="5">
        <v>5042</v>
      </c>
      <c r="B5103" s="138">
        <f>'Revenues 9-14'!C84</f>
        <v>33077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33077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8930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46294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30040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85264</v>
      </c>
      <c r="C5120" s="2" t="s">
        <v>573</v>
      </c>
      <c r="D5120" s="2" t="str">
        <f t="shared" si="79"/>
        <v>Error?</v>
      </c>
    </row>
    <row r="5121" spans="1:4" x14ac:dyDescent="0.2">
      <c r="A5121" s="5">
        <v>5060</v>
      </c>
      <c r="B5121" s="138">
        <f>'Revenues 9-14'!C109</f>
        <v>2723111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957929</v>
      </c>
      <c r="D5126" s="2" t="str">
        <f t="shared" si="79"/>
        <v>Error?</v>
      </c>
    </row>
    <row r="5127" spans="1:4" x14ac:dyDescent="0.2">
      <c r="A5127" s="5">
        <v>5066</v>
      </c>
      <c r="B5127" s="138">
        <f>'Revenues 9-14'!C119</f>
        <v>335425</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1293354</v>
      </c>
      <c r="C5132" s="2" t="s">
        <v>573</v>
      </c>
      <c r="D5132" s="2" t="str">
        <f t="shared" si="79"/>
        <v>Error?</v>
      </c>
    </row>
    <row r="5133" spans="1:4" x14ac:dyDescent="0.2">
      <c r="A5133" s="5">
        <v>5072</v>
      </c>
      <c r="B5133" s="138">
        <f>'Revenues 9-14'!C125</f>
        <v>5262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238304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243566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2209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145892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392417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1685771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97926</v>
      </c>
      <c r="D5239" s="2" t="str">
        <f t="shared" si="80"/>
        <v>Error?</v>
      </c>
    </row>
    <row r="5240" spans="1:4" x14ac:dyDescent="0.2">
      <c r="A5240" s="5">
        <v>5179</v>
      </c>
      <c r="B5240" s="138">
        <f>'Revenues 9-14'!C192</f>
        <v>1763</v>
      </c>
      <c r="D5240" s="2" t="str">
        <f t="shared" si="80"/>
        <v>Error?</v>
      </c>
    </row>
    <row r="5241" spans="1:4" x14ac:dyDescent="0.2">
      <c r="A5241" s="5">
        <v>5180</v>
      </c>
      <c r="B5241" s="138">
        <f>'Revenues 9-14'!C193</f>
        <v>30086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129775</v>
      </c>
      <c r="C5246" s="2" t="s">
        <v>573</v>
      </c>
      <c r="D5246" s="2" t="str">
        <f t="shared" si="80"/>
        <v>Error?</v>
      </c>
    </row>
    <row r="5247" spans="1:4" x14ac:dyDescent="0.2">
      <c r="A5247" s="5">
        <v>5186</v>
      </c>
      <c r="B5247" s="138">
        <f>'Revenues 9-14'!C200</f>
        <v>103379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883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103379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23003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59388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82391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359273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359273</v>
      </c>
      <c r="C5326" s="2" t="s">
        <v>573</v>
      </c>
      <c r="D5326" s="2" t="str">
        <f t="shared" si="82"/>
        <v>Error?</v>
      </c>
    </row>
    <row r="5327" spans="1:5" x14ac:dyDescent="0.2">
      <c r="A5327" s="5">
        <v>5266</v>
      </c>
      <c r="B5327" s="138">
        <f>'Revenues 9-14'!C268</f>
        <v>4768155</v>
      </c>
      <c r="C5327" s="2" t="s">
        <v>573</v>
      </c>
      <c r="D5327" s="2" t="str">
        <f t="shared" si="82"/>
        <v>Error?</v>
      </c>
    </row>
    <row r="5328" spans="1:5" x14ac:dyDescent="0.2">
      <c r="A5328" s="5">
        <v>5267</v>
      </c>
      <c r="B5328" s="138">
        <f>'Revenues 9-14'!D5</f>
        <v>334337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334337</v>
      </c>
      <c r="C5334" s="2" t="s">
        <v>573</v>
      </c>
      <c r="D5334" s="2" t="str">
        <f t="shared" si="82"/>
        <v>Error?</v>
      </c>
    </row>
    <row r="5335" spans="1:4" x14ac:dyDescent="0.2">
      <c r="A5335" s="5">
        <v>5274</v>
      </c>
      <c r="B5335" s="138">
        <f>'Revenues 9-14'!D14</f>
        <v>121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174448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174569</v>
      </c>
      <c r="C5339" s="2" t="s">
        <v>573</v>
      </c>
      <c r="D5339" s="2" t="str">
        <f t="shared" si="82"/>
        <v>Error?</v>
      </c>
    </row>
    <row r="5340" spans="1:4" x14ac:dyDescent="0.2">
      <c r="A5340" s="5">
        <v>5279</v>
      </c>
      <c r="B5340" s="138">
        <f>'Revenues 9-14'!D65</f>
        <v>8933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8933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1080</v>
      </c>
      <c r="D5354" s="2" t="str">
        <f t="shared" si="82"/>
        <v>Error?</v>
      </c>
    </row>
    <row r="5355" spans="1:4" x14ac:dyDescent="0.2">
      <c r="A5355" s="5">
        <v>5294</v>
      </c>
      <c r="B5355" s="138">
        <f>'Revenues 9-14'!D108</f>
        <v>1080</v>
      </c>
      <c r="C5355" s="2" t="s">
        <v>573</v>
      </c>
      <c r="D5355" s="2" t="str">
        <f t="shared" si="82"/>
        <v>Error?</v>
      </c>
    </row>
    <row r="5356" spans="1:4" x14ac:dyDescent="0.2">
      <c r="A5356" s="5">
        <v>5295</v>
      </c>
      <c r="B5356" s="138">
        <f>'Revenues 9-14'!D109</f>
        <v>518919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518919</v>
      </c>
      <c r="C5508" s="2" t="s">
        <v>573</v>
      </c>
      <c r="D5508" s="2" t="str">
        <f t="shared" si="85"/>
        <v>Error?</v>
      </c>
    </row>
    <row r="5509" spans="1:4" x14ac:dyDescent="0.2">
      <c r="A5509" s="5">
        <v>5448</v>
      </c>
      <c r="B5509" s="138">
        <f>'Revenues 9-14'!E5</f>
        <v>233078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233078</v>
      </c>
      <c r="C5513" s="2" t="s">
        <v>573</v>
      </c>
      <c r="D5513" s="2" t="str">
        <f t="shared" si="85"/>
        <v>Error?</v>
      </c>
    </row>
    <row r="5514" spans="1:4" x14ac:dyDescent="0.2">
      <c r="A5514" s="5">
        <v>5453</v>
      </c>
      <c r="B5514" s="138">
        <f>'Revenues 9-14'!E14</f>
        <v>95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95</v>
      </c>
      <c r="C5518" s="2" t="s">
        <v>573</v>
      </c>
      <c r="D5518" s="2" t="str">
        <f t="shared" si="85"/>
        <v>Error?</v>
      </c>
    </row>
    <row r="5519" spans="1:4" x14ac:dyDescent="0.2">
      <c r="A5519" s="5">
        <v>5458</v>
      </c>
      <c r="B5519" s="138">
        <f>'Revenues 9-14'!E65</f>
        <v>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233246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233246</v>
      </c>
      <c r="C5552" s="2" t="s">
        <v>573</v>
      </c>
      <c r="D5552" s="2" t="str">
        <f t="shared" si="85"/>
        <v>Error?</v>
      </c>
    </row>
    <row r="5553" spans="1:4" x14ac:dyDescent="0.2">
      <c r="A5553" s="5">
        <v>5492</v>
      </c>
      <c r="B5553" s="138">
        <f>'Revenues 9-14'!F5</f>
        <v>229548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229548</v>
      </c>
      <c r="C5557" s="2" t="s">
        <v>573</v>
      </c>
      <c r="D5557" s="2" t="str">
        <f t="shared" si="85"/>
        <v>Error?</v>
      </c>
    </row>
    <row r="5558" spans="1:4" x14ac:dyDescent="0.2">
      <c r="A5558" s="5">
        <v>5497</v>
      </c>
      <c r="B5558" s="138">
        <f>'Revenues 9-14'!F14</f>
        <v>83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3196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3196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232827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129656</v>
      </c>
      <c r="D5615" s="2" t="str">
        <f t="shared" si="86"/>
        <v>Error?</v>
      </c>
    </row>
    <row r="5616" spans="1:4" x14ac:dyDescent="0.2">
      <c r="A5616" s="10">
        <v>5555</v>
      </c>
      <c r="D5616" s="2" t="str">
        <f t="shared" si="86"/>
        <v>OK</v>
      </c>
    </row>
    <row r="5617" spans="1:5" x14ac:dyDescent="0.2">
      <c r="A5617" s="5">
        <v>5556</v>
      </c>
      <c r="B5617" s="138">
        <f>'Revenues 9-14'!F153</f>
        <v>51591</v>
      </c>
      <c r="D5617" s="2" t="str">
        <f t="shared" si="86"/>
        <v>Error?</v>
      </c>
    </row>
    <row r="5618" spans="1:5" x14ac:dyDescent="0.2">
      <c r="A5618" s="5">
        <v>5557</v>
      </c>
      <c r="B5618" s="138">
        <f>'Revenues 9-14'!F155</f>
        <v>181247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78250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259497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259497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492324</v>
      </c>
      <c r="C5720" s="2" t="s">
        <v>573</v>
      </c>
      <c r="D5720" s="2" t="str">
        <f t="shared" si="88"/>
        <v>Error?</v>
      </c>
    </row>
    <row r="5721" spans="1:4" x14ac:dyDescent="0.2">
      <c r="A5721" s="5">
        <v>5660</v>
      </c>
      <c r="B5721" s="138">
        <f>'Revenues 9-14'!G5</f>
        <v>69873</v>
      </c>
      <c r="D5721" s="2" t="str">
        <f t="shared" si="88"/>
        <v>Error?</v>
      </c>
    </row>
    <row r="5722" spans="1:4" x14ac:dyDescent="0.2">
      <c r="A5722" s="5">
        <v>5661</v>
      </c>
      <c r="B5722" s="138">
        <f>'Revenues 9-14'!G7</f>
        <v>0</v>
      </c>
      <c r="D5722" s="2" t="str">
        <f t="shared" si="88"/>
        <v>Error?</v>
      </c>
    </row>
    <row r="5723" spans="1:4" x14ac:dyDescent="0.2">
      <c r="A5723" s="5">
        <v>5662</v>
      </c>
      <c r="B5723" s="138">
        <f>'Revenues 9-14'!G8</f>
        <v>69873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139746</v>
      </c>
      <c r="C5725" s="2" t="s">
        <v>573</v>
      </c>
      <c r="D5725" s="2" t="str">
        <f t="shared" si="88"/>
        <v>Error?</v>
      </c>
    </row>
    <row r="5726" spans="1:4" x14ac:dyDescent="0.2">
      <c r="A5726" s="5">
        <v>5665</v>
      </c>
      <c r="B5726" s="138">
        <f>'Revenues 9-14'!G14</f>
        <v>51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51</v>
      </c>
      <c r="C5730" s="2" t="s">
        <v>573</v>
      </c>
      <c r="D5730" s="2" t="str">
        <f t="shared" si="88"/>
        <v>Error?</v>
      </c>
    </row>
    <row r="5731" spans="1:4" x14ac:dyDescent="0.2">
      <c r="A5731" s="5">
        <v>5670</v>
      </c>
      <c r="B5731" s="138">
        <f>'Revenues 9-14'!G65</f>
        <v>807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807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140604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60579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60579</v>
      </c>
      <c r="C5918" s="2" t="s">
        <v>573</v>
      </c>
      <c r="D5918" s="2" t="str">
        <f t="shared" si="91"/>
        <v>Error?</v>
      </c>
    </row>
    <row r="5919" spans="1:4" x14ac:dyDescent="0.2">
      <c r="A5919" s="5">
        <v>5858</v>
      </c>
      <c r="B5919" s="138">
        <f>'Revenues 9-14'!I14</f>
        <v>22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22</v>
      </c>
      <c r="C5923" s="2" t="s">
        <v>573</v>
      </c>
      <c r="D5923" s="2" t="str">
        <f t="shared" si="91"/>
        <v>Error?</v>
      </c>
    </row>
    <row r="5924" spans="1:4" x14ac:dyDescent="0.2">
      <c r="A5924" s="5">
        <v>5863</v>
      </c>
      <c r="B5924" s="138">
        <f>'Revenues 9-14'!I65</f>
        <v>6135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6135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66736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54898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54898</v>
      </c>
      <c r="C5987" s="2" t="s">
        <v>573</v>
      </c>
      <c r="D5987" s="2" t="str">
        <f t="shared" si="92"/>
        <v>Error?</v>
      </c>
    </row>
    <row r="5988" spans="1:4" x14ac:dyDescent="0.2">
      <c r="A5988" s="5">
        <v>5927</v>
      </c>
      <c r="B5988" s="138">
        <f>'Revenues 9-14'!K14</f>
        <v>20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20</v>
      </c>
      <c r="C5992" s="2" t="s">
        <v>573</v>
      </c>
      <c r="D5992" s="2" t="str">
        <f t="shared" si="92"/>
        <v>Error?</v>
      </c>
    </row>
    <row r="5993" spans="1:4" x14ac:dyDescent="0.2">
      <c r="A5993" s="5">
        <v>5932</v>
      </c>
      <c r="B5993" s="138">
        <f>'Revenues 9-14'!K65</f>
        <v>895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895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55813</v>
      </c>
      <c r="C6023" s="2" t="s">
        <v>573</v>
      </c>
      <c r="D6023" s="2" t="str">
        <f t="shared" si="93"/>
        <v>Error?</v>
      </c>
    </row>
    <row r="6024" spans="1:5" x14ac:dyDescent="0.2">
      <c r="A6024" s="5">
        <v>5963</v>
      </c>
      <c r="B6024" s="138">
        <f>'Revenues 9-14'!G109</f>
        <v>140604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66736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55813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89151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15359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509.4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57327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57327</v>
      </c>
      <c r="D6215" s="2" t="str">
        <f t="shared" si="96"/>
        <v>Error?</v>
      </c>
      <c r="E6215" s="2" t="s">
        <v>190</v>
      </c>
    </row>
    <row r="6216" spans="1:5" x14ac:dyDescent="0.2">
      <c r="A6216">
        <v>6155</v>
      </c>
      <c r="B6216" s="138">
        <f>'Assets-Liab 5-6'!J41</f>
        <v>57327</v>
      </c>
      <c r="D6216" s="2" t="str">
        <f t="shared" si="96"/>
        <v>Error?</v>
      </c>
      <c r="E6216" s="2" t="s">
        <v>190</v>
      </c>
    </row>
    <row r="6217" spans="1:5" x14ac:dyDescent="0.2">
      <c r="A6217">
        <v>6156</v>
      </c>
      <c r="B6217" s="138">
        <f>'Assets-Liab 5-6'!J4</f>
        <v>10987</v>
      </c>
      <c r="D6217" s="2" t="str">
        <f t="shared" si="96"/>
        <v>Error?</v>
      </c>
      <c r="E6217" s="2" t="s">
        <v>190</v>
      </c>
    </row>
    <row r="6218" spans="1:5" x14ac:dyDescent="0.2">
      <c r="A6218">
        <v>6157</v>
      </c>
      <c r="B6218" s="138">
        <f>'Assets-Liab 5-6'!J5</f>
        <v>46340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183450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183450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183450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174433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174433</v>
      </c>
      <c r="D6229" s="2" t="str">
        <f t="shared" si="96"/>
        <v>Error?</v>
      </c>
      <c r="E6229" s="2" t="s">
        <v>190</v>
      </c>
    </row>
    <row r="6230" spans="1:5" x14ac:dyDescent="0.2">
      <c r="A6230">
        <v>6169</v>
      </c>
      <c r="B6230" s="138">
        <f>'Acct Summary 7-8'!J20</f>
        <v>9017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9017</v>
      </c>
      <c r="D6263" s="2" t="str">
        <f t="shared" si="96"/>
        <v>Error?</v>
      </c>
      <c r="E6263" s="2" t="s">
        <v>190</v>
      </c>
    </row>
    <row r="6264" spans="1:5" x14ac:dyDescent="0.2">
      <c r="A6264">
        <v>6203</v>
      </c>
      <c r="B6264" s="138">
        <f>'Acct Summary 7-8'!J79</f>
        <v>48310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57327</v>
      </c>
      <c r="D6266" s="2" t="str">
        <f t="shared" si="96"/>
        <v>Error?</v>
      </c>
      <c r="E6266" s="2" t="s">
        <v>190</v>
      </c>
    </row>
    <row r="6267" spans="1:5" x14ac:dyDescent="0.2">
      <c r="A6267">
        <v>6206</v>
      </c>
      <c r="B6267" s="138">
        <f>'Acct Summary 7-8'!C82</f>
        <v>490219</v>
      </c>
      <c r="D6267" s="2" t="str">
        <f t="shared" si="96"/>
        <v>Error?</v>
      </c>
      <c r="E6267" s="2" t="s">
        <v>190</v>
      </c>
    </row>
    <row r="6268" spans="1:5" x14ac:dyDescent="0.2">
      <c r="A6268">
        <v>6207</v>
      </c>
      <c r="B6268" s="138">
        <f>'Acct Summary 7-8'!D82</f>
        <v>39468</v>
      </c>
      <c r="D6268" s="2" t="str">
        <f t="shared" si="96"/>
        <v>Error?</v>
      </c>
      <c r="E6268" s="2" t="s">
        <v>190</v>
      </c>
    </row>
    <row r="6269" spans="1:5" x14ac:dyDescent="0.2">
      <c r="A6269">
        <v>6208</v>
      </c>
      <c r="B6269" s="138">
        <f>'Acct Summary 7-8'!E82</f>
        <v>-282</v>
      </c>
      <c r="D6269" s="2" t="str">
        <f t="shared" si="96"/>
        <v>Error?</v>
      </c>
      <c r="E6269" s="2" t="s">
        <v>190</v>
      </c>
    </row>
    <row r="6270" spans="1:5" x14ac:dyDescent="0.2">
      <c r="A6270">
        <v>6209</v>
      </c>
      <c r="B6270" s="138">
        <f>'Acct Summary 7-8'!F82</f>
        <v>56548</v>
      </c>
      <c r="D6270" s="2" t="str">
        <f t="shared" si="96"/>
        <v>Error?</v>
      </c>
      <c r="E6270" s="2" t="s">
        <v>190</v>
      </c>
    </row>
    <row r="6271" spans="1:5" x14ac:dyDescent="0.2">
      <c r="A6271">
        <v>6210</v>
      </c>
      <c r="B6271" s="138">
        <f>'Acct Summary 7-8'!G82</f>
        <v>11359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66736</v>
      </c>
      <c r="D6273" s="2" t="str">
        <f t="shared" si="97"/>
        <v>Error?</v>
      </c>
      <c r="E6273" s="2" t="s">
        <v>190</v>
      </c>
    </row>
    <row r="6274" spans="1:5" x14ac:dyDescent="0.2">
      <c r="A6274">
        <v>6213</v>
      </c>
      <c r="B6274" s="138">
        <f>'Acct Summary 7-8'!J82</f>
        <v>9017</v>
      </c>
      <c r="D6274" s="2" t="str">
        <f t="shared" si="97"/>
        <v>Error?</v>
      </c>
      <c r="E6274" s="2" t="s">
        <v>190</v>
      </c>
    </row>
    <row r="6275" spans="1:5" x14ac:dyDescent="0.2">
      <c r="A6275">
        <v>6214</v>
      </c>
      <c r="B6275" s="138">
        <f>'Acct Summary 7-8'!K82</f>
        <v>21962</v>
      </c>
      <c r="D6275" s="2" t="str">
        <f t="shared" si="97"/>
        <v>Error?</v>
      </c>
      <c r="E6275" s="2" t="s">
        <v>190</v>
      </c>
    </row>
    <row r="6276" spans="1:5" x14ac:dyDescent="0.2">
      <c r="A6276">
        <v>6215</v>
      </c>
      <c r="B6276" s="138">
        <f>'Acct Summary 7-8'!C83</f>
        <v>0.13312894948166723</v>
      </c>
      <c r="D6276" s="2" t="str">
        <f t="shared" si="97"/>
        <v>Error?</v>
      </c>
      <c r="E6276" s="2" t="s">
        <v>190</v>
      </c>
    </row>
    <row r="6277" spans="1:5" x14ac:dyDescent="0.2">
      <c r="A6277">
        <v>6216</v>
      </c>
      <c r="B6277" s="138">
        <f>'Acct Summary 7-8'!D83</f>
        <v>7.8955580984084048E-2</v>
      </c>
      <c r="D6277" s="2" t="str">
        <f t="shared" si="97"/>
        <v>Error?</v>
      </c>
      <c r="E6277" s="2" t="s">
        <v>190</v>
      </c>
    </row>
    <row r="6278" spans="1:5" x14ac:dyDescent="0.2">
      <c r="A6278">
        <v>6217</v>
      </c>
      <c r="B6278" s="138">
        <f>'Acct Summary 7-8'!E83</f>
        <v>-9.6410256410256415E-3</v>
      </c>
      <c r="D6278" s="2" t="str">
        <f t="shared" si="97"/>
        <v>Error?</v>
      </c>
      <c r="E6278" s="2" t="s">
        <v>190</v>
      </c>
    </row>
    <row r="6279" spans="1:5" x14ac:dyDescent="0.2">
      <c r="A6279">
        <v>6218</v>
      </c>
      <c r="B6279" s="138">
        <f>'Acct Summary 7-8'!F83</f>
        <v>0.12869396607639072</v>
      </c>
      <c r="D6279" s="2" t="str">
        <f t="shared" si="97"/>
        <v>Error?</v>
      </c>
      <c r="E6279" s="2" t="s">
        <v>190</v>
      </c>
    </row>
    <row r="6280" spans="1:5" x14ac:dyDescent="0.2">
      <c r="A6280">
        <v>6219</v>
      </c>
      <c r="B6280" s="138">
        <f>'Acct Summary 7-8'!G83</f>
        <v>9.4799742949900262E-2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8.2338280835523317E-2</v>
      </c>
      <c r="D6282" s="2" t="str">
        <f t="shared" si="97"/>
        <v>Error?</v>
      </c>
      <c r="E6282" s="2" t="s">
        <v>190</v>
      </c>
    </row>
    <row r="6283" spans="1:5" x14ac:dyDescent="0.2">
      <c r="A6283">
        <v>6222</v>
      </c>
      <c r="B6283" s="138">
        <f>'Acct Summary 7-8'!J83</f>
        <v>0.15729063094179008</v>
      </c>
      <c r="D6283" s="2" t="str">
        <f t="shared" si="97"/>
        <v>Error?</v>
      </c>
      <c r="E6283" s="2" t="s">
        <v>190</v>
      </c>
    </row>
    <row r="6284" spans="1:5" x14ac:dyDescent="0.2">
      <c r="A6284">
        <v>6223</v>
      </c>
      <c r="B6284" s="138">
        <f>'Acct Summary 7-8'!K83</f>
        <v>0.15760202653730507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179653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179653</v>
      </c>
      <c r="D6301" s="2" t="str">
        <f t="shared" si="97"/>
        <v>Error?</v>
      </c>
      <c r="E6301" s="2" t="s">
        <v>190</v>
      </c>
    </row>
    <row r="6302" spans="1:5" x14ac:dyDescent="0.2">
      <c r="A6302">
        <v>6241</v>
      </c>
      <c r="B6302" s="138">
        <f>'Revenues 9-14'!J14</f>
        <v>65</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65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527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527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3205</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3205</v>
      </c>
      <c r="D6351" s="2" t="str">
        <f t="shared" si="98"/>
        <v>Error?</v>
      </c>
      <c r="E6351" s="2" t="s">
        <v>190</v>
      </c>
    </row>
    <row r="6352" spans="1:5" x14ac:dyDescent="0.2">
      <c r="A6352">
        <v>6291</v>
      </c>
      <c r="B6352" s="138">
        <f>'Revenues 9-14'!J109</f>
        <v>183450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98408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117965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174433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183450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4458</v>
      </c>
      <c r="D7073" s="2" t="str">
        <f t="shared" si="109"/>
        <v>Error?</v>
      </c>
    </row>
    <row r="7074" spans="1:4" x14ac:dyDescent="0.2">
      <c r="A7074">
        <v>7013</v>
      </c>
      <c r="B7074" s="138">
        <f>'Expenditures 15-22'!K216</f>
        <v>4458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20859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20859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4801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4801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112115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112115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6688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6688</v>
      </c>
      <c r="D7198" s="2" t="str">
        <f t="shared" si="111"/>
        <v>Error?</v>
      </c>
    </row>
    <row r="7199" spans="1:4" x14ac:dyDescent="0.2">
      <c r="A7199">
        <v>7138</v>
      </c>
      <c r="B7199" s="138">
        <f>'Expenditures 15-22'!C330</f>
        <v>112115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62318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174433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112115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62318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174433</v>
      </c>
      <c r="D7224" s="2" t="str">
        <f t="shared" si="111"/>
        <v>Error?</v>
      </c>
    </row>
    <row r="7225" spans="1:4" x14ac:dyDescent="0.2">
      <c r="A7225">
        <v>7164</v>
      </c>
      <c r="B7225" s="138">
        <f>'Expenditures 15-22'!K343</f>
        <v>9017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7392</v>
      </c>
      <c r="D7246" s="2" t="str">
        <f t="shared" si="112"/>
        <v>Error?</v>
      </c>
    </row>
    <row r="7247" spans="1:4" x14ac:dyDescent="0.2">
      <c r="A7247">
        <f t="shared" si="113"/>
        <v>7186</v>
      </c>
      <c r="B7247" s="138">
        <f>'Expenditures 15-22'!E7</f>
        <v>12165</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316165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29970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29970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21966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29'!D39</f>
        <v>391798</v>
      </c>
      <c r="D7797" s="2" t="str">
        <f t="shared" si="127"/>
        <v>Error?</v>
      </c>
      <c r="E7797" s="4" t="s">
        <v>1902</v>
      </c>
    </row>
    <row r="7798" spans="1:5" x14ac:dyDescent="0.2">
      <c r="A7798">
        <v>7737</v>
      </c>
      <c r="B7798" s="138">
        <f>'Contracts Paid in CY 29'!F39</f>
        <v>25000</v>
      </c>
      <c r="D7798" s="2" t="str">
        <f t="shared" si="127"/>
        <v>Error?</v>
      </c>
      <c r="E7798" s="4" t="s">
        <v>1902</v>
      </c>
    </row>
    <row r="7799" spans="1:5" x14ac:dyDescent="0.2">
      <c r="A7799">
        <v>7738</v>
      </c>
      <c r="B7799" s="138">
        <f>'Contracts Paid in CY 29'!G39</f>
        <v>366798</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F52" sqref="F5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1986</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Nashville CCSD 49</v>
      </c>
      <c r="B7" s="2386"/>
      <c r="C7" s="2386"/>
      <c r="D7" s="2423"/>
      <c r="E7" s="2424">
        <f>COVER!A13</f>
        <v>13095049004</v>
      </c>
      <c r="F7" s="2425"/>
      <c r="G7" s="2392" t="str">
        <f>COVER!T23</f>
        <v>060-004252</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Emling &amp; Hoffman, PC</v>
      </c>
      <c r="H9" s="2399"/>
      <c r="I9" s="2399"/>
      <c r="J9" s="2399"/>
      <c r="K9" s="2399"/>
      <c r="L9" s="2400"/>
    </row>
    <row r="10" spans="1:29" ht="13.5" customHeight="1" x14ac:dyDescent="0.2">
      <c r="A10" s="2382" t="str">
        <f>COVER!A38</f>
        <v>Michael Brink</v>
      </c>
      <c r="B10" s="2383"/>
      <c r="C10" s="2383"/>
      <c r="D10" s="2383"/>
      <c r="E10" s="2383"/>
      <c r="F10" s="2384"/>
      <c r="G10" s="2398" t="str">
        <f>COVER!T17</f>
        <v>1191 West Saint Louis Street</v>
      </c>
      <c r="H10" s="2411"/>
      <c r="I10" s="2411"/>
      <c r="J10" s="2411"/>
      <c r="K10" s="2411"/>
      <c r="L10" s="2412"/>
    </row>
    <row r="11" spans="1:29" ht="13.5" customHeight="1" x14ac:dyDescent="0.2">
      <c r="A11" s="1184" t="s">
        <v>1519</v>
      </c>
      <c r="B11" s="1185"/>
      <c r="C11" s="1186"/>
      <c r="D11" s="1191"/>
      <c r="E11" s="1186"/>
      <c r="F11" s="1190"/>
      <c r="G11" s="2398" t="str">
        <f>COVER!T19</f>
        <v>Nashville</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donhoffman@emlingcpa.com</v>
      </c>
      <c r="J13" s="2420"/>
      <c r="K13" s="2420"/>
      <c r="L13" s="2421"/>
    </row>
    <row r="14" spans="1:29" ht="13.5" customHeight="1" x14ac:dyDescent="0.2">
      <c r="A14" s="2398" t="str">
        <f>COVER!A19</f>
        <v>750 East Gorman Street</v>
      </c>
      <c r="B14" s="2411"/>
      <c r="C14" s="2411"/>
      <c r="D14" s="2411"/>
      <c r="E14" s="2411"/>
      <c r="F14" s="2412"/>
      <c r="G14" s="1195" t="s">
        <v>1185</v>
      </c>
      <c r="H14" s="1193"/>
      <c r="I14" s="1193"/>
      <c r="J14" s="1193"/>
      <c r="K14" s="1193"/>
      <c r="L14" s="1194"/>
    </row>
    <row r="15" spans="1:29" ht="13.5" customHeight="1" x14ac:dyDescent="0.2">
      <c r="A15" s="2398" t="str">
        <f>COVER!A21</f>
        <v>Nashville</v>
      </c>
      <c r="B15" s="2411"/>
      <c r="C15" s="2411"/>
      <c r="D15" s="2411"/>
      <c r="E15" s="2411"/>
      <c r="F15" s="2412"/>
      <c r="G15" s="2408" t="str">
        <f>COVER!T15</f>
        <v>Donald L Hoffman</v>
      </c>
      <c r="H15" s="2409"/>
      <c r="I15" s="2409"/>
      <c r="J15" s="2409"/>
      <c r="K15" s="2409"/>
      <c r="L15" s="2410"/>
    </row>
    <row r="16" spans="1:29" ht="12.2" customHeight="1" x14ac:dyDescent="0.2">
      <c r="A16" s="2388">
        <f>COVER!A25</f>
        <v>62263</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618-327-4375</v>
      </c>
      <c r="H18" s="2386"/>
      <c r="I18" s="2386"/>
      <c r="J18" s="2386"/>
      <c r="K18" s="2385" t="str">
        <f>COVER!X21</f>
        <v>618-327-4376</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2" sqref="D42:O4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Nashville CCSD 49</v>
      </c>
      <c r="B1" s="2422"/>
      <c r="C1" s="2422"/>
      <c r="D1" s="2422"/>
    </row>
    <row r="2" spans="1:11" s="1212" customFormat="1" ht="12.75" x14ac:dyDescent="0.2">
      <c r="A2" s="2427">
        <f>'Single Audit Cover'!E7</f>
        <v>13095049004</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52" sqref="F5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Nashville CCSD 49</v>
      </c>
      <c r="B1" s="2430"/>
      <c r="C1" s="2430"/>
      <c r="D1" s="2430"/>
      <c r="E1" s="2430"/>
    </row>
    <row r="2" spans="1:5" x14ac:dyDescent="0.2">
      <c r="A2" s="2431">
        <f>'Single Audit Cover'!E7</f>
        <v>13095049004</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359273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15359</v>
      </c>
    </row>
    <row r="15" spans="1:5" x14ac:dyDescent="0.2">
      <c r="A15" s="1258"/>
      <c r="B15" s="1259"/>
      <c r="C15" s="1259"/>
    </row>
    <row r="16" spans="1:5" x14ac:dyDescent="0.2">
      <c r="A16" s="1258" t="s">
        <v>1842</v>
      </c>
      <c r="B16" s="1259"/>
      <c r="C16" s="1259"/>
    </row>
    <row r="17" spans="1:4" x14ac:dyDescent="0.2">
      <c r="A17" s="1258" t="s">
        <v>2058</v>
      </c>
      <c r="B17" s="1259" t="s">
        <v>1236</v>
      </c>
      <c r="C17" s="1259"/>
      <c r="D17" s="1261">
        <f>-SUM('Revenues 9-14'!C264:D264,'Revenues 9-14'!F264:G264)</f>
        <v>-15837</v>
      </c>
    </row>
    <row r="19" spans="1:4" ht="13.5" thickBot="1" x14ac:dyDescent="0.25">
      <c r="A19" s="1262" t="s">
        <v>1235</v>
      </c>
      <c r="D19" s="1263">
        <f>SUM(D10:D17)</f>
        <v>358795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358795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358795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5" sqref="B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Nashville CCSD 49</v>
      </c>
      <c r="C1" s="2434"/>
      <c r="D1" s="2434"/>
      <c r="E1" s="2434"/>
      <c r="F1" s="2434"/>
      <c r="G1" s="2434"/>
      <c r="H1" s="2434"/>
      <c r="I1" s="2434"/>
      <c r="J1" s="2434"/>
      <c r="K1" s="2434"/>
      <c r="L1" s="2434"/>
      <c r="M1" s="2434"/>
    </row>
    <row r="2" spans="2:14" ht="15" x14ac:dyDescent="0.2">
      <c r="B2" s="2435">
        <f>'Single Audit Cover'!E7</f>
        <v>13095049004</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1838</v>
      </c>
      <c r="I8" s="1316" t="s">
        <v>1262</v>
      </c>
      <c r="J8" s="1315" t="s">
        <v>1987</v>
      </c>
      <c r="K8" s="1316" t="s">
        <v>1261</v>
      </c>
      <c r="L8" s="1317" t="s">
        <v>1257</v>
      </c>
      <c r="M8" s="1318" t="s">
        <v>30</v>
      </c>
    </row>
    <row r="9" spans="2:14" ht="14.25" x14ac:dyDescent="0.2">
      <c r="B9" s="1322" t="s">
        <v>1259</v>
      </c>
      <c r="C9" s="1310" t="s">
        <v>1735</v>
      </c>
      <c r="D9" s="1311" t="s">
        <v>1736</v>
      </c>
      <c r="E9" s="1319" t="s">
        <v>1838</v>
      </c>
      <c r="F9" s="1320" t="s">
        <v>1987</v>
      </c>
      <c r="G9" s="1321" t="s">
        <v>1838</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7"/>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F52" sqref="F5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Nashville CCSD 49</v>
      </c>
      <c r="B1" s="2439"/>
      <c r="C1" s="2439"/>
      <c r="D1" s="2439"/>
      <c r="E1" s="2439"/>
      <c r="F1" s="2439"/>
    </row>
    <row r="2" spans="1:7" ht="13.5" customHeight="1" x14ac:dyDescent="0.2">
      <c r="A2" s="2435">
        <f>'Single Audit Cover'!E7</f>
        <v>13095049004</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4" t="s">
        <v>1270</v>
      </c>
      <c r="D15" s="2443" t="s">
        <v>1269</v>
      </c>
      <c r="E15" s="2443"/>
      <c r="F15" s="2443"/>
    </row>
    <row r="16" spans="1:7" ht="13.5" customHeight="1" x14ac:dyDescent="0.2">
      <c r="A16" s="1279"/>
      <c r="B16" s="1273" t="s">
        <v>1268</v>
      </c>
      <c r="C16" s="1844"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1"/>
      <c r="E33" s="1283"/>
    </row>
    <row r="34" spans="1:6" ht="13.5" customHeight="1" x14ac:dyDescent="0.2">
      <c r="A34" s="328" t="s">
        <v>1837</v>
      </c>
      <c r="B34" s="328"/>
      <c r="C34" s="1286">
        <v>0</v>
      </c>
      <c r="D34" s="1901" t="s">
        <v>1589</v>
      </c>
      <c r="E34" s="2447">
        <f>+C33+C34</f>
        <v>0</v>
      </c>
      <c r="F34" s="2448"/>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c r="D38" s="1901"/>
      <c r="E38" s="1283"/>
    </row>
    <row r="39" spans="1:6" ht="14.25" customHeight="1" x14ac:dyDescent="0.2">
      <c r="A39" s="328"/>
      <c r="B39" s="328" t="s">
        <v>1436</v>
      </c>
      <c r="C39" s="1289"/>
      <c r="D39" s="1901"/>
      <c r="E39" s="1283"/>
    </row>
    <row r="40" spans="1:6" ht="14.25" customHeight="1" x14ac:dyDescent="0.2">
      <c r="A40" s="328"/>
      <c r="B40" s="328" t="s">
        <v>1437</v>
      </c>
      <c r="C40" s="1289"/>
      <c r="D40" s="1901"/>
      <c r="E40" s="1283"/>
    </row>
    <row r="41" spans="1:6" ht="14.25" customHeight="1" x14ac:dyDescent="0.2">
      <c r="A41" s="328"/>
      <c r="B41" s="328" t="s">
        <v>1438</v>
      </c>
      <c r="C41" s="1289"/>
      <c r="D41" s="1901"/>
      <c r="E41" s="1283"/>
    </row>
    <row r="42" spans="1:6" ht="14.25" customHeight="1" x14ac:dyDescent="0.2">
      <c r="A42" s="328" t="s">
        <v>1439</v>
      </c>
      <c r="B42" s="328"/>
      <c r="C42" s="1899"/>
      <c r="D42" s="1901"/>
      <c r="E42" s="1283"/>
    </row>
    <row r="43" spans="1:6" ht="14.25" customHeight="1" x14ac:dyDescent="0.2">
      <c r="A43" s="328" t="s">
        <v>1440</v>
      </c>
      <c r="B43" s="328"/>
      <c r="C43" s="1290"/>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3"/>
      <c r="C50" s="1843"/>
      <c r="D50" s="1843"/>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B115" colorId="8" zoomScaleNormal="110" zoomScaleSheetLayoutView="100" workbookViewId="0">
      <selection activeCell="D75" sqref="D7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t="s">
        <v>2085</v>
      </c>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t="s">
        <v>2084</v>
      </c>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2114</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4294967293" verticalDpi="4294967293" r:id="rId1"/>
  <headerFooter differentFirst="1" alignWithMargins="0">
    <oddHeader>&amp;L&amp;8Page 2a&amp;C &amp;R&amp;8Page 2a</oddHeader>
    <evenHeader xml:space="preserve">&amp;LPage 2a&amp;RPage 2a
</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 zoomScaleNormal="100" workbookViewId="0">
      <selection activeCell="F52" sqref="F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Nashville CCSD 49</v>
      </c>
      <c r="C1" s="2455"/>
      <c r="D1" s="2455"/>
      <c r="E1" s="2455"/>
      <c r="F1" s="2455"/>
      <c r="G1" s="2455"/>
      <c r="H1" s="2455"/>
      <c r="I1" s="2455"/>
      <c r="J1" s="1406"/>
    </row>
    <row r="2" spans="2:10" s="317" customFormat="1" ht="12.75" customHeight="1" x14ac:dyDescent="0.2">
      <c r="B2" s="2456">
        <f>'Single Audit Cover'!E7</f>
        <v>13095049004</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t="s">
        <v>1164</v>
      </c>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2064</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2064</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t="s">
        <v>2113</v>
      </c>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t="s">
        <v>2113</v>
      </c>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2061</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t="s">
        <v>2113</v>
      </c>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36&amp;R&amp;8Page 36</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Normal="100" workbookViewId="0">
      <selection activeCell="F52" sqref="F5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Nashville CCSD 49</v>
      </c>
      <c r="C1" s="2454"/>
      <c r="D1" s="2454"/>
      <c r="E1" s="2454"/>
      <c r="F1" s="2454"/>
      <c r="G1" s="2454"/>
      <c r="H1" s="2454"/>
      <c r="I1" s="2454"/>
      <c r="J1" s="2454"/>
      <c r="K1" s="2454"/>
      <c r="L1" s="1371"/>
      <c r="M1" s="1371"/>
    </row>
    <row r="2" spans="1:13" ht="12" customHeight="1" x14ac:dyDescent="0.2">
      <c r="B2" s="2456">
        <f>'Single Audit Cover'!E7</f>
        <v>13095049004</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1988</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2092</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2093</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2094</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2095</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2096</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2097</v>
      </c>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2098</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37&amp;R&amp;8Page 37</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5E526-B0E9-4366-AF66-194B50C86565}">
  <dimension ref="A1:M41"/>
  <sheetViews>
    <sheetView showGridLines="0" topLeftCell="A14" zoomScaleNormal="100" workbookViewId="0">
      <selection activeCell="F52" sqref="F5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Nashville CCSD 49</v>
      </c>
      <c r="C1" s="2454"/>
      <c r="D1" s="2454"/>
      <c r="E1" s="2454"/>
      <c r="F1" s="2454"/>
      <c r="G1" s="2454"/>
      <c r="H1" s="2454"/>
      <c r="I1" s="2454"/>
      <c r="J1" s="2454"/>
      <c r="K1" s="2454"/>
      <c r="L1" s="1371"/>
      <c r="M1" s="1371"/>
    </row>
    <row r="2" spans="1:13" ht="12" customHeight="1" x14ac:dyDescent="0.2">
      <c r="B2" s="2456">
        <f>'Single Audit Cover'!E7</f>
        <v>13095049004</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938"/>
      <c r="M3" s="1938"/>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1988</v>
      </c>
      <c r="D10" s="1383">
        <v>2</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9.5" customHeight="1" x14ac:dyDescent="0.2">
      <c r="B14" s="2482" t="s">
        <v>2121</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4.5" customHeight="1" x14ac:dyDescent="0.2">
      <c r="B17" s="2482" t="s">
        <v>2120</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t="s">
        <v>2119</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29.25" customHeight="1" x14ac:dyDescent="0.2">
      <c r="B23" s="2482" t="s">
        <v>2118</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t="s">
        <v>2117</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3.75" customHeight="1" x14ac:dyDescent="0.2">
      <c r="B29" s="2481" t="s">
        <v>2116</v>
      </c>
      <c r="C29" s="2475"/>
      <c r="D29" s="2476"/>
      <c r="E29" s="2476"/>
      <c r="F29" s="2476"/>
      <c r="G29" s="2476"/>
      <c r="H29" s="2476"/>
      <c r="I29" s="2476"/>
      <c r="J29" s="2476"/>
      <c r="K29" s="2476"/>
      <c r="L29" s="1378"/>
    </row>
    <row r="30" spans="2:12" ht="4.5" hidden="1"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1" t="s">
        <v>2115</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38&amp;R&amp;8Page 38</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3" zoomScale="110" zoomScaleNormal="110" workbookViewId="0">
      <selection activeCell="F52" sqref="F5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Nashville CCSD 49</v>
      </c>
      <c r="C1" s="2484"/>
      <c r="D1" s="2484"/>
      <c r="E1" s="2484"/>
      <c r="F1" s="2484"/>
      <c r="G1" s="2484"/>
      <c r="H1" s="2484"/>
      <c r="I1" s="2484"/>
      <c r="J1" s="2484"/>
      <c r="K1" s="2484"/>
      <c r="L1" s="1449"/>
    </row>
    <row r="2" spans="1:12" ht="12.75" customHeight="1" x14ac:dyDescent="0.2">
      <c r="B2" s="2485">
        <f>'Single Audit Cover'!E7</f>
        <v>13095049004</v>
      </c>
      <c r="C2" s="2485"/>
      <c r="D2" s="2485"/>
      <c r="E2" s="2485"/>
      <c r="F2" s="2485"/>
      <c r="G2" s="2485"/>
      <c r="H2" s="2485"/>
      <c r="I2" s="2485"/>
      <c r="J2" s="2485"/>
      <c r="K2" s="2485"/>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Normal="100" workbookViewId="0">
      <selection activeCell="F52" sqref="F5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Nashville CCSD 49</v>
      </c>
      <c r="C1" s="2454"/>
      <c r="D1" s="2454"/>
      <c r="E1" s="1469"/>
    </row>
    <row r="2" spans="2:5" s="1279" customFormat="1" ht="12.75" customHeight="1" x14ac:dyDescent="0.2">
      <c r="B2" s="2456">
        <f>'Single Audit Cover'!E7</f>
        <v>13095049004</v>
      </c>
      <c r="C2" s="2456"/>
      <c r="D2" s="2456"/>
      <c r="E2" s="1470"/>
    </row>
    <row r="3" spans="2:5" ht="12.75" customHeight="1" x14ac:dyDescent="0.2">
      <c r="B3" s="2477" t="s">
        <v>1766</v>
      </c>
      <c r="C3" s="2477"/>
      <c r="D3" s="2477"/>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c r="C5" s="328"/>
      <c r="D5" s="328"/>
      <c r="E5" s="328"/>
    </row>
    <row r="6" spans="2:5" s="1279" customFormat="1" ht="13.5" customHeight="1" x14ac:dyDescent="0.2">
      <c r="B6" s="1473" t="s">
        <v>1315</v>
      </c>
      <c r="C6" s="1473" t="s">
        <v>1314</v>
      </c>
      <c r="D6" s="1473" t="s">
        <v>1767</v>
      </c>
    </row>
    <row r="7" spans="2:5" ht="13.5" customHeight="1" x14ac:dyDescent="0.2">
      <c r="B7" s="1474"/>
      <c r="C7" s="324"/>
      <c r="D7" s="324"/>
      <c r="E7" s="324"/>
    </row>
    <row r="8" spans="2:5" ht="13.5" customHeight="1" x14ac:dyDescent="0.2">
      <c r="B8" s="1474" t="s">
        <v>2099</v>
      </c>
      <c r="C8" s="324" t="s">
        <v>2092</v>
      </c>
      <c r="D8" s="324" t="s">
        <v>2102</v>
      </c>
      <c r="E8" s="324"/>
    </row>
    <row r="9" spans="2:5" ht="13.5" customHeight="1" x14ac:dyDescent="0.2">
      <c r="B9" s="1475"/>
      <c r="C9" s="323"/>
      <c r="D9" s="323"/>
      <c r="E9" s="323"/>
    </row>
    <row r="10" spans="2:5" ht="13.5" customHeight="1" x14ac:dyDescent="0.2">
      <c r="B10" s="1474" t="s">
        <v>2100</v>
      </c>
      <c r="C10" s="323" t="s">
        <v>2101</v>
      </c>
      <c r="D10" s="323" t="s">
        <v>2102</v>
      </c>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1768</v>
      </c>
    </row>
    <row r="46" spans="2:5" ht="12.2" customHeight="1" x14ac:dyDescent="0.2">
      <c r="B46" s="1483" t="s">
        <v>1769</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39&amp;R&amp;8Page 39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topLeftCell="A4" colorId="8" zoomScaleNormal="110" zoomScaleSheetLayoutView="100" workbookViewId="0">
      <selection activeCell="F52" sqref="F5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124504083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2.0635199999999999E-2</v>
      </c>
      <c r="E10" s="356" t="s">
        <v>1005</v>
      </c>
      <c r="F10" s="355">
        <v>2.7469E-3</v>
      </c>
      <c r="G10" s="356" t="s">
        <v>1005</v>
      </c>
      <c r="H10" s="355">
        <v>1.8473999999999999E-3</v>
      </c>
      <c r="I10" s="356" t="s">
        <v>1006</v>
      </c>
      <c r="J10" s="1731">
        <f>ROUND(D10+F10+H10,5)</f>
        <v>2.5229999999999999E-2</v>
      </c>
      <c r="K10" s="222"/>
      <c r="L10" s="355">
        <v>4.016E-4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5846134</v>
      </c>
      <c r="E16" s="356"/>
      <c r="F16" s="1732">
        <f>SUM('Acct Summary 7-8'!C17,'Acct Summary 7-8'!D17,'Acct Summary 7-8'!F17)</f>
        <v>5193163</v>
      </c>
      <c r="G16" s="356"/>
      <c r="H16" s="1732">
        <f>SUM(D16-F16)</f>
        <v>652971</v>
      </c>
      <c r="I16" s="222"/>
      <c r="J16" s="1732">
        <f>SUM('Acct Summary 7-8'!C81,'Acct Summary 7-8'!D81,'Acct Summary 7-8'!F81,'Acct Summary 7-8'!I81)</f>
        <v>5432072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4">
        <f>IF(B31="X",(J7*0.069),IF(B32="X",(J7*0.138),"Enter x in a.or b."))</f>
        <v>8590781.727</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1977000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topLeftCell="A21" zoomScaleNormal="110" zoomScaleSheetLayoutView="100" workbookViewId="0">
      <selection activeCell="F52" sqref="F5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Nashville CCSD 49</v>
      </c>
      <c r="E7" s="391"/>
      <c r="G7" s="252"/>
      <c r="H7" s="387"/>
      <c r="I7" s="387"/>
      <c r="J7" s="387"/>
      <c r="K7" s="387"/>
      <c r="L7" s="329"/>
      <c r="M7" s="329"/>
      <c r="N7" s="329"/>
      <c r="O7" s="329"/>
      <c r="P7" s="329"/>
    </row>
    <row r="8" spans="1:18" ht="12.75" x14ac:dyDescent="0.2">
      <c r="A8" s="329"/>
      <c r="B8" s="329"/>
      <c r="C8" s="389" t="s">
        <v>1125</v>
      </c>
      <c r="D8" s="392">
        <f>COVER!A13</f>
        <v>13095049004</v>
      </c>
      <c r="E8" s="393"/>
      <c r="G8" s="329"/>
      <c r="H8" s="329"/>
      <c r="I8" s="329"/>
      <c r="J8" s="329"/>
      <c r="K8" s="329"/>
      <c r="L8" s="329"/>
      <c r="M8" s="329"/>
      <c r="N8" s="329"/>
      <c r="O8" s="329"/>
      <c r="P8" s="329"/>
    </row>
    <row r="9" spans="1:18" ht="12.75" x14ac:dyDescent="0.2">
      <c r="A9" s="329"/>
      <c r="B9" s="329"/>
      <c r="C9" s="389" t="s">
        <v>713</v>
      </c>
      <c r="D9" s="394" t="str">
        <f>COVER!A15</f>
        <v xml:space="preserve">Washington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5432072</v>
      </c>
      <c r="I12" s="404"/>
      <c r="J12" s="404"/>
      <c r="K12" s="405">
        <f>TRUNC((H12/H13*100000),5)/100000</f>
        <v>0.92917336480000001</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5846134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5193163</v>
      </c>
      <c r="I17" s="404"/>
      <c r="J17" s="416"/>
      <c r="K17" s="405">
        <f>TRUNC((H17/H18*100000),5)/100000</f>
        <v>0.88830721290000003</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5846134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5432072</v>
      </c>
      <c r="I24" s="422"/>
      <c r="J24" s="422"/>
      <c r="K24" s="423">
        <f>TRUNC(((H24/H25*100000)/100000),2)</f>
        <v>376.56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14425.45278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2670052.3119800002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1977000</v>
      </c>
      <c r="I32" s="420"/>
      <c r="J32" s="420"/>
      <c r="K32" s="423">
        <f>TRUNC(100-((((H32/H33*100))*100)/100),2)</f>
        <v>76.98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8590781.727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topLeftCell="B1" colorId="8" zoomScaleNormal="110" zoomScaleSheetLayoutView="100" workbookViewId="0">
      <pane ySplit="2" topLeftCell="A3" activePane="bottomLeft" state="frozen"/>
      <selection activeCell="F52" sqref="F52"/>
      <selection pane="bottomLeft" activeCell="F52" sqref="F5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383906</v>
      </c>
      <c r="D4" s="466">
        <v>49158</v>
      </c>
      <c r="E4" s="466">
        <v>29250</v>
      </c>
      <c r="F4" s="466">
        <v>95573</v>
      </c>
      <c r="G4" s="466">
        <v>37058</v>
      </c>
      <c r="H4" s="466"/>
      <c r="I4" s="466">
        <v>1185</v>
      </c>
      <c r="J4" s="467">
        <v>10987</v>
      </c>
      <c r="K4" s="466">
        <v>17293</v>
      </c>
      <c r="L4" s="466">
        <v>44757</v>
      </c>
      <c r="M4" s="468"/>
      <c r="N4" s="469"/>
    </row>
    <row r="5" spans="1:14" x14ac:dyDescent="0.2">
      <c r="A5" s="463" t="s">
        <v>992</v>
      </c>
      <c r="B5" s="470">
        <v>120</v>
      </c>
      <c r="C5" s="465">
        <v>3298381</v>
      </c>
      <c r="D5" s="466">
        <v>450718</v>
      </c>
      <c r="E5" s="466"/>
      <c r="F5" s="466">
        <v>343826</v>
      </c>
      <c r="G5" s="466">
        <v>82763</v>
      </c>
      <c r="H5" s="466"/>
      <c r="I5" s="466">
        <v>809325</v>
      </c>
      <c r="J5" s="467">
        <v>46340</v>
      </c>
      <c r="K5" s="471">
        <v>122058</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3682287</v>
      </c>
      <c r="D13" s="1736">
        <f t="shared" ref="D13:L13" si="0">SUM(D4:D12)</f>
        <v>499876</v>
      </c>
      <c r="E13" s="1736">
        <f t="shared" si="0"/>
        <v>29250</v>
      </c>
      <c r="F13" s="1736">
        <f t="shared" si="0"/>
        <v>439399</v>
      </c>
      <c r="G13" s="1736">
        <f t="shared" si="0"/>
        <v>119821</v>
      </c>
      <c r="H13" s="1736">
        <f t="shared" si="0"/>
        <v>0</v>
      </c>
      <c r="I13" s="1736">
        <f t="shared" si="0"/>
        <v>810510</v>
      </c>
      <c r="J13" s="1736">
        <f t="shared" si="0"/>
        <v>57327</v>
      </c>
      <c r="K13" s="1736">
        <f t="shared" si="0"/>
        <v>139351</v>
      </c>
      <c r="L13" s="1736">
        <f t="shared" si="0"/>
        <v>44757</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22098</v>
      </c>
      <c r="N16" s="484"/>
    </row>
    <row r="17" spans="1:14" s="485" customFormat="1" ht="12.75" customHeight="1" x14ac:dyDescent="0.2">
      <c r="A17" s="482" t="s">
        <v>1403</v>
      </c>
      <c r="B17" s="483">
        <v>230</v>
      </c>
      <c r="C17" s="477"/>
      <c r="D17" s="477"/>
      <c r="E17" s="477"/>
      <c r="F17" s="477"/>
      <c r="G17" s="477"/>
      <c r="H17" s="477"/>
      <c r="I17" s="477"/>
      <c r="J17" s="477"/>
      <c r="K17" s="477"/>
      <c r="L17" s="477"/>
      <c r="M17" s="467">
        <v>11075700</v>
      </c>
      <c r="N17" s="484"/>
    </row>
    <row r="18" spans="1:14" s="485" customFormat="1" ht="12.75" customHeight="1" x14ac:dyDescent="0.2">
      <c r="A18" s="482" t="s">
        <v>1404</v>
      </c>
      <c r="B18" s="483">
        <v>240</v>
      </c>
      <c r="C18" s="477"/>
      <c r="D18" s="477"/>
      <c r="E18" s="477"/>
      <c r="F18" s="477"/>
      <c r="G18" s="477"/>
      <c r="H18" s="477"/>
      <c r="I18" s="477"/>
      <c r="J18" s="477"/>
      <c r="K18" s="477"/>
      <c r="L18" s="477"/>
      <c r="M18" s="467">
        <v>343878</v>
      </c>
      <c r="N18" s="484"/>
    </row>
    <row r="19" spans="1:14" s="485" customFormat="1" ht="12.75" customHeight="1" x14ac:dyDescent="0.2">
      <c r="A19" s="482" t="s">
        <v>1405</v>
      </c>
      <c r="B19" s="483">
        <v>250</v>
      </c>
      <c r="C19" s="477"/>
      <c r="D19" s="477"/>
      <c r="E19" s="477"/>
      <c r="F19" s="477"/>
      <c r="G19" s="477"/>
      <c r="H19" s="477"/>
      <c r="I19" s="477"/>
      <c r="J19" s="477"/>
      <c r="K19" s="477"/>
      <c r="L19" s="477"/>
      <c r="M19" s="467">
        <v>2368751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29250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1947750</v>
      </c>
    </row>
    <row r="23" spans="1:14" ht="13.5" customHeight="1" thickBot="1" x14ac:dyDescent="0.25">
      <c r="A23" s="1735" t="s">
        <v>643</v>
      </c>
      <c r="B23" s="1740"/>
      <c r="C23" s="468"/>
      <c r="D23" s="468"/>
      <c r="E23" s="468"/>
      <c r="F23" s="468"/>
      <c r="G23" s="468"/>
      <c r="H23" s="468"/>
      <c r="I23" s="468"/>
      <c r="J23" s="468"/>
      <c r="K23" s="468"/>
      <c r="L23" s="468"/>
      <c r="M23" s="1687">
        <f>SUM(M15:M22)</f>
        <v>13810427</v>
      </c>
      <c r="N23" s="1687">
        <f>SUM(N21:N22)</f>
        <v>1977000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44757</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44757</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1977000</v>
      </c>
    </row>
    <row r="37" spans="1:14" ht="13.5" thickBot="1" x14ac:dyDescent="0.25">
      <c r="A37" s="1735" t="s">
        <v>653</v>
      </c>
      <c r="B37" s="1740"/>
      <c r="C37" s="477"/>
      <c r="D37" s="477"/>
      <c r="E37" s="477"/>
      <c r="F37" s="477"/>
      <c r="G37" s="477"/>
      <c r="H37" s="477"/>
      <c r="I37" s="477"/>
      <c r="J37" s="477"/>
      <c r="K37" s="477"/>
      <c r="L37" s="480"/>
      <c r="M37" s="468"/>
      <c r="N37" s="1687">
        <f>SUM(N36:N36)</f>
        <v>1977000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3682287</v>
      </c>
      <c r="D39" s="466">
        <v>499876</v>
      </c>
      <c r="E39" s="466">
        <v>29250</v>
      </c>
      <c r="F39" s="466">
        <v>439399</v>
      </c>
      <c r="G39" s="466">
        <v>119821</v>
      </c>
      <c r="H39" s="466"/>
      <c r="I39" s="466">
        <v>810510</v>
      </c>
      <c r="J39" s="467">
        <v>57327</v>
      </c>
      <c r="K39" s="466">
        <v>139351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13810427</v>
      </c>
      <c r="N40" s="497"/>
    </row>
    <row r="41" spans="1:14" ht="13.5" customHeight="1" thickBot="1" x14ac:dyDescent="0.25">
      <c r="A41" s="1735" t="s">
        <v>655</v>
      </c>
      <c r="B41" s="1705"/>
      <c r="C41" s="1687">
        <f>(SUM(C34,C37,C38,C39))</f>
        <v>3682287</v>
      </c>
      <c r="D41" s="1687">
        <f t="shared" ref="D41:L41" si="2">SUM(D34,D37,D38:D39)</f>
        <v>499876</v>
      </c>
      <c r="E41" s="1687">
        <f t="shared" si="2"/>
        <v>29250</v>
      </c>
      <c r="F41" s="1687">
        <f t="shared" si="2"/>
        <v>439399</v>
      </c>
      <c r="G41" s="1687">
        <f t="shared" si="2"/>
        <v>119821</v>
      </c>
      <c r="H41" s="1687">
        <f t="shared" si="2"/>
        <v>0</v>
      </c>
      <c r="I41" s="1687">
        <f t="shared" si="2"/>
        <v>810510</v>
      </c>
      <c r="J41" s="1687">
        <f t="shared" si="2"/>
        <v>57327</v>
      </c>
      <c r="K41" s="1687">
        <f t="shared" si="2"/>
        <v>139351</v>
      </c>
      <c r="L41" s="1687">
        <f t="shared" si="2"/>
        <v>44757</v>
      </c>
      <c r="M41" s="1687">
        <f>SUM(M40)</f>
        <v>13810427</v>
      </c>
      <c r="N41" s="1687">
        <f>SUM(N37)</f>
        <v>1977000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&amp;P&amp;C&amp;"Arial,Bold"&amp;9STATEMENT OF ASSETS AND LIABILITIES ARISING FROM CASH TRANSACTIONS/
STATEMENT OF POSITION 
AS OF JUNE 30, 2019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00" zoomScaleSheetLayoutView="100" workbookViewId="0">
      <pane ySplit="2" topLeftCell="A3" activePane="bottomLeft" state="frozen"/>
      <selection activeCell="F52" sqref="F52"/>
      <selection pane="bottomLeft" activeCell="F52" sqref="F5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6" t="s">
        <v>1499</v>
      </c>
      <c r="B4" s="1927">
        <v>1000</v>
      </c>
      <c r="C4" s="1741">
        <f>'Revenues 9-14'!C109</f>
        <v>2723111</v>
      </c>
      <c r="D4" s="1741">
        <f>'Revenues 9-14'!D109</f>
        <v>518919</v>
      </c>
      <c r="E4" s="1741">
        <f>'Revenues 9-14'!E109</f>
        <v>233246</v>
      </c>
      <c r="F4" s="1741">
        <f>'Revenues 9-14'!F109</f>
        <v>232827</v>
      </c>
      <c r="G4" s="1741">
        <f>'Revenues 9-14'!G109</f>
        <v>140604</v>
      </c>
      <c r="H4" s="1741">
        <f>'Revenues 9-14'!H109</f>
        <v>0</v>
      </c>
      <c r="I4" s="1741">
        <f>'Revenues 9-14'!I109</f>
        <v>66736</v>
      </c>
      <c r="J4" s="1741">
        <f>'Revenues 9-14'!J109</f>
        <v>183450</v>
      </c>
      <c r="K4" s="1741">
        <f>'Revenues 9-14'!K109</f>
        <v>55813</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1685771</v>
      </c>
      <c r="D6" s="1742">
        <f>'Revenues 9-14'!D170</f>
        <v>0</v>
      </c>
      <c r="E6" s="1742">
        <f>'Revenues 9-14'!E170</f>
        <v>0</v>
      </c>
      <c r="F6" s="1742">
        <f>'Revenues 9-14'!F170</f>
        <v>259497</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359273</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4768155</v>
      </c>
      <c r="D8" s="1687">
        <f t="shared" ref="D8:K8" si="0">SUM(D4:D7)</f>
        <v>518919</v>
      </c>
      <c r="E8" s="1687">
        <f t="shared" si="0"/>
        <v>233246</v>
      </c>
      <c r="F8" s="1687">
        <f t="shared" si="0"/>
        <v>492324</v>
      </c>
      <c r="G8" s="1687">
        <f t="shared" si="0"/>
        <v>140604</v>
      </c>
      <c r="H8" s="1687">
        <f t="shared" si="0"/>
        <v>0</v>
      </c>
      <c r="I8" s="1687">
        <f t="shared" si="0"/>
        <v>66736</v>
      </c>
      <c r="J8" s="1687">
        <f t="shared" si="0"/>
        <v>183450</v>
      </c>
      <c r="K8" s="1687">
        <f t="shared" si="0"/>
        <v>55813</v>
      </c>
      <c r="L8" s="347"/>
    </row>
    <row r="9" spans="1:13" ht="15.75" thickTop="1" x14ac:dyDescent="0.2">
      <c r="A9" s="514" t="s">
        <v>1653</v>
      </c>
      <c r="B9" s="515">
        <v>3998</v>
      </c>
      <c r="C9" s="481">
        <v>275380</v>
      </c>
      <c r="D9" s="516"/>
      <c r="E9" s="481"/>
      <c r="F9" s="481"/>
      <c r="G9" s="517"/>
      <c r="H9" s="481"/>
      <c r="I9" s="509" t="s">
        <v>1169</v>
      </c>
      <c r="J9" s="478"/>
      <c r="K9" s="481"/>
      <c r="L9" s="347"/>
    </row>
    <row r="10" spans="1:13" s="519" customFormat="1" ht="13.5" thickBot="1" x14ac:dyDescent="0.25">
      <c r="A10" s="1735" t="s">
        <v>1173</v>
      </c>
      <c r="B10" s="1708"/>
      <c r="C10" s="1687">
        <f>SUM(C8:C9)</f>
        <v>5043535</v>
      </c>
      <c r="D10" s="1687">
        <f t="shared" ref="D10:K10" si="1">SUM(D8:D9)</f>
        <v>518919</v>
      </c>
      <c r="E10" s="1687">
        <f t="shared" si="1"/>
        <v>233246</v>
      </c>
      <c r="F10" s="1687">
        <f t="shared" si="1"/>
        <v>492324</v>
      </c>
      <c r="G10" s="1687">
        <f t="shared" si="1"/>
        <v>140604</v>
      </c>
      <c r="H10" s="1687">
        <f t="shared" si="1"/>
        <v>0</v>
      </c>
      <c r="I10" s="1687">
        <f t="shared" si="1"/>
        <v>66736</v>
      </c>
      <c r="J10" s="1687">
        <f t="shared" si="1"/>
        <v>183450</v>
      </c>
      <c r="K10" s="1687">
        <f t="shared" si="1"/>
        <v>55813</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1">
        <f>'Expenditures 15-22'!K33</f>
        <v>2626711</v>
      </c>
      <c r="D12" s="520" t="s">
        <v>1169</v>
      </c>
      <c r="E12" s="468" t="s">
        <v>1169</v>
      </c>
      <c r="F12" s="468" t="s">
        <v>1169</v>
      </c>
      <c r="G12" s="1741">
        <f>'Expenditures 15-22'!K229</f>
        <v>62873</v>
      </c>
      <c r="H12" s="521"/>
      <c r="I12" s="468" t="s">
        <v>1169</v>
      </c>
      <c r="J12" s="468" t="s">
        <v>1169</v>
      </c>
      <c r="K12" s="521" t="s">
        <v>1169</v>
      </c>
      <c r="L12" s="347"/>
    </row>
    <row r="13" spans="1:13" ht="15.75" customHeight="1" x14ac:dyDescent="0.2">
      <c r="A13" s="1576" t="s">
        <v>457</v>
      </c>
      <c r="B13" s="1578">
        <v>2000</v>
      </c>
      <c r="C13" s="1742">
        <f>'Expenditures 15-22'!K74</f>
        <v>1178889</v>
      </c>
      <c r="D13" s="1742">
        <f>'Expenditures 15-22'!K129</f>
        <v>479451</v>
      </c>
      <c r="E13" s="469" t="s">
        <v>1169</v>
      </c>
      <c r="F13" s="1742">
        <f>'Expenditures 15-22'!K184</f>
        <v>435776</v>
      </c>
      <c r="G13" s="1742">
        <f>'Expenditures 15-22'!K279</f>
        <v>62498</v>
      </c>
      <c r="H13" s="1742">
        <f>'Expenditures 15-22'!K303</f>
        <v>0</v>
      </c>
      <c r="I13" s="468" t="s">
        <v>1169</v>
      </c>
      <c r="J13" s="1742">
        <f>'Expenditures 15-22'!K330</f>
        <v>174433</v>
      </c>
      <c r="K13" s="1746">
        <f>'Expenditures 15-22'!K352</f>
        <v>33851</v>
      </c>
      <c r="L13" s="347"/>
    </row>
    <row r="14" spans="1:13" ht="15.75" customHeight="1" x14ac:dyDescent="0.2">
      <c r="A14" s="1576" t="s">
        <v>449</v>
      </c>
      <c r="B14" s="1578">
        <v>3000</v>
      </c>
      <c r="C14" s="1742">
        <f>'Expenditures 15-22'!K75</f>
        <v>61909</v>
      </c>
      <c r="D14" s="1742">
        <f>'Expenditures 15-22'!K130</f>
        <v>0</v>
      </c>
      <c r="E14" s="520" t="s">
        <v>1169</v>
      </c>
      <c r="F14" s="1742">
        <f>'Expenditures 15-22'!K185</f>
        <v>0</v>
      </c>
      <c r="G14" s="1742">
        <f>'Expenditures 15-22'!K280</f>
        <v>3874</v>
      </c>
      <c r="H14" s="512"/>
      <c r="I14" s="468" t="s">
        <v>1169</v>
      </c>
      <c r="J14" s="468" t="s">
        <v>1169</v>
      </c>
      <c r="K14" s="512" t="s">
        <v>1169</v>
      </c>
      <c r="L14" s="347"/>
    </row>
    <row r="15" spans="1:13" ht="15.75" customHeight="1" x14ac:dyDescent="0.2">
      <c r="A15" s="1576" t="s">
        <v>107</v>
      </c>
      <c r="B15" s="1578">
        <v>4000</v>
      </c>
      <c r="C15" s="1742">
        <f>'Expenditures 15-22'!K102</f>
        <v>410427</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233528</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4277936</v>
      </c>
      <c r="D17" s="1687">
        <f t="shared" si="2"/>
        <v>479451</v>
      </c>
      <c r="E17" s="1687">
        <f t="shared" si="2"/>
        <v>233528</v>
      </c>
      <c r="F17" s="1687">
        <f t="shared" si="2"/>
        <v>435776</v>
      </c>
      <c r="G17" s="1687">
        <f t="shared" si="2"/>
        <v>129245</v>
      </c>
      <c r="H17" s="1687">
        <f t="shared" si="2"/>
        <v>0</v>
      </c>
      <c r="I17" s="468"/>
      <c r="J17" s="1687">
        <f>SUM(J12:J16)</f>
        <v>174433</v>
      </c>
      <c r="K17" s="1687">
        <f>SUM(K12:K16)</f>
        <v>33851</v>
      </c>
      <c r="L17" s="347"/>
    </row>
    <row r="18" spans="1:12" ht="15" customHeight="1" thickTop="1" x14ac:dyDescent="0.2">
      <c r="A18" s="1743" t="s">
        <v>1654</v>
      </c>
      <c r="B18" s="1744">
        <v>4180</v>
      </c>
      <c r="C18" s="1741">
        <f t="shared" ref="C18:H18" si="3">C9</f>
        <v>275380</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4553316</v>
      </c>
      <c r="D19" s="1687">
        <f t="shared" si="4"/>
        <v>479451</v>
      </c>
      <c r="E19" s="1687">
        <f t="shared" si="4"/>
        <v>233528</v>
      </c>
      <c r="F19" s="1687">
        <f t="shared" si="4"/>
        <v>435776</v>
      </c>
      <c r="G19" s="1687">
        <f t="shared" si="4"/>
        <v>129245</v>
      </c>
      <c r="H19" s="1687">
        <f t="shared" si="4"/>
        <v>0</v>
      </c>
      <c r="I19" s="468"/>
      <c r="J19" s="1687">
        <f>SUM(J17:J18)</f>
        <v>174433</v>
      </c>
      <c r="K19" s="1687">
        <f>SUM(K17:K18)</f>
        <v>33851</v>
      </c>
      <c r="L19" s="347"/>
    </row>
    <row r="20" spans="1:12" ht="16.5" thickTop="1" thickBot="1" x14ac:dyDescent="0.25">
      <c r="A20" s="2127" t="s">
        <v>1655</v>
      </c>
      <c r="B20" s="2128"/>
      <c r="C20" s="1745">
        <f>C8-C17</f>
        <v>490219</v>
      </c>
      <c r="D20" s="1745">
        <f t="shared" ref="D20:K20" si="5">D8-D17</f>
        <v>39468</v>
      </c>
      <c r="E20" s="1745">
        <f t="shared" si="5"/>
        <v>-282</v>
      </c>
      <c r="F20" s="1745">
        <f t="shared" si="5"/>
        <v>56548</v>
      </c>
      <c r="G20" s="1745">
        <f t="shared" si="5"/>
        <v>11359</v>
      </c>
      <c r="H20" s="1745">
        <f t="shared" si="5"/>
        <v>0</v>
      </c>
      <c r="I20" s="1745">
        <f t="shared" si="5"/>
        <v>66736</v>
      </c>
      <c r="J20" s="1745">
        <f t="shared" si="5"/>
        <v>9017</v>
      </c>
      <c r="K20" s="1745">
        <f t="shared" si="5"/>
        <v>21962</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2">
        <f>D30</f>
        <v>0</v>
      </c>
      <c r="L52" s="524"/>
    </row>
    <row r="53" spans="1:12" s="485" customFormat="1" ht="26.25" x14ac:dyDescent="0.2">
      <c r="A53" s="1490" t="s">
        <v>1795</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9" t="s">
        <v>1177</v>
      </c>
      <c r="B77" s="2120"/>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23" t="s">
        <v>597</v>
      </c>
      <c r="B78" s="2124"/>
      <c r="C78" s="1701">
        <f t="shared" ref="C78:K78" si="9">C20+C77</f>
        <v>490219</v>
      </c>
      <c r="D78" s="1701">
        <f t="shared" si="9"/>
        <v>39468</v>
      </c>
      <c r="E78" s="1701">
        <f t="shared" si="9"/>
        <v>-282</v>
      </c>
      <c r="F78" s="1701">
        <f t="shared" si="9"/>
        <v>56548</v>
      </c>
      <c r="G78" s="1701">
        <f t="shared" si="9"/>
        <v>11359</v>
      </c>
      <c r="H78" s="1701">
        <f t="shared" si="9"/>
        <v>0</v>
      </c>
      <c r="I78" s="1701">
        <f t="shared" si="9"/>
        <v>66736</v>
      </c>
      <c r="J78" s="1701">
        <f t="shared" si="9"/>
        <v>9017</v>
      </c>
      <c r="K78" s="1701">
        <f t="shared" si="9"/>
        <v>21962</v>
      </c>
      <c r="L78" s="533"/>
    </row>
    <row r="79" spans="1:12" ht="13.5" thickTop="1" x14ac:dyDescent="0.2">
      <c r="A79" s="1494" t="s">
        <v>1946</v>
      </c>
      <c r="B79" s="534"/>
      <c r="C79" s="478">
        <v>3192068</v>
      </c>
      <c r="D79" s="535">
        <v>460408</v>
      </c>
      <c r="E79" s="535">
        <v>29532</v>
      </c>
      <c r="F79" s="535">
        <v>382851</v>
      </c>
      <c r="G79" s="535">
        <v>108462</v>
      </c>
      <c r="H79" s="535">
        <v>0</v>
      </c>
      <c r="I79" s="535">
        <v>743774</v>
      </c>
      <c r="J79" s="535">
        <v>48310</v>
      </c>
      <c r="K79" s="535">
        <v>117389</v>
      </c>
      <c r="L79" s="347"/>
    </row>
    <row r="80" spans="1:12" x14ac:dyDescent="0.2">
      <c r="A80" s="2129" t="s">
        <v>1794</v>
      </c>
      <c r="B80" s="2130"/>
      <c r="C80" s="467"/>
      <c r="D80" s="467"/>
      <c r="E80" s="467"/>
      <c r="F80" s="467"/>
      <c r="G80" s="467"/>
      <c r="H80" s="467"/>
      <c r="I80" s="467"/>
      <c r="J80" s="467"/>
      <c r="K80" s="467"/>
      <c r="L80" s="347"/>
    </row>
    <row r="81" spans="1:12" ht="13.5" thickBot="1" x14ac:dyDescent="0.25">
      <c r="A81" s="2121" t="s">
        <v>1947</v>
      </c>
      <c r="B81" s="2122"/>
      <c r="C81" s="1687">
        <f>(SUM(C78:C80))</f>
        <v>3682287</v>
      </c>
      <c r="D81" s="1687">
        <f>SUM(D78:D80)</f>
        <v>499876</v>
      </c>
      <c r="E81" s="1687">
        <f t="shared" ref="E81:K81" si="10">SUM(E78:E80)</f>
        <v>29250</v>
      </c>
      <c r="F81" s="1687">
        <f t="shared" si="10"/>
        <v>439399</v>
      </c>
      <c r="G81" s="1687">
        <f t="shared" si="10"/>
        <v>119821</v>
      </c>
      <c r="H81" s="1687">
        <f t="shared" si="10"/>
        <v>0</v>
      </c>
      <c r="I81" s="1687">
        <f t="shared" si="10"/>
        <v>810510</v>
      </c>
      <c r="J81" s="1687">
        <f t="shared" si="10"/>
        <v>57327</v>
      </c>
      <c r="K81" s="1687">
        <f t="shared" si="10"/>
        <v>139351</v>
      </c>
      <c r="L81" s="347"/>
    </row>
    <row r="82" spans="1:12" ht="0.75" customHeight="1" thickTop="1" thickBot="1" x14ac:dyDescent="0.25">
      <c r="A82" s="536" t="s">
        <v>343</v>
      </c>
      <c r="B82" s="537"/>
      <c r="C82" s="538">
        <f>(C81-C79)</f>
        <v>490219</v>
      </c>
      <c r="D82" s="538">
        <f t="shared" ref="D82:K82" si="11">(D81-D79)</f>
        <v>39468</v>
      </c>
      <c r="E82" s="538">
        <f t="shared" si="11"/>
        <v>-282</v>
      </c>
      <c r="F82" s="538">
        <f t="shared" si="11"/>
        <v>56548</v>
      </c>
      <c r="G82" s="538">
        <f t="shared" si="11"/>
        <v>11359</v>
      </c>
      <c r="H82" s="538">
        <f t="shared" si="11"/>
        <v>0</v>
      </c>
      <c r="I82" s="538">
        <f t="shared" si="11"/>
        <v>66736</v>
      </c>
      <c r="J82" s="538">
        <f t="shared" si="11"/>
        <v>9017</v>
      </c>
      <c r="K82" s="538">
        <f t="shared" si="11"/>
        <v>21962</v>
      </c>
    </row>
    <row r="83" spans="1:12" ht="14.25" hidden="1" thickTop="1" thickBot="1" x14ac:dyDescent="0.25">
      <c r="A83" s="539" t="s">
        <v>344</v>
      </c>
      <c r="B83" s="464"/>
      <c r="C83" s="540">
        <f>C82/C81</f>
        <v>0.13312894948166723</v>
      </c>
      <c r="D83" s="540">
        <f t="shared" ref="D83:K83" si="12">D82/D81</f>
        <v>7.8955580984084048E-2</v>
      </c>
      <c r="E83" s="540">
        <f t="shared" si="12"/>
        <v>-9.6410256410256415E-3</v>
      </c>
      <c r="F83" s="540">
        <f t="shared" si="12"/>
        <v>0.12869396607639072</v>
      </c>
      <c r="G83" s="540">
        <f t="shared" si="12"/>
        <v>9.4799742949900262E-2</v>
      </c>
      <c r="H83" s="540" t="e">
        <f t="shared" si="12"/>
        <v>#DIV/0!</v>
      </c>
      <c r="I83" s="540">
        <f t="shared" si="12"/>
        <v>8.2338280835523317E-2</v>
      </c>
      <c r="J83" s="540">
        <f t="shared" si="12"/>
        <v>0.15729063094179008</v>
      </c>
      <c r="K83" s="540">
        <f t="shared" si="12"/>
        <v>0.15760202653730507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&amp;P&amp;C&amp;"Arial,Bold"&amp;9STATEMENT OF REVENUES RECEIVED/REVENUES, EXPENDITURES/DISBURSED/EXPENDITURES, OTHER 
SOURCES (USES) AND CHANGES IN FUND BALANCE
FOR THE YEAR ENDING JUNE 30, 2019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Normal="110" zoomScaleSheetLayoutView="100" workbookViewId="0">
      <pane ySplit="2" topLeftCell="A189" activePane="bottomLeft" state="frozen"/>
      <selection activeCell="F52" sqref="F52"/>
      <selection pane="bottomLeft" activeCell="C193" sqref="C19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1801</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2360485</v>
      </c>
      <c r="D5" s="481">
        <v>334337</v>
      </c>
      <c r="E5" s="466">
        <v>233078</v>
      </c>
      <c r="F5" s="548">
        <v>229548</v>
      </c>
      <c r="G5" s="466">
        <v>69873</v>
      </c>
      <c r="H5" s="466"/>
      <c r="I5" s="466">
        <v>60579</v>
      </c>
      <c r="J5" s="467">
        <v>179653</v>
      </c>
      <c r="K5" s="466">
        <v>54898</v>
      </c>
    </row>
    <row r="6" spans="1:12" ht="15" x14ac:dyDescent="0.2">
      <c r="A6" s="463" t="s">
        <v>1662</v>
      </c>
      <c r="B6" s="470">
        <v>1130</v>
      </c>
      <c r="C6" s="466">
        <v>15970</v>
      </c>
      <c r="D6" s="466"/>
      <c r="E6" s="475"/>
      <c r="F6" s="475"/>
      <c r="G6" s="468"/>
      <c r="H6" s="468"/>
      <c r="I6" s="468"/>
      <c r="J6" s="468"/>
      <c r="K6" s="468"/>
    </row>
    <row r="7" spans="1:12" x14ac:dyDescent="0.2">
      <c r="A7" s="463" t="s">
        <v>110</v>
      </c>
      <c r="B7" s="549">
        <v>1140</v>
      </c>
      <c r="C7" s="466">
        <v>21966</v>
      </c>
      <c r="D7" s="466"/>
      <c r="E7" s="468"/>
      <c r="F7" s="467"/>
      <c r="G7" s="467"/>
      <c r="H7" s="467"/>
      <c r="I7" s="468"/>
      <c r="J7" s="468"/>
      <c r="K7" s="468"/>
    </row>
    <row r="8" spans="1:12" x14ac:dyDescent="0.2">
      <c r="A8" s="463" t="s">
        <v>413</v>
      </c>
      <c r="B8" s="470">
        <v>1150</v>
      </c>
      <c r="C8" s="475"/>
      <c r="D8" s="475"/>
      <c r="E8" s="477"/>
      <c r="F8" s="477"/>
      <c r="G8" s="481">
        <v>69873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2398421</v>
      </c>
      <c r="D12" s="1706">
        <f t="shared" si="0"/>
        <v>334337</v>
      </c>
      <c r="E12" s="1706">
        <f t="shared" si="0"/>
        <v>233078</v>
      </c>
      <c r="F12" s="1706">
        <f t="shared" si="0"/>
        <v>229548</v>
      </c>
      <c r="G12" s="1706">
        <f t="shared" si="0"/>
        <v>139746</v>
      </c>
      <c r="H12" s="1706">
        <f t="shared" si="0"/>
        <v>0</v>
      </c>
      <c r="I12" s="1706">
        <f t="shared" si="0"/>
        <v>60579</v>
      </c>
      <c r="J12" s="1706">
        <f t="shared" si="0"/>
        <v>179653</v>
      </c>
      <c r="K12" s="1687">
        <f t="shared" si="0"/>
        <v>54898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870</v>
      </c>
      <c r="D14" s="466">
        <v>121</v>
      </c>
      <c r="E14" s="466">
        <v>95</v>
      </c>
      <c r="F14" s="466">
        <v>83</v>
      </c>
      <c r="G14" s="466">
        <v>51</v>
      </c>
      <c r="H14" s="466"/>
      <c r="I14" s="466">
        <v>22</v>
      </c>
      <c r="J14" s="467">
        <v>65</v>
      </c>
      <c r="K14" s="466">
        <v>20</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50000</v>
      </c>
      <c r="D16" s="466">
        <v>174448</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50870</v>
      </c>
      <c r="D18" s="1709">
        <f t="shared" ref="D18:K18" si="1">SUM(D14:D17)</f>
        <v>174569</v>
      </c>
      <c r="E18" s="1709">
        <f t="shared" si="1"/>
        <v>95</v>
      </c>
      <c r="F18" s="1709">
        <f t="shared" si="1"/>
        <v>83</v>
      </c>
      <c r="G18" s="1709">
        <f t="shared" si="1"/>
        <v>51</v>
      </c>
      <c r="H18" s="1709">
        <f t="shared" si="1"/>
        <v>0</v>
      </c>
      <c r="I18" s="1709">
        <f t="shared" si="1"/>
        <v>22</v>
      </c>
      <c r="J18" s="1709">
        <f t="shared" si="1"/>
        <v>65</v>
      </c>
      <c r="K18" s="1710">
        <f t="shared" si="1"/>
        <v>20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33902</v>
      </c>
      <c r="D65" s="466">
        <v>8933</v>
      </c>
      <c r="E65" s="466">
        <v>73</v>
      </c>
      <c r="F65" s="467">
        <v>3196</v>
      </c>
      <c r="G65" s="466">
        <v>807</v>
      </c>
      <c r="H65" s="466"/>
      <c r="I65" s="466">
        <v>6135</v>
      </c>
      <c r="J65" s="467">
        <v>527</v>
      </c>
      <c r="K65" s="466">
        <v>895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33902</v>
      </c>
      <c r="D67" s="1687">
        <f t="shared" ref="D67:K67" si="2">SUM(D65:D66)</f>
        <v>8933</v>
      </c>
      <c r="E67" s="1687">
        <f t="shared" si="2"/>
        <v>73</v>
      </c>
      <c r="F67" s="1687">
        <f t="shared" si="2"/>
        <v>3196</v>
      </c>
      <c r="G67" s="1687">
        <f t="shared" si="2"/>
        <v>807</v>
      </c>
      <c r="H67" s="1687">
        <f t="shared" si="2"/>
        <v>0</v>
      </c>
      <c r="I67" s="1687">
        <f t="shared" si="2"/>
        <v>6135</v>
      </c>
      <c r="J67" s="1687">
        <f t="shared" si="2"/>
        <v>527</v>
      </c>
      <c r="K67" s="1687">
        <f t="shared" si="2"/>
        <v>895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89151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3655</v>
      </c>
      <c r="D71" s="468"/>
      <c r="E71" s="468"/>
      <c r="F71" s="468"/>
      <c r="G71" s="468"/>
      <c r="H71" s="468"/>
      <c r="I71" s="468"/>
      <c r="J71" s="468"/>
      <c r="K71" s="468"/>
    </row>
    <row r="72" spans="1:11" ht="12.75" customHeight="1" x14ac:dyDescent="0.2">
      <c r="A72" s="463" t="s">
        <v>24</v>
      </c>
      <c r="B72" s="470">
        <v>1614</v>
      </c>
      <c r="C72" s="551">
        <v>6137</v>
      </c>
      <c r="D72" s="468"/>
      <c r="E72" s="468"/>
      <c r="F72" s="468"/>
      <c r="G72" s="468"/>
      <c r="H72" s="468"/>
      <c r="I72" s="468"/>
      <c r="J72" s="468"/>
      <c r="K72" s="468"/>
    </row>
    <row r="73" spans="1:11" ht="12.75" customHeight="1" x14ac:dyDescent="0.2">
      <c r="A73" s="463" t="s">
        <v>998</v>
      </c>
      <c r="B73" s="470">
        <v>1620</v>
      </c>
      <c r="C73" s="551">
        <v>1760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100703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7816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754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12304</v>
      </c>
      <c r="D81" s="466"/>
      <c r="E81" s="468"/>
      <c r="F81" s="468"/>
      <c r="G81" s="468"/>
      <c r="H81" s="468"/>
      <c r="I81" s="468"/>
      <c r="J81" s="468"/>
      <c r="K81" s="468"/>
    </row>
    <row r="82" spans="1:11" ht="12.75" customHeight="1" thickBot="1" x14ac:dyDescent="0.25">
      <c r="A82" s="1707" t="s">
        <v>241</v>
      </c>
      <c r="B82" s="1708"/>
      <c r="C82" s="1706">
        <f>SUM(C77:C81)</f>
        <v>20874</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33077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33077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8930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46294</v>
      </c>
      <c r="D99" s="466"/>
      <c r="E99" s="466"/>
      <c r="F99" s="466"/>
      <c r="G99" s="466"/>
      <c r="H99" s="466"/>
      <c r="I99" s="468"/>
      <c r="J99" s="467">
        <v>3205</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30040</v>
      </c>
      <c r="D106" s="489"/>
      <c r="E106" s="467"/>
      <c r="F106" s="467"/>
      <c r="G106" s="467"/>
      <c r="H106" s="467"/>
      <c r="I106" s="521"/>
      <c r="J106" s="467"/>
      <c r="K106" s="467"/>
    </row>
    <row r="107" spans="1:12" ht="12.75" customHeight="1" x14ac:dyDescent="0.2">
      <c r="A107" s="463" t="s">
        <v>78</v>
      </c>
      <c r="B107" s="470">
        <v>1999</v>
      </c>
      <c r="C107" s="551"/>
      <c r="D107" s="466">
        <v>1080</v>
      </c>
      <c r="E107" s="466"/>
      <c r="F107" s="466"/>
      <c r="G107" s="466"/>
      <c r="H107" s="466"/>
      <c r="I107" s="466"/>
      <c r="J107" s="467"/>
      <c r="K107" s="466"/>
    </row>
    <row r="108" spans="1:12" ht="12.75" customHeight="1" thickBot="1" x14ac:dyDescent="0.25">
      <c r="A108" s="1707" t="s">
        <v>487</v>
      </c>
      <c r="B108" s="1711"/>
      <c r="C108" s="1706">
        <f>SUM(C95:C107)</f>
        <v>85264</v>
      </c>
      <c r="D108" s="1706">
        <f t="shared" ref="D108:K108" si="3">SUM(D95:D107)</f>
        <v>1080</v>
      </c>
      <c r="E108" s="1706">
        <f t="shared" si="3"/>
        <v>0</v>
      </c>
      <c r="F108" s="1706">
        <f t="shared" si="3"/>
        <v>0</v>
      </c>
      <c r="G108" s="1706">
        <f t="shared" si="3"/>
        <v>0</v>
      </c>
      <c r="H108" s="1706">
        <f t="shared" si="3"/>
        <v>0</v>
      </c>
      <c r="I108" s="1706">
        <f t="shared" si="3"/>
        <v>0</v>
      </c>
      <c r="J108" s="1706">
        <f t="shared" si="3"/>
        <v>3205</v>
      </c>
      <c r="K108" s="1687">
        <f t="shared" si="3"/>
        <v>0</v>
      </c>
    </row>
    <row r="109" spans="1:12" ht="14.25" thickTop="1" thickBot="1" x14ac:dyDescent="0.25">
      <c r="A109" s="1712" t="s">
        <v>248</v>
      </c>
      <c r="B109" s="1713" t="s">
        <v>570</v>
      </c>
      <c r="C109" s="1714">
        <f t="shared" ref="C109:K109" si="4">SUM(C12,C18,C40,C63,C67,C75,C82,C93,C108,)</f>
        <v>2723111</v>
      </c>
      <c r="D109" s="1714">
        <f t="shared" si="4"/>
        <v>518919</v>
      </c>
      <c r="E109" s="1714">
        <f t="shared" si="4"/>
        <v>233246</v>
      </c>
      <c r="F109" s="1714">
        <f t="shared" si="4"/>
        <v>232827</v>
      </c>
      <c r="G109" s="1714">
        <f t="shared" si="4"/>
        <v>140604</v>
      </c>
      <c r="H109" s="1714">
        <f t="shared" si="4"/>
        <v>0</v>
      </c>
      <c r="I109" s="1714">
        <f t="shared" si="4"/>
        <v>66736</v>
      </c>
      <c r="J109" s="1714">
        <f t="shared" si="4"/>
        <v>183450</v>
      </c>
      <c r="K109" s="1701">
        <f t="shared" si="4"/>
        <v>55813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957929</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v>335425</v>
      </c>
      <c r="D119" s="466"/>
      <c r="E119" s="466"/>
      <c r="F119" s="466"/>
      <c r="G119" s="466"/>
      <c r="H119" s="466"/>
      <c r="I119" s="468"/>
      <c r="J119" s="467"/>
      <c r="K119" s="466"/>
    </row>
    <row r="120" spans="1:11" ht="12.75" customHeight="1" x14ac:dyDescent="0.2">
      <c r="A120" s="1928" t="s">
        <v>1933</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1293354</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5262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238304</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243566</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2209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129656</v>
      </c>
      <c r="G152" s="467"/>
      <c r="H152" s="468"/>
      <c r="I152" s="468"/>
      <c r="J152" s="468"/>
      <c r="K152" s="468"/>
    </row>
    <row r="153" spans="1:11" ht="12.75" customHeight="1" x14ac:dyDescent="0.2">
      <c r="A153" s="463" t="s">
        <v>1057</v>
      </c>
      <c r="B153" s="562">
        <v>3510</v>
      </c>
      <c r="C153" s="551"/>
      <c r="D153" s="466"/>
      <c r="E153" s="561"/>
      <c r="F153" s="466">
        <v>51591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181247</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145892</v>
      </c>
      <c r="D159" s="578"/>
      <c r="E159" s="561"/>
      <c r="F159" s="576">
        <v>78250</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5" t="s">
        <v>398</v>
      </c>
      <c r="B169" s="2146"/>
      <c r="C169" s="1721">
        <f t="shared" ref="C169:K169" si="6">SUM(C132,C141,C145,C146:C150,C155,C156:C167,C168)</f>
        <v>392417</v>
      </c>
      <c r="D169" s="1721">
        <f t="shared" si="6"/>
        <v>0</v>
      </c>
      <c r="E169" s="1721">
        <f t="shared" si="6"/>
        <v>0</v>
      </c>
      <c r="F169" s="1721">
        <f t="shared" si="6"/>
        <v>259497</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1685771</v>
      </c>
      <c r="D170" s="1714">
        <f t="shared" si="7"/>
        <v>0</v>
      </c>
      <c r="E170" s="1714">
        <f t="shared" si="7"/>
        <v>0</v>
      </c>
      <c r="F170" s="1714">
        <f t="shared" si="7"/>
        <v>259497</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9" t="s">
        <v>1802</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97926</v>
      </c>
      <c r="D191" s="468"/>
      <c r="E191" s="561"/>
      <c r="F191" s="468"/>
      <c r="G191" s="585"/>
      <c r="H191" s="468"/>
      <c r="I191" s="468"/>
      <c r="J191" s="468"/>
      <c r="K191" s="468"/>
    </row>
    <row r="192" spans="1:11" ht="12.75" customHeight="1" x14ac:dyDescent="0.2">
      <c r="A192" s="463" t="s">
        <v>1047</v>
      </c>
      <c r="B192" s="470">
        <v>4215</v>
      </c>
      <c r="C192" s="551">
        <v>1763</v>
      </c>
      <c r="D192" s="468"/>
      <c r="E192" s="561"/>
      <c r="F192" s="468"/>
      <c r="G192" s="585"/>
      <c r="H192" s="468"/>
      <c r="I192" s="468"/>
      <c r="J192" s="468"/>
      <c r="K192" s="468"/>
    </row>
    <row r="193" spans="1:11" ht="12.75" customHeight="1" x14ac:dyDescent="0.2">
      <c r="A193" s="463" t="s">
        <v>1059</v>
      </c>
      <c r="B193" s="470">
        <v>4220</v>
      </c>
      <c r="C193" s="551">
        <v>30086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129775</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103379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103379</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883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883</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23003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59388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82391</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20958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1934</v>
      </c>
      <c r="B261" s="470">
        <v>4981</v>
      </c>
      <c r="C261" s="575"/>
      <c r="D261" s="576"/>
      <c r="E261" s="468"/>
      <c r="F261" s="576"/>
      <c r="G261" s="576"/>
      <c r="H261" s="468"/>
      <c r="I261" s="468"/>
      <c r="J261" s="468"/>
      <c r="K261" s="468"/>
    </row>
    <row r="262" spans="1:11" ht="12.75" customHeight="1" thickTop="1" thickBot="1" x14ac:dyDescent="0.25">
      <c r="A262" s="1929"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6050</v>
      </c>
      <c r="D263" s="576"/>
      <c r="E263" s="468"/>
      <c r="F263" s="576"/>
      <c r="G263" s="576"/>
      <c r="H263" s="468"/>
      <c r="I263" s="468"/>
      <c r="J263" s="468"/>
      <c r="K263" s="468"/>
    </row>
    <row r="264" spans="1:11" ht="12.75" customHeight="1" thickTop="1" thickBot="1" x14ac:dyDescent="0.25">
      <c r="A264" s="463" t="s">
        <v>377</v>
      </c>
      <c r="B264" s="470">
        <v>4992</v>
      </c>
      <c r="C264" s="575">
        <v>15837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359273</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359273</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4768155</v>
      </c>
      <c r="D268" s="1714">
        <f t="shared" si="12"/>
        <v>518919</v>
      </c>
      <c r="E268" s="1714">
        <f t="shared" si="12"/>
        <v>233246</v>
      </c>
      <c r="F268" s="1714">
        <f t="shared" si="12"/>
        <v>492324</v>
      </c>
      <c r="G268" s="1714">
        <f t="shared" si="12"/>
        <v>140604</v>
      </c>
      <c r="H268" s="1714">
        <f t="shared" si="12"/>
        <v>0</v>
      </c>
      <c r="I268" s="1714">
        <f t="shared" si="12"/>
        <v>66736</v>
      </c>
      <c r="J268" s="1714">
        <f t="shared" si="12"/>
        <v>183450</v>
      </c>
      <c r="K268" s="1701">
        <f t="shared" si="12"/>
        <v>55813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Normal="110" zoomScaleSheetLayoutView="100" workbookViewId="0">
      <pane ySplit="2" topLeftCell="A41" activePane="bottomLeft" state="frozen"/>
      <selection activeCell="F52" sqref="F52"/>
      <selection pane="bottomLeft" activeCell="F52" sqref="F5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1471101</v>
      </c>
      <c r="D5" s="466">
        <v>208566</v>
      </c>
      <c r="E5" s="466">
        <v>46569</v>
      </c>
      <c r="F5" s="466">
        <v>68620</v>
      </c>
      <c r="G5" s="466"/>
      <c r="H5" s="466"/>
      <c r="I5" s="467"/>
      <c r="J5" s="467"/>
      <c r="K5" s="1670">
        <f>SUM(C5:J5)</f>
        <v>1794856</v>
      </c>
      <c r="L5" s="466">
        <v>1826548</v>
      </c>
    </row>
    <row r="6" spans="1:14" x14ac:dyDescent="0.2">
      <c r="A6" s="1504" t="s">
        <v>1433</v>
      </c>
      <c r="B6" s="614" t="s">
        <v>1431</v>
      </c>
      <c r="C6" s="477"/>
      <c r="D6" s="477"/>
      <c r="E6" s="466"/>
      <c r="F6" s="477"/>
      <c r="G6" s="477"/>
      <c r="H6" s="477"/>
      <c r="I6" s="477"/>
      <c r="J6" s="477"/>
      <c r="K6" s="1670">
        <f>SUM(C6,E6)</f>
        <v>0</v>
      </c>
      <c r="L6" s="466">
        <v>0</v>
      </c>
    </row>
    <row r="7" spans="1:14" x14ac:dyDescent="0.2">
      <c r="A7" s="1504" t="s">
        <v>163</v>
      </c>
      <c r="B7" s="614" t="s">
        <v>967</v>
      </c>
      <c r="C7" s="467">
        <v>98408</v>
      </c>
      <c r="D7" s="467">
        <v>7392</v>
      </c>
      <c r="E7" s="467">
        <v>12165</v>
      </c>
      <c r="F7" s="467"/>
      <c r="G7" s="467"/>
      <c r="H7" s="467"/>
      <c r="I7" s="467"/>
      <c r="J7" s="467"/>
      <c r="K7" s="1670">
        <f t="shared" ref="K7:K32" si="0">SUM(C7:J7)</f>
        <v>117965</v>
      </c>
      <c r="L7" s="466">
        <v>110769</v>
      </c>
    </row>
    <row r="8" spans="1:14" x14ac:dyDescent="0.2">
      <c r="A8" s="1504" t="s">
        <v>164</v>
      </c>
      <c r="B8" s="614">
        <v>1200</v>
      </c>
      <c r="C8" s="466">
        <v>323441</v>
      </c>
      <c r="D8" s="466">
        <v>40493</v>
      </c>
      <c r="E8" s="466"/>
      <c r="F8" s="466">
        <v>2724</v>
      </c>
      <c r="G8" s="466"/>
      <c r="H8" s="466"/>
      <c r="I8" s="467"/>
      <c r="J8" s="467"/>
      <c r="K8" s="1670">
        <f t="shared" si="0"/>
        <v>366658</v>
      </c>
      <c r="L8" s="466">
        <v>367300</v>
      </c>
    </row>
    <row r="9" spans="1:14" x14ac:dyDescent="0.2">
      <c r="A9" s="1504" t="s">
        <v>721</v>
      </c>
      <c r="B9" s="614" t="s">
        <v>968</v>
      </c>
      <c r="C9" s="467"/>
      <c r="D9" s="467"/>
      <c r="E9" s="467"/>
      <c r="F9" s="467"/>
      <c r="G9" s="467"/>
      <c r="H9" s="467"/>
      <c r="I9" s="467"/>
      <c r="J9" s="467"/>
      <c r="K9" s="1670">
        <f t="shared" si="0"/>
        <v>0</v>
      </c>
      <c r="L9" s="466">
        <v>0</v>
      </c>
    </row>
    <row r="10" spans="1:14" x14ac:dyDescent="0.2">
      <c r="A10" s="1504" t="s">
        <v>722</v>
      </c>
      <c r="B10" s="614">
        <v>1250</v>
      </c>
      <c r="C10" s="466">
        <v>82394</v>
      </c>
      <c r="D10" s="466">
        <v>4961</v>
      </c>
      <c r="E10" s="466"/>
      <c r="F10" s="466">
        <v>2911</v>
      </c>
      <c r="G10" s="466"/>
      <c r="H10" s="466"/>
      <c r="I10" s="467"/>
      <c r="J10" s="467"/>
      <c r="K10" s="1670">
        <f t="shared" si="0"/>
        <v>90266</v>
      </c>
      <c r="L10" s="466">
        <v>91906</v>
      </c>
    </row>
    <row r="11" spans="1:14" x14ac:dyDescent="0.2">
      <c r="A11" s="1504" t="s">
        <v>1130</v>
      </c>
      <c r="B11" s="614" t="s">
        <v>161</v>
      </c>
      <c r="C11" s="467"/>
      <c r="D11" s="467"/>
      <c r="E11" s="467"/>
      <c r="F11" s="467"/>
      <c r="G11" s="467"/>
      <c r="H11" s="467"/>
      <c r="I11" s="467"/>
      <c r="J11" s="467"/>
      <c r="K11" s="1670">
        <f t="shared" si="0"/>
        <v>0</v>
      </c>
      <c r="L11" s="466">
        <v>0</v>
      </c>
    </row>
    <row r="12" spans="1:14" x14ac:dyDescent="0.2">
      <c r="A12" s="1504" t="s">
        <v>962</v>
      </c>
      <c r="B12" s="614">
        <v>1300</v>
      </c>
      <c r="C12" s="466"/>
      <c r="D12" s="466"/>
      <c r="E12" s="466"/>
      <c r="F12" s="466"/>
      <c r="G12" s="466"/>
      <c r="H12" s="466"/>
      <c r="I12" s="467"/>
      <c r="J12" s="467"/>
      <c r="K12" s="1670">
        <f t="shared" si="0"/>
        <v>0</v>
      </c>
      <c r="L12" s="466">
        <v>0</v>
      </c>
    </row>
    <row r="13" spans="1:14" x14ac:dyDescent="0.2">
      <c r="A13" s="1504" t="s">
        <v>723</v>
      </c>
      <c r="B13" s="614">
        <v>1400</v>
      </c>
      <c r="C13" s="466"/>
      <c r="D13" s="466"/>
      <c r="E13" s="466"/>
      <c r="F13" s="466"/>
      <c r="G13" s="466"/>
      <c r="H13" s="466"/>
      <c r="I13" s="467"/>
      <c r="J13" s="467"/>
      <c r="K13" s="1670">
        <f t="shared" si="0"/>
        <v>0</v>
      </c>
      <c r="L13" s="466">
        <v>0</v>
      </c>
    </row>
    <row r="14" spans="1:14" x14ac:dyDescent="0.2">
      <c r="A14" s="1504" t="s">
        <v>963</v>
      </c>
      <c r="B14" s="614">
        <v>1500</v>
      </c>
      <c r="C14" s="466">
        <v>191367</v>
      </c>
      <c r="D14" s="466">
        <v>19793</v>
      </c>
      <c r="E14" s="466">
        <v>8074</v>
      </c>
      <c r="F14" s="466">
        <v>15953</v>
      </c>
      <c r="G14" s="466"/>
      <c r="H14" s="466">
        <v>2660</v>
      </c>
      <c r="I14" s="467"/>
      <c r="J14" s="467"/>
      <c r="K14" s="1670">
        <f t="shared" si="0"/>
        <v>237847</v>
      </c>
      <c r="L14" s="466">
        <v>242809</v>
      </c>
    </row>
    <row r="15" spans="1:14" x14ac:dyDescent="0.2">
      <c r="A15" s="1504" t="s">
        <v>964</v>
      </c>
      <c r="B15" s="614">
        <v>1600</v>
      </c>
      <c r="C15" s="466">
        <v>2512</v>
      </c>
      <c r="D15" s="466">
        <v>290</v>
      </c>
      <c r="E15" s="466"/>
      <c r="F15" s="466"/>
      <c r="G15" s="466"/>
      <c r="H15" s="466"/>
      <c r="I15" s="467"/>
      <c r="J15" s="467"/>
      <c r="K15" s="1670">
        <f t="shared" si="0"/>
        <v>2802</v>
      </c>
      <c r="L15" s="466">
        <v>5610</v>
      </c>
    </row>
    <row r="16" spans="1:14" x14ac:dyDescent="0.2">
      <c r="A16" s="1504" t="s">
        <v>987</v>
      </c>
      <c r="B16" s="614" t="s">
        <v>424</v>
      </c>
      <c r="C16" s="466">
        <v>1460</v>
      </c>
      <c r="D16" s="466"/>
      <c r="E16" s="466"/>
      <c r="F16" s="466">
        <v>1007</v>
      </c>
      <c r="G16" s="466"/>
      <c r="H16" s="466"/>
      <c r="I16" s="467"/>
      <c r="J16" s="467"/>
      <c r="K16" s="1670">
        <f t="shared" si="0"/>
        <v>2467</v>
      </c>
      <c r="L16" s="466">
        <v>1630</v>
      </c>
    </row>
    <row r="17" spans="1:12" x14ac:dyDescent="0.2">
      <c r="A17" s="1504" t="s">
        <v>724</v>
      </c>
      <c r="B17" s="614" t="s">
        <v>162</v>
      </c>
      <c r="C17" s="467"/>
      <c r="D17" s="467"/>
      <c r="E17" s="467"/>
      <c r="F17" s="467"/>
      <c r="G17" s="467"/>
      <c r="H17" s="467"/>
      <c r="I17" s="467"/>
      <c r="J17" s="467"/>
      <c r="K17" s="1670">
        <f t="shared" si="0"/>
        <v>0</v>
      </c>
      <c r="L17" s="466">
        <v>0</v>
      </c>
    </row>
    <row r="18" spans="1:12" x14ac:dyDescent="0.2">
      <c r="A18" s="1504" t="s">
        <v>1087</v>
      </c>
      <c r="B18" s="614">
        <v>1800</v>
      </c>
      <c r="C18" s="466"/>
      <c r="D18" s="466"/>
      <c r="E18" s="466"/>
      <c r="F18" s="466"/>
      <c r="G18" s="466"/>
      <c r="H18" s="466"/>
      <c r="I18" s="467"/>
      <c r="J18" s="467"/>
      <c r="K18" s="1670">
        <f t="shared" si="0"/>
        <v>0</v>
      </c>
      <c r="L18" s="466">
        <v>0</v>
      </c>
    </row>
    <row r="19" spans="1:12" x14ac:dyDescent="0.2">
      <c r="A19" s="1504" t="s">
        <v>134</v>
      </c>
      <c r="B19" s="614">
        <v>1900</v>
      </c>
      <c r="C19" s="466"/>
      <c r="D19" s="466"/>
      <c r="E19" s="466"/>
      <c r="F19" s="466"/>
      <c r="G19" s="466"/>
      <c r="H19" s="466">
        <v>13850</v>
      </c>
      <c r="I19" s="467"/>
      <c r="J19" s="467"/>
      <c r="K19" s="1670">
        <f t="shared" si="0"/>
        <v>13850</v>
      </c>
      <c r="L19" s="466">
        <v>7500</v>
      </c>
    </row>
    <row r="20" spans="1:12" x14ac:dyDescent="0.2">
      <c r="A20" s="1505" t="s">
        <v>738</v>
      </c>
      <c r="B20" s="602" t="s">
        <v>725</v>
      </c>
      <c r="C20" s="477"/>
      <c r="D20" s="477"/>
      <c r="E20" s="477"/>
      <c r="F20" s="477"/>
      <c r="G20" s="477"/>
      <c r="H20" s="474"/>
      <c r="I20" s="616"/>
      <c r="J20" s="475"/>
      <c r="K20" s="1670">
        <f t="shared" si="0"/>
        <v>0</v>
      </c>
      <c r="L20" s="471">
        <v>0</v>
      </c>
    </row>
    <row r="21" spans="1:12" x14ac:dyDescent="0.2">
      <c r="A21" s="1505" t="s">
        <v>739</v>
      </c>
      <c r="B21" s="602" t="s">
        <v>726</v>
      </c>
      <c r="C21" s="477"/>
      <c r="D21" s="477"/>
      <c r="E21" s="477"/>
      <c r="F21" s="477"/>
      <c r="G21" s="477"/>
      <c r="H21" s="474"/>
      <c r="I21" s="616"/>
      <c r="J21" s="477"/>
      <c r="K21" s="1670">
        <f t="shared" si="0"/>
        <v>0</v>
      </c>
      <c r="L21" s="471">
        <v>0</v>
      </c>
    </row>
    <row r="22" spans="1:12" x14ac:dyDescent="0.2">
      <c r="A22" s="1505" t="s">
        <v>740</v>
      </c>
      <c r="B22" s="602" t="s">
        <v>727</v>
      </c>
      <c r="C22" s="477"/>
      <c r="D22" s="477"/>
      <c r="E22" s="477"/>
      <c r="F22" s="477"/>
      <c r="G22" s="477"/>
      <c r="H22" s="474"/>
      <c r="I22" s="616"/>
      <c r="J22" s="477"/>
      <c r="K22" s="1670">
        <f t="shared" si="0"/>
        <v>0</v>
      </c>
      <c r="L22" s="471">
        <v>0</v>
      </c>
    </row>
    <row r="23" spans="1:12" x14ac:dyDescent="0.2">
      <c r="A23" s="1505" t="s">
        <v>741</v>
      </c>
      <c r="B23" s="602" t="s">
        <v>728</v>
      </c>
      <c r="C23" s="477"/>
      <c r="D23" s="477"/>
      <c r="E23" s="477"/>
      <c r="F23" s="477"/>
      <c r="G23" s="477"/>
      <c r="H23" s="474"/>
      <c r="I23" s="616"/>
      <c r="J23" s="477"/>
      <c r="K23" s="1670">
        <f t="shared" si="0"/>
        <v>0</v>
      </c>
      <c r="L23" s="471">
        <v>0</v>
      </c>
    </row>
    <row r="24" spans="1:12" ht="12.75" customHeight="1" x14ac:dyDescent="0.2">
      <c r="A24" s="1505" t="s">
        <v>742</v>
      </c>
      <c r="B24" s="602" t="s">
        <v>729</v>
      </c>
      <c r="C24" s="477"/>
      <c r="D24" s="477"/>
      <c r="E24" s="477"/>
      <c r="F24" s="477"/>
      <c r="G24" s="477"/>
      <c r="H24" s="474"/>
      <c r="I24" s="616"/>
      <c r="J24" s="477"/>
      <c r="K24" s="1670">
        <f t="shared" si="0"/>
        <v>0</v>
      </c>
      <c r="L24" s="471">
        <v>0</v>
      </c>
    </row>
    <row r="25" spans="1:12" ht="12.75" customHeight="1" x14ac:dyDescent="0.2">
      <c r="A25" s="1505" t="s">
        <v>802</v>
      </c>
      <c r="B25" s="602" t="s">
        <v>730</v>
      </c>
      <c r="C25" s="477"/>
      <c r="D25" s="477"/>
      <c r="E25" s="477"/>
      <c r="F25" s="477"/>
      <c r="G25" s="477"/>
      <c r="H25" s="474"/>
      <c r="I25" s="616"/>
      <c r="J25" s="477"/>
      <c r="K25" s="1670">
        <f t="shared" si="0"/>
        <v>0</v>
      </c>
      <c r="L25" s="471">
        <v>0</v>
      </c>
    </row>
    <row r="26" spans="1:12" x14ac:dyDescent="0.2">
      <c r="A26" s="1505" t="s">
        <v>622</v>
      </c>
      <c r="B26" s="602" t="s">
        <v>731</v>
      </c>
      <c r="C26" s="477"/>
      <c r="D26" s="477"/>
      <c r="E26" s="477"/>
      <c r="F26" s="477"/>
      <c r="G26" s="477"/>
      <c r="H26" s="474"/>
      <c r="I26" s="616"/>
      <c r="J26" s="477"/>
      <c r="K26" s="1670">
        <f t="shared" si="0"/>
        <v>0</v>
      </c>
      <c r="L26" s="471">
        <v>0</v>
      </c>
    </row>
    <row r="27" spans="1:12" x14ac:dyDescent="0.2">
      <c r="A27" s="1505" t="s">
        <v>623</v>
      </c>
      <c r="B27" s="602" t="s">
        <v>732</v>
      </c>
      <c r="C27" s="477"/>
      <c r="D27" s="477"/>
      <c r="E27" s="477"/>
      <c r="F27" s="477"/>
      <c r="G27" s="477"/>
      <c r="H27" s="474"/>
      <c r="I27" s="616"/>
      <c r="J27" s="477"/>
      <c r="K27" s="1670">
        <f t="shared" si="0"/>
        <v>0</v>
      </c>
      <c r="L27" s="471">
        <v>0</v>
      </c>
    </row>
    <row r="28" spans="1:12" x14ac:dyDescent="0.2">
      <c r="A28" s="1505" t="s">
        <v>150</v>
      </c>
      <c r="B28" s="602" t="s">
        <v>733</v>
      </c>
      <c r="C28" s="477"/>
      <c r="D28" s="477"/>
      <c r="E28" s="477"/>
      <c r="F28" s="477"/>
      <c r="G28" s="477"/>
      <c r="H28" s="474"/>
      <c r="I28" s="616"/>
      <c r="J28" s="477"/>
      <c r="K28" s="1670">
        <f t="shared" si="0"/>
        <v>0</v>
      </c>
      <c r="L28" s="471">
        <v>0</v>
      </c>
    </row>
    <row r="29" spans="1:12" x14ac:dyDescent="0.2">
      <c r="A29" s="1505" t="s">
        <v>151</v>
      </c>
      <c r="B29" s="602" t="s">
        <v>734</v>
      </c>
      <c r="C29" s="477"/>
      <c r="D29" s="477"/>
      <c r="E29" s="477"/>
      <c r="F29" s="477"/>
      <c r="G29" s="477"/>
      <c r="H29" s="474"/>
      <c r="I29" s="616"/>
      <c r="J29" s="477"/>
      <c r="K29" s="1670">
        <f t="shared" si="0"/>
        <v>0</v>
      </c>
      <c r="L29" s="471">
        <v>0</v>
      </c>
    </row>
    <row r="30" spans="1:12" x14ac:dyDescent="0.2">
      <c r="A30" s="1505" t="s">
        <v>152</v>
      </c>
      <c r="B30" s="602" t="s">
        <v>735</v>
      </c>
      <c r="C30" s="477"/>
      <c r="D30" s="477"/>
      <c r="E30" s="477"/>
      <c r="F30" s="477"/>
      <c r="G30" s="477"/>
      <c r="H30" s="474"/>
      <c r="I30" s="616"/>
      <c r="J30" s="477"/>
      <c r="K30" s="1670">
        <f t="shared" si="0"/>
        <v>0</v>
      </c>
      <c r="L30" s="471">
        <v>0</v>
      </c>
    </row>
    <row r="31" spans="1:12" x14ac:dyDescent="0.2">
      <c r="A31" s="1505" t="s">
        <v>153</v>
      </c>
      <c r="B31" s="602" t="s">
        <v>736</v>
      </c>
      <c r="C31" s="477"/>
      <c r="D31" s="477"/>
      <c r="E31" s="477"/>
      <c r="F31" s="477"/>
      <c r="G31" s="477"/>
      <c r="H31" s="474"/>
      <c r="I31" s="616"/>
      <c r="J31" s="477"/>
      <c r="K31" s="1670">
        <f t="shared" si="0"/>
        <v>0</v>
      </c>
      <c r="L31" s="471">
        <v>0</v>
      </c>
    </row>
    <row r="32" spans="1:12" x14ac:dyDescent="0.2">
      <c r="A32" s="1506" t="s">
        <v>1129</v>
      </c>
      <c r="B32" s="614" t="s">
        <v>737</v>
      </c>
      <c r="C32" s="477"/>
      <c r="D32" s="477"/>
      <c r="E32" s="477"/>
      <c r="F32" s="477"/>
      <c r="G32" s="477"/>
      <c r="H32" s="474"/>
      <c r="I32" s="616"/>
      <c r="J32" s="480"/>
      <c r="K32" s="1670">
        <f t="shared" si="0"/>
        <v>0</v>
      </c>
      <c r="L32" s="471">
        <v>0</v>
      </c>
    </row>
    <row r="33" spans="1:14" ht="12.75" customHeight="1" thickBot="1" x14ac:dyDescent="0.25">
      <c r="A33" s="1667" t="s">
        <v>1668</v>
      </c>
      <c r="B33" s="1668" t="s">
        <v>570</v>
      </c>
      <c r="C33" s="1669">
        <f>SUM(C5:C32)</f>
        <v>2170683</v>
      </c>
      <c r="D33" s="1669">
        <f t="shared" ref="D33:L33" si="1">SUM(D5:D32)</f>
        <v>281495</v>
      </c>
      <c r="E33" s="1669">
        <f t="shared" si="1"/>
        <v>66808</v>
      </c>
      <c r="F33" s="1669">
        <f t="shared" si="1"/>
        <v>91215</v>
      </c>
      <c r="G33" s="1669">
        <f t="shared" si="1"/>
        <v>0</v>
      </c>
      <c r="H33" s="1669">
        <f t="shared" si="1"/>
        <v>16510</v>
      </c>
      <c r="I33" s="1669">
        <f t="shared" si="1"/>
        <v>0</v>
      </c>
      <c r="J33" s="1669">
        <f t="shared" si="1"/>
        <v>0</v>
      </c>
      <c r="K33" s="1669">
        <f t="shared" si="1"/>
        <v>2626711</v>
      </c>
      <c r="L33" s="1669">
        <f t="shared" si="1"/>
        <v>2654072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0">
        <f t="shared" ref="K36:K41" si="2">SUM(C36:J36)</f>
        <v>0</v>
      </c>
      <c r="L36" s="466">
        <v>0</v>
      </c>
    </row>
    <row r="37" spans="1:14" x14ac:dyDescent="0.2">
      <c r="A37" s="1504" t="s">
        <v>1090</v>
      </c>
      <c r="B37" s="614">
        <v>2120</v>
      </c>
      <c r="C37" s="466">
        <v>41550</v>
      </c>
      <c r="D37" s="466">
        <v>5339</v>
      </c>
      <c r="E37" s="466"/>
      <c r="F37" s="466">
        <v>91</v>
      </c>
      <c r="G37" s="466"/>
      <c r="H37" s="466"/>
      <c r="I37" s="467"/>
      <c r="J37" s="467"/>
      <c r="K37" s="1670">
        <f t="shared" si="2"/>
        <v>46980</v>
      </c>
      <c r="L37" s="466">
        <v>51712</v>
      </c>
    </row>
    <row r="38" spans="1:14" x14ac:dyDescent="0.2">
      <c r="A38" s="1504" t="s">
        <v>198</v>
      </c>
      <c r="B38" s="614">
        <v>2130</v>
      </c>
      <c r="C38" s="466">
        <v>21723</v>
      </c>
      <c r="D38" s="466">
        <v>53</v>
      </c>
      <c r="E38" s="466">
        <v>2231</v>
      </c>
      <c r="F38" s="466"/>
      <c r="G38" s="466"/>
      <c r="H38" s="466"/>
      <c r="I38" s="467"/>
      <c r="J38" s="467"/>
      <c r="K38" s="1670">
        <f t="shared" si="2"/>
        <v>24007</v>
      </c>
      <c r="L38" s="466">
        <v>19854</v>
      </c>
    </row>
    <row r="39" spans="1:14" x14ac:dyDescent="0.2">
      <c r="A39" s="1504" t="s">
        <v>199</v>
      </c>
      <c r="B39" s="614">
        <v>2140</v>
      </c>
      <c r="C39" s="466"/>
      <c r="D39" s="466"/>
      <c r="E39" s="466"/>
      <c r="F39" s="466"/>
      <c r="G39" s="466"/>
      <c r="H39" s="466"/>
      <c r="I39" s="467"/>
      <c r="J39" s="467"/>
      <c r="K39" s="1670">
        <f t="shared" si="2"/>
        <v>0</v>
      </c>
      <c r="L39" s="466">
        <v>0</v>
      </c>
    </row>
    <row r="40" spans="1:14" x14ac:dyDescent="0.2">
      <c r="A40" s="1504" t="s">
        <v>200</v>
      </c>
      <c r="B40" s="614">
        <v>2150</v>
      </c>
      <c r="C40" s="466"/>
      <c r="D40" s="466"/>
      <c r="E40" s="466"/>
      <c r="F40" s="466"/>
      <c r="G40" s="466"/>
      <c r="H40" s="466"/>
      <c r="I40" s="467"/>
      <c r="J40" s="467"/>
      <c r="K40" s="1670">
        <f t="shared" si="2"/>
        <v>0</v>
      </c>
      <c r="L40" s="466">
        <v>0</v>
      </c>
    </row>
    <row r="41" spans="1:14" x14ac:dyDescent="0.2">
      <c r="A41" s="1504" t="s">
        <v>1669</v>
      </c>
      <c r="B41" s="614">
        <v>2190</v>
      </c>
      <c r="C41" s="466"/>
      <c r="D41" s="466"/>
      <c r="E41" s="466"/>
      <c r="F41" s="466"/>
      <c r="G41" s="466"/>
      <c r="H41" s="466"/>
      <c r="I41" s="467"/>
      <c r="J41" s="467"/>
      <c r="K41" s="1670">
        <f t="shared" si="2"/>
        <v>0</v>
      </c>
      <c r="L41" s="466">
        <v>0</v>
      </c>
    </row>
    <row r="42" spans="1:14" ht="12.75" customHeight="1" thickBot="1" x14ac:dyDescent="0.25">
      <c r="A42" s="1667" t="s">
        <v>560</v>
      </c>
      <c r="B42" s="1668" t="s">
        <v>716</v>
      </c>
      <c r="C42" s="1669">
        <f>SUM(C36:C41)</f>
        <v>63273</v>
      </c>
      <c r="D42" s="1669">
        <f t="shared" ref="D42:L42" si="3">SUM(D36:D41)</f>
        <v>5392</v>
      </c>
      <c r="E42" s="1669">
        <f t="shared" si="3"/>
        <v>2231</v>
      </c>
      <c r="F42" s="1669">
        <f t="shared" si="3"/>
        <v>91</v>
      </c>
      <c r="G42" s="1669">
        <f t="shared" si="3"/>
        <v>0</v>
      </c>
      <c r="H42" s="1669">
        <f t="shared" si="3"/>
        <v>0</v>
      </c>
      <c r="I42" s="1669">
        <f t="shared" si="3"/>
        <v>0</v>
      </c>
      <c r="J42" s="1669">
        <f t="shared" si="3"/>
        <v>0</v>
      </c>
      <c r="K42" s="1669">
        <f t="shared" si="3"/>
        <v>70987</v>
      </c>
      <c r="L42" s="1669">
        <f t="shared" si="3"/>
        <v>71566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3094</v>
      </c>
      <c r="D44" s="481">
        <v>4514</v>
      </c>
      <c r="E44" s="481">
        <v>15594</v>
      </c>
      <c r="F44" s="481"/>
      <c r="G44" s="481"/>
      <c r="H44" s="481"/>
      <c r="I44" s="467"/>
      <c r="J44" s="467"/>
      <c r="K44" s="1671">
        <f>SUM(C44:J44)</f>
        <v>23202</v>
      </c>
      <c r="L44" s="481">
        <v>23956</v>
      </c>
    </row>
    <row r="45" spans="1:14" x14ac:dyDescent="0.2">
      <c r="A45" s="1504" t="s">
        <v>815</v>
      </c>
      <c r="B45" s="614">
        <v>2220</v>
      </c>
      <c r="C45" s="466">
        <v>123229</v>
      </c>
      <c r="D45" s="466">
        <v>10184</v>
      </c>
      <c r="E45" s="466">
        <v>122874</v>
      </c>
      <c r="F45" s="466">
        <v>32718</v>
      </c>
      <c r="G45" s="466">
        <v>205403</v>
      </c>
      <c r="H45" s="466"/>
      <c r="I45" s="467"/>
      <c r="J45" s="467"/>
      <c r="K45" s="1671">
        <f>SUM(C45:J45)</f>
        <v>494408</v>
      </c>
      <c r="L45" s="466">
        <v>531674</v>
      </c>
    </row>
    <row r="46" spans="1:14" x14ac:dyDescent="0.2">
      <c r="A46" s="1504" t="s">
        <v>816</v>
      </c>
      <c r="B46" s="614">
        <v>2230</v>
      </c>
      <c r="C46" s="466"/>
      <c r="D46" s="466"/>
      <c r="E46" s="466">
        <v>9634</v>
      </c>
      <c r="F46" s="466"/>
      <c r="G46" s="466"/>
      <c r="H46" s="466"/>
      <c r="I46" s="467"/>
      <c r="J46" s="467"/>
      <c r="K46" s="1671">
        <f>SUM(C46:J46)</f>
        <v>9634</v>
      </c>
      <c r="L46" s="466">
        <v>0</v>
      </c>
    </row>
    <row r="47" spans="1:14" ht="12.75" customHeight="1" thickBot="1" x14ac:dyDescent="0.25">
      <c r="A47" s="1667" t="s">
        <v>561</v>
      </c>
      <c r="B47" s="1668" t="s">
        <v>32</v>
      </c>
      <c r="C47" s="1669">
        <f>SUM(C44:C46)</f>
        <v>126323</v>
      </c>
      <c r="D47" s="1669">
        <f t="shared" ref="D47:K47" si="4">SUM(D44:D46)</f>
        <v>14698</v>
      </c>
      <c r="E47" s="1669">
        <f t="shared" si="4"/>
        <v>148102</v>
      </c>
      <c r="F47" s="1669">
        <f t="shared" si="4"/>
        <v>32718</v>
      </c>
      <c r="G47" s="1669">
        <f t="shared" si="4"/>
        <v>205403</v>
      </c>
      <c r="H47" s="1669">
        <f t="shared" si="4"/>
        <v>0</v>
      </c>
      <c r="I47" s="1669">
        <f t="shared" si="4"/>
        <v>0</v>
      </c>
      <c r="J47" s="1669">
        <f t="shared" si="4"/>
        <v>0</v>
      </c>
      <c r="K47" s="1669">
        <f t="shared" si="4"/>
        <v>527244</v>
      </c>
      <c r="L47" s="1669">
        <f>SUM(L44:L46)</f>
        <v>555630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29380</v>
      </c>
      <c r="F49" s="481">
        <v>481</v>
      </c>
      <c r="G49" s="481"/>
      <c r="H49" s="481"/>
      <c r="I49" s="467"/>
      <c r="J49" s="467"/>
      <c r="K49" s="1671">
        <f>SUM(C49:J49)</f>
        <v>29861</v>
      </c>
      <c r="L49" s="481">
        <v>25300</v>
      </c>
    </row>
    <row r="50" spans="1:14" x14ac:dyDescent="0.2">
      <c r="A50" s="1504" t="s">
        <v>818</v>
      </c>
      <c r="B50" s="614">
        <v>2320</v>
      </c>
      <c r="C50" s="466">
        <v>67638</v>
      </c>
      <c r="D50" s="466">
        <v>35169</v>
      </c>
      <c r="E50" s="466">
        <v>1437</v>
      </c>
      <c r="F50" s="466">
        <v>256</v>
      </c>
      <c r="G50" s="466">
        <v>0</v>
      </c>
      <c r="H50" s="466">
        <v>1105</v>
      </c>
      <c r="I50" s="467"/>
      <c r="J50" s="467"/>
      <c r="K50" s="1671">
        <f>SUM(C50:J50)</f>
        <v>105605</v>
      </c>
      <c r="L50" s="466">
        <v>107086</v>
      </c>
    </row>
    <row r="51" spans="1:14" x14ac:dyDescent="0.2">
      <c r="A51" s="1504" t="s">
        <v>42</v>
      </c>
      <c r="B51" s="614">
        <v>2330</v>
      </c>
      <c r="C51" s="466"/>
      <c r="D51" s="466"/>
      <c r="E51" s="466"/>
      <c r="F51" s="466"/>
      <c r="G51" s="466"/>
      <c r="H51" s="466"/>
      <c r="I51" s="467"/>
      <c r="J51" s="467"/>
      <c r="K51" s="1671">
        <f>SUM(C51:J51)</f>
        <v>0</v>
      </c>
      <c r="L51" s="466">
        <v>0</v>
      </c>
    </row>
    <row r="52" spans="1:14" ht="22.5" x14ac:dyDescent="0.2">
      <c r="A52" s="1505" t="s">
        <v>298</v>
      </c>
      <c r="B52" s="627" t="s">
        <v>366</v>
      </c>
      <c r="C52" s="474"/>
      <c r="D52" s="474"/>
      <c r="E52" s="474"/>
      <c r="F52" s="474"/>
      <c r="G52" s="474"/>
      <c r="H52" s="474"/>
      <c r="I52" s="474"/>
      <c r="J52" s="474"/>
      <c r="K52" s="1671">
        <f>SUM(C52:J52)</f>
        <v>0</v>
      </c>
      <c r="L52" s="474">
        <v>0</v>
      </c>
    </row>
    <row r="53" spans="1:14" ht="12.75" customHeight="1" thickBot="1" x14ac:dyDescent="0.25">
      <c r="A53" s="1667" t="s">
        <v>717</v>
      </c>
      <c r="B53" s="1668" t="s">
        <v>33</v>
      </c>
      <c r="C53" s="1669">
        <f>SUM(C49:C52)</f>
        <v>67638</v>
      </c>
      <c r="D53" s="1669">
        <f t="shared" ref="D53:L53" si="5">SUM(D49:D52)</f>
        <v>35169</v>
      </c>
      <c r="E53" s="1669">
        <f t="shared" si="5"/>
        <v>30817</v>
      </c>
      <c r="F53" s="1669">
        <f t="shared" si="5"/>
        <v>737</v>
      </c>
      <c r="G53" s="1669">
        <f t="shared" si="5"/>
        <v>0</v>
      </c>
      <c r="H53" s="1669">
        <f t="shared" si="5"/>
        <v>1105</v>
      </c>
      <c r="I53" s="1669">
        <f t="shared" si="5"/>
        <v>0</v>
      </c>
      <c r="J53" s="1669">
        <f t="shared" si="5"/>
        <v>0</v>
      </c>
      <c r="K53" s="1669">
        <f t="shared" si="5"/>
        <v>135466</v>
      </c>
      <c r="L53" s="1669">
        <f t="shared" si="5"/>
        <v>132386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83175</v>
      </c>
      <c r="D55" s="481">
        <v>37312</v>
      </c>
      <c r="E55" s="481">
        <v>3883</v>
      </c>
      <c r="F55" s="481"/>
      <c r="G55" s="481"/>
      <c r="H55" s="481">
        <v>395</v>
      </c>
      <c r="I55" s="467"/>
      <c r="J55" s="467"/>
      <c r="K55" s="1671">
        <f>SUM(C55:J55)</f>
        <v>124765</v>
      </c>
      <c r="L55" s="481">
        <v>124127</v>
      </c>
    </row>
    <row r="56" spans="1:14" ht="12.75" customHeight="1" x14ac:dyDescent="0.2">
      <c r="A56" s="1508" t="s">
        <v>376</v>
      </c>
      <c r="B56" s="628">
        <v>2490</v>
      </c>
      <c r="C56" s="466"/>
      <c r="D56" s="466"/>
      <c r="E56" s="466"/>
      <c r="F56" s="466"/>
      <c r="G56" s="466"/>
      <c r="H56" s="466"/>
      <c r="I56" s="467"/>
      <c r="J56" s="467"/>
      <c r="K56" s="1671">
        <f>SUM(C56:J56)</f>
        <v>0</v>
      </c>
      <c r="L56" s="466">
        <v>0</v>
      </c>
    </row>
    <row r="57" spans="1:14" s="343" customFormat="1" ht="12.75" customHeight="1" thickBot="1" x14ac:dyDescent="0.25">
      <c r="A57" s="1667" t="s">
        <v>263</v>
      </c>
      <c r="B57" s="1672" t="s">
        <v>34</v>
      </c>
      <c r="C57" s="1673">
        <f>SUM(C55:C56)</f>
        <v>83175</v>
      </c>
      <c r="D57" s="1673">
        <f t="shared" ref="D57:K57" si="6">SUM(D55:D56)</f>
        <v>37312</v>
      </c>
      <c r="E57" s="1673">
        <f t="shared" si="6"/>
        <v>3883</v>
      </c>
      <c r="F57" s="1673">
        <f t="shared" si="6"/>
        <v>0</v>
      </c>
      <c r="G57" s="1673">
        <f t="shared" si="6"/>
        <v>0</v>
      </c>
      <c r="H57" s="1673">
        <f t="shared" si="6"/>
        <v>395</v>
      </c>
      <c r="I57" s="1673">
        <f t="shared" si="6"/>
        <v>0</v>
      </c>
      <c r="J57" s="1673">
        <f t="shared" si="6"/>
        <v>0</v>
      </c>
      <c r="K57" s="1673">
        <f t="shared" si="6"/>
        <v>124765</v>
      </c>
      <c r="L57" s="1669">
        <f>SUM(L55:L56)</f>
        <v>124127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v>0</v>
      </c>
      <c r="M59" s="609"/>
      <c r="N59" s="609"/>
    </row>
    <row r="60" spans="1:14" s="343" customFormat="1" x14ac:dyDescent="0.2">
      <c r="A60" s="1504" t="s">
        <v>463</v>
      </c>
      <c r="B60" s="614">
        <v>2520</v>
      </c>
      <c r="C60" s="466">
        <v>79514</v>
      </c>
      <c r="D60" s="466">
        <v>3003</v>
      </c>
      <c r="E60" s="466">
        <v>12341</v>
      </c>
      <c r="F60" s="466">
        <v>1522</v>
      </c>
      <c r="G60" s="466"/>
      <c r="H60" s="466">
        <v>23</v>
      </c>
      <c r="I60" s="467"/>
      <c r="J60" s="467"/>
      <c r="K60" s="1671">
        <f t="shared" si="7"/>
        <v>96403</v>
      </c>
      <c r="L60" s="466">
        <v>87802</v>
      </c>
      <c r="M60" s="609"/>
      <c r="N60" s="609"/>
    </row>
    <row r="61" spans="1:14" s="343" customFormat="1" x14ac:dyDescent="0.2">
      <c r="A61" s="1504" t="s">
        <v>197</v>
      </c>
      <c r="B61" s="614">
        <v>2540</v>
      </c>
      <c r="C61" s="466">
        <v>16356</v>
      </c>
      <c r="D61" s="466"/>
      <c r="E61" s="466"/>
      <c r="F61" s="466"/>
      <c r="G61" s="466"/>
      <c r="H61" s="466"/>
      <c r="I61" s="467"/>
      <c r="J61" s="467"/>
      <c r="K61" s="1671">
        <f t="shared" si="7"/>
        <v>16356</v>
      </c>
      <c r="L61" s="466">
        <v>17644</v>
      </c>
      <c r="M61" s="609"/>
      <c r="N61" s="609"/>
    </row>
    <row r="62" spans="1:14" s="343" customFormat="1" x14ac:dyDescent="0.2">
      <c r="A62" s="1504" t="s">
        <v>953</v>
      </c>
      <c r="B62" s="614">
        <v>2550</v>
      </c>
      <c r="C62" s="466"/>
      <c r="D62" s="466"/>
      <c r="E62" s="466"/>
      <c r="F62" s="466"/>
      <c r="G62" s="466"/>
      <c r="H62" s="466"/>
      <c r="I62" s="467"/>
      <c r="J62" s="467"/>
      <c r="K62" s="1671">
        <f t="shared" si="7"/>
        <v>0</v>
      </c>
      <c r="L62" s="466">
        <v>0</v>
      </c>
      <c r="M62" s="609"/>
      <c r="N62" s="609"/>
    </row>
    <row r="63" spans="1:14" s="609" customFormat="1" x14ac:dyDescent="0.2">
      <c r="A63" s="1504" t="s">
        <v>100</v>
      </c>
      <c r="B63" s="614">
        <v>2560</v>
      </c>
      <c r="C63" s="466">
        <v>15059</v>
      </c>
      <c r="D63" s="466"/>
      <c r="E63" s="466">
        <v>183019</v>
      </c>
      <c r="F63" s="466">
        <v>9590</v>
      </c>
      <c r="G63" s="466"/>
      <c r="H63" s="466"/>
      <c r="I63" s="467"/>
      <c r="J63" s="467"/>
      <c r="K63" s="1671">
        <f t="shared" si="7"/>
        <v>207668</v>
      </c>
      <c r="L63" s="466">
        <v>212920</v>
      </c>
    </row>
    <row r="64" spans="1:14" s="609" customFormat="1" x14ac:dyDescent="0.2">
      <c r="A64" s="1509"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719</v>
      </c>
      <c r="B65" s="1668" t="s">
        <v>35</v>
      </c>
      <c r="C65" s="1669">
        <f>SUM(C59:C64)</f>
        <v>110929</v>
      </c>
      <c r="D65" s="1669">
        <f t="shared" ref="D65:L65" si="8">SUM(D59:D64)</f>
        <v>3003</v>
      </c>
      <c r="E65" s="1669">
        <f t="shared" si="8"/>
        <v>195360</v>
      </c>
      <c r="F65" s="1669">
        <f t="shared" si="8"/>
        <v>11112</v>
      </c>
      <c r="G65" s="1669">
        <f t="shared" si="8"/>
        <v>0</v>
      </c>
      <c r="H65" s="1669">
        <f t="shared" si="8"/>
        <v>23</v>
      </c>
      <c r="I65" s="1669">
        <f t="shared" si="8"/>
        <v>0</v>
      </c>
      <c r="J65" s="1669">
        <f t="shared" si="8"/>
        <v>0</v>
      </c>
      <c r="K65" s="1669">
        <f t="shared" si="8"/>
        <v>320427</v>
      </c>
      <c r="L65" s="1669">
        <f t="shared" si="8"/>
        <v>318366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v>0</v>
      </c>
      <c r="M67" s="609"/>
      <c r="N67" s="609"/>
    </row>
    <row r="68" spans="1:14" s="343" customFormat="1" x14ac:dyDescent="0.2">
      <c r="A68" s="1504" t="s">
        <v>607</v>
      </c>
      <c r="B68" s="614">
        <v>2620</v>
      </c>
      <c r="C68" s="466"/>
      <c r="D68" s="466"/>
      <c r="E68" s="466"/>
      <c r="F68" s="466"/>
      <c r="G68" s="466"/>
      <c r="H68" s="466"/>
      <c r="I68" s="467"/>
      <c r="J68" s="467"/>
      <c r="K68" s="1671">
        <f>SUM(C68:J68)</f>
        <v>0</v>
      </c>
      <c r="L68" s="466">
        <v>0</v>
      </c>
      <c r="M68" s="609"/>
      <c r="N68" s="609"/>
    </row>
    <row r="69" spans="1:14" s="343" customFormat="1" x14ac:dyDescent="0.2">
      <c r="A69" s="1504" t="s">
        <v>1061</v>
      </c>
      <c r="B69" s="614">
        <v>2630</v>
      </c>
      <c r="C69" s="466"/>
      <c r="D69" s="466"/>
      <c r="E69" s="466"/>
      <c r="F69" s="466"/>
      <c r="G69" s="466"/>
      <c r="H69" s="466"/>
      <c r="I69" s="467"/>
      <c r="J69" s="467"/>
      <c r="K69" s="1671">
        <f>SUM(C69:J69)</f>
        <v>0</v>
      </c>
      <c r="L69" s="466">
        <v>0</v>
      </c>
      <c r="M69" s="609"/>
      <c r="N69" s="609"/>
    </row>
    <row r="70" spans="1:14" s="343" customFormat="1" x14ac:dyDescent="0.2">
      <c r="A70" s="1504" t="s">
        <v>403</v>
      </c>
      <c r="B70" s="614">
        <v>2640</v>
      </c>
      <c r="C70" s="466"/>
      <c r="D70" s="466"/>
      <c r="E70" s="466"/>
      <c r="F70" s="466"/>
      <c r="G70" s="466"/>
      <c r="H70" s="466"/>
      <c r="I70" s="467"/>
      <c r="J70" s="467"/>
      <c r="K70" s="1671">
        <f>SUM(C70:J70)</f>
        <v>0</v>
      </c>
      <c r="L70" s="466">
        <v>0</v>
      </c>
      <c r="M70" s="609"/>
      <c r="N70" s="609"/>
    </row>
    <row r="71" spans="1:14" s="343" customFormat="1" x14ac:dyDescent="0.2">
      <c r="A71" s="1504" t="s">
        <v>404</v>
      </c>
      <c r="B71" s="614">
        <v>2660</v>
      </c>
      <c r="C71" s="466"/>
      <c r="D71" s="466"/>
      <c r="E71" s="466"/>
      <c r="F71" s="466"/>
      <c r="G71" s="466"/>
      <c r="H71" s="466"/>
      <c r="I71" s="467"/>
      <c r="J71" s="467"/>
      <c r="K71" s="1671">
        <f>SUM(C71:J71)</f>
        <v>0</v>
      </c>
      <c r="L71" s="466">
        <v>0</v>
      </c>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9">
        <f>SUM(C73:J73)</f>
        <v>0</v>
      </c>
      <c r="L73" s="576">
        <v>0</v>
      </c>
      <c r="M73" s="609"/>
      <c r="N73" s="609"/>
    </row>
    <row r="74" spans="1:14" ht="12.75" customHeight="1" thickTop="1" thickBot="1" x14ac:dyDescent="0.25">
      <c r="A74" s="1667" t="s">
        <v>811</v>
      </c>
      <c r="B74" s="1675">
        <v>2000</v>
      </c>
      <c r="C74" s="1676">
        <f>SUM(C42,C47,C53,C57,C65,C72,C73)</f>
        <v>451338</v>
      </c>
      <c r="D74" s="1676">
        <f t="shared" ref="D74:K74" si="10">SUM(D42,D47,D53,D57,D65,D72,D73)</f>
        <v>95574</v>
      </c>
      <c r="E74" s="1676">
        <f t="shared" si="10"/>
        <v>380393</v>
      </c>
      <c r="F74" s="1676">
        <f t="shared" si="10"/>
        <v>44658</v>
      </c>
      <c r="G74" s="1676">
        <f t="shared" si="10"/>
        <v>205403</v>
      </c>
      <c r="H74" s="1676">
        <f t="shared" si="10"/>
        <v>1523</v>
      </c>
      <c r="I74" s="1676">
        <f t="shared" si="10"/>
        <v>0</v>
      </c>
      <c r="J74" s="1676">
        <f t="shared" si="10"/>
        <v>0</v>
      </c>
      <c r="K74" s="1676">
        <f t="shared" si="10"/>
        <v>1178889</v>
      </c>
      <c r="L74" s="1676">
        <f>SUM(L42,L47,L53,L57,L65,L72,L73)</f>
        <v>1202075</v>
      </c>
    </row>
    <row r="75" spans="1:14" s="259" customFormat="1" ht="15.75" customHeight="1" thickTop="1" thickBot="1" x14ac:dyDescent="0.25">
      <c r="A75" s="1610" t="s">
        <v>47</v>
      </c>
      <c r="B75" s="1611" t="s">
        <v>575</v>
      </c>
      <c r="C75" s="573">
        <v>48716</v>
      </c>
      <c r="D75" s="573">
        <v>4096</v>
      </c>
      <c r="E75" s="573">
        <v>2805</v>
      </c>
      <c r="F75" s="573">
        <v>6292</v>
      </c>
      <c r="G75" s="573"/>
      <c r="H75" s="573"/>
      <c r="I75" s="531"/>
      <c r="J75" s="531"/>
      <c r="K75" s="1669">
        <f>SUM(C75:J75)</f>
        <v>61909</v>
      </c>
      <c r="L75" s="576">
        <v>52956</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4898</v>
      </c>
      <c r="F78" s="616"/>
      <c r="G78" s="616"/>
      <c r="H78" s="634"/>
      <c r="I78" s="477"/>
      <c r="J78" s="477"/>
      <c r="K78" s="1670">
        <f t="shared" ref="K78:K83" si="11">SUM(C78:J78)</f>
        <v>4898</v>
      </c>
      <c r="L78" s="481">
        <v>3225</v>
      </c>
    </row>
    <row r="79" spans="1:14" x14ac:dyDescent="0.2">
      <c r="A79" s="1504" t="s">
        <v>304</v>
      </c>
      <c r="B79" s="614">
        <v>4120</v>
      </c>
      <c r="C79" s="616"/>
      <c r="D79" s="616"/>
      <c r="E79" s="466">
        <v>244027</v>
      </c>
      <c r="F79" s="616"/>
      <c r="G79" s="616"/>
      <c r="H79" s="466">
        <v>161502</v>
      </c>
      <c r="I79" s="477"/>
      <c r="J79" s="477"/>
      <c r="K79" s="1670">
        <f t="shared" si="11"/>
        <v>405529</v>
      </c>
      <c r="L79" s="466">
        <v>424544</v>
      </c>
    </row>
    <row r="80" spans="1:14" x14ac:dyDescent="0.2">
      <c r="A80" s="1504" t="s">
        <v>305</v>
      </c>
      <c r="B80" s="614">
        <v>4130</v>
      </c>
      <c r="C80" s="616"/>
      <c r="D80" s="616"/>
      <c r="E80" s="466"/>
      <c r="F80" s="616"/>
      <c r="G80" s="616"/>
      <c r="H80" s="466"/>
      <c r="I80" s="477"/>
      <c r="J80" s="477"/>
      <c r="K80" s="1670">
        <f t="shared" si="11"/>
        <v>0</v>
      </c>
      <c r="L80" s="466">
        <v>0</v>
      </c>
    </row>
    <row r="81" spans="1:12" x14ac:dyDescent="0.2">
      <c r="A81" s="1504" t="s">
        <v>697</v>
      </c>
      <c r="B81" s="614">
        <v>4140</v>
      </c>
      <c r="C81" s="616"/>
      <c r="D81" s="616"/>
      <c r="E81" s="466"/>
      <c r="F81" s="616"/>
      <c r="G81" s="616"/>
      <c r="H81" s="466"/>
      <c r="I81" s="477"/>
      <c r="J81" s="477"/>
      <c r="K81" s="1670">
        <f t="shared" si="11"/>
        <v>0</v>
      </c>
      <c r="L81" s="466">
        <v>0</v>
      </c>
    </row>
    <row r="82" spans="1:12" x14ac:dyDescent="0.2">
      <c r="A82" s="1504" t="s">
        <v>86</v>
      </c>
      <c r="B82" s="614">
        <v>4170</v>
      </c>
      <c r="C82" s="616"/>
      <c r="D82" s="616"/>
      <c r="E82" s="466"/>
      <c r="F82" s="616"/>
      <c r="G82" s="616"/>
      <c r="H82" s="466"/>
      <c r="I82" s="477"/>
      <c r="J82" s="477"/>
      <c r="K82" s="1670">
        <f t="shared" si="11"/>
        <v>0</v>
      </c>
      <c r="L82" s="466"/>
    </row>
    <row r="83" spans="1:12" x14ac:dyDescent="0.2">
      <c r="A83" s="1508" t="s">
        <v>698</v>
      </c>
      <c r="B83" s="628">
        <v>4190</v>
      </c>
      <c r="C83" s="616"/>
      <c r="D83" s="616"/>
      <c r="E83" s="466"/>
      <c r="F83" s="616"/>
      <c r="G83" s="616"/>
      <c r="H83" s="466"/>
      <c r="I83" s="477"/>
      <c r="J83" s="477"/>
      <c r="K83" s="1670">
        <f t="shared" si="11"/>
        <v>0</v>
      </c>
      <c r="L83" s="466">
        <v>12067</v>
      </c>
    </row>
    <row r="84" spans="1:12" ht="13.5" thickBot="1" x14ac:dyDescent="0.25">
      <c r="A84" s="1667" t="s">
        <v>1485</v>
      </c>
      <c r="B84" s="1677">
        <v>4100</v>
      </c>
      <c r="C84" s="616"/>
      <c r="D84" s="616"/>
      <c r="E84" s="1669">
        <f>SUM(E78:E83)</f>
        <v>248925</v>
      </c>
      <c r="F84" s="616"/>
      <c r="G84" s="616"/>
      <c r="H84" s="1669">
        <f>SUM(H78:H83)</f>
        <v>161502</v>
      </c>
      <c r="I84" s="477"/>
      <c r="J84" s="477"/>
      <c r="K84" s="1669">
        <f>SUM(K78:K83)</f>
        <v>410427</v>
      </c>
      <c r="L84" s="1669">
        <f>SUM(L78:L83)</f>
        <v>439836</v>
      </c>
    </row>
    <row r="85" spans="1:12" ht="12.75" customHeight="1" thickTop="1" thickBot="1" x14ac:dyDescent="0.25">
      <c r="A85" s="1511" t="s">
        <v>255</v>
      </c>
      <c r="B85" s="635">
        <v>4210</v>
      </c>
      <c r="C85" s="616"/>
      <c r="D85" s="616"/>
      <c r="E85" s="636"/>
      <c r="F85" s="616"/>
      <c r="G85" s="616"/>
      <c r="H85" s="535"/>
      <c r="I85" s="477"/>
      <c r="J85" s="477"/>
      <c r="K85" s="1676">
        <f>H85</f>
        <v>0</v>
      </c>
      <c r="L85" s="530">
        <v>0</v>
      </c>
    </row>
    <row r="86" spans="1:12" ht="12.75" customHeight="1" thickTop="1" thickBot="1" x14ac:dyDescent="0.25">
      <c r="A86" s="1512" t="s">
        <v>699</v>
      </c>
      <c r="B86" s="637">
        <v>4220</v>
      </c>
      <c r="C86" s="616"/>
      <c r="D86" s="616"/>
      <c r="E86" s="638"/>
      <c r="F86" s="616"/>
      <c r="G86" s="616"/>
      <c r="H86" s="467"/>
      <c r="I86" s="477"/>
      <c r="J86" s="477"/>
      <c r="K86" s="1676">
        <f t="shared" ref="K86:K98" si="12">H86</f>
        <v>0</v>
      </c>
      <c r="L86" s="530">
        <v>0</v>
      </c>
    </row>
    <row r="87" spans="1:12" ht="14.25" thickTop="1" thickBot="1" x14ac:dyDescent="0.25">
      <c r="A87" s="1513" t="s">
        <v>700</v>
      </c>
      <c r="B87" s="639">
        <v>4230</v>
      </c>
      <c r="C87" s="616"/>
      <c r="D87" s="616"/>
      <c r="E87" s="638"/>
      <c r="F87" s="616"/>
      <c r="G87" s="616"/>
      <c r="H87" s="467"/>
      <c r="I87" s="477"/>
      <c r="J87" s="477"/>
      <c r="K87" s="1676">
        <f t="shared" si="12"/>
        <v>0</v>
      </c>
      <c r="L87" s="530">
        <v>0</v>
      </c>
    </row>
    <row r="88" spans="1:12" ht="12.75" customHeight="1" thickTop="1" thickBot="1" x14ac:dyDescent="0.25">
      <c r="A88" s="1513" t="s">
        <v>765</v>
      </c>
      <c r="B88" s="639">
        <v>4240</v>
      </c>
      <c r="C88" s="616"/>
      <c r="D88" s="616"/>
      <c r="E88" s="638"/>
      <c r="F88" s="616"/>
      <c r="G88" s="616"/>
      <c r="H88" s="467"/>
      <c r="I88" s="477"/>
      <c r="J88" s="477"/>
      <c r="K88" s="1676">
        <f t="shared" si="12"/>
        <v>0</v>
      </c>
      <c r="L88" s="530">
        <v>0</v>
      </c>
    </row>
    <row r="89" spans="1:12" ht="12.75" customHeight="1" thickTop="1" thickBot="1" x14ac:dyDescent="0.25">
      <c r="A89" s="1513" t="s">
        <v>701</v>
      </c>
      <c r="B89" s="639">
        <v>4270</v>
      </c>
      <c r="C89" s="616"/>
      <c r="D89" s="616"/>
      <c r="E89" s="638"/>
      <c r="F89" s="616"/>
      <c r="G89" s="616"/>
      <c r="H89" s="467"/>
      <c r="I89" s="477"/>
      <c r="J89" s="477"/>
      <c r="K89" s="1676">
        <f t="shared" si="12"/>
        <v>0</v>
      </c>
      <c r="L89" s="530">
        <v>0</v>
      </c>
    </row>
    <row r="90" spans="1:12" ht="12.75" customHeight="1" thickTop="1" thickBot="1" x14ac:dyDescent="0.25">
      <c r="A90" s="1513" t="s">
        <v>686</v>
      </c>
      <c r="B90" s="639">
        <v>4280</v>
      </c>
      <c r="C90" s="616"/>
      <c r="D90" s="616"/>
      <c r="E90" s="638"/>
      <c r="F90" s="616"/>
      <c r="G90" s="616"/>
      <c r="H90" s="467"/>
      <c r="I90" s="477"/>
      <c r="J90" s="477"/>
      <c r="K90" s="1676">
        <f t="shared" si="12"/>
        <v>0</v>
      </c>
      <c r="L90" s="530">
        <v>0</v>
      </c>
    </row>
    <row r="91" spans="1:12" ht="12.75" customHeight="1" thickTop="1" thickBot="1" x14ac:dyDescent="0.25">
      <c r="A91" s="1513" t="s">
        <v>687</v>
      </c>
      <c r="B91" s="639">
        <v>4290</v>
      </c>
      <c r="C91" s="616"/>
      <c r="D91" s="616"/>
      <c r="E91" s="638"/>
      <c r="F91" s="616"/>
      <c r="G91" s="616"/>
      <c r="H91" s="467"/>
      <c r="I91" s="477"/>
      <c r="J91" s="477"/>
      <c r="K91" s="1676">
        <f t="shared" si="12"/>
        <v>0</v>
      </c>
      <c r="L91" s="530">
        <v>0</v>
      </c>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2" t="s">
        <v>688</v>
      </c>
      <c r="B93" s="640">
        <v>4310</v>
      </c>
      <c r="C93" s="616"/>
      <c r="D93" s="616"/>
      <c r="E93" s="638"/>
      <c r="F93" s="616"/>
      <c r="G93" s="616"/>
      <c r="H93" s="641"/>
      <c r="I93" s="477"/>
      <c r="J93" s="477"/>
      <c r="K93" s="1676">
        <f t="shared" si="12"/>
        <v>0</v>
      </c>
      <c r="L93" s="532">
        <v>0</v>
      </c>
    </row>
    <row r="94" spans="1:12" ht="12.75" customHeight="1" thickTop="1" thickBot="1" x14ac:dyDescent="0.25">
      <c r="A94" s="1513" t="s">
        <v>689</v>
      </c>
      <c r="B94" s="639">
        <v>4320</v>
      </c>
      <c r="C94" s="616"/>
      <c r="D94" s="616"/>
      <c r="E94" s="638"/>
      <c r="F94" s="616"/>
      <c r="G94" s="616"/>
      <c r="H94" s="467"/>
      <c r="I94" s="477"/>
      <c r="J94" s="477"/>
      <c r="K94" s="1676">
        <f t="shared" si="12"/>
        <v>0</v>
      </c>
      <c r="L94" s="530">
        <v>0</v>
      </c>
    </row>
    <row r="95" spans="1:12" ht="15" customHeight="1" thickTop="1" thickBot="1" x14ac:dyDescent="0.25">
      <c r="A95" s="1513" t="s">
        <v>1488</v>
      </c>
      <c r="B95" s="639">
        <v>4330</v>
      </c>
      <c r="C95" s="616"/>
      <c r="D95" s="616"/>
      <c r="E95" s="638"/>
      <c r="F95" s="616"/>
      <c r="G95" s="616"/>
      <c r="H95" s="467"/>
      <c r="I95" s="477"/>
      <c r="J95" s="477"/>
      <c r="K95" s="1676">
        <f t="shared" si="12"/>
        <v>0</v>
      </c>
      <c r="L95" s="530">
        <v>0</v>
      </c>
    </row>
    <row r="96" spans="1:12" ht="14.25" thickTop="1" thickBot="1" x14ac:dyDescent="0.25">
      <c r="A96" s="1513" t="s">
        <v>690</v>
      </c>
      <c r="B96" s="639">
        <v>4340</v>
      </c>
      <c r="C96" s="616"/>
      <c r="D96" s="616"/>
      <c r="E96" s="638"/>
      <c r="F96" s="616"/>
      <c r="G96" s="616"/>
      <c r="H96" s="467"/>
      <c r="I96" s="477"/>
      <c r="J96" s="477"/>
      <c r="K96" s="1676">
        <f t="shared" si="12"/>
        <v>0</v>
      </c>
      <c r="L96" s="530">
        <v>0</v>
      </c>
    </row>
    <row r="97" spans="1:14" ht="12.75" customHeight="1" thickTop="1" thickBot="1" x14ac:dyDescent="0.25">
      <c r="A97" s="1513" t="s">
        <v>763</v>
      </c>
      <c r="B97" s="639">
        <v>4370</v>
      </c>
      <c r="C97" s="616"/>
      <c r="D97" s="616"/>
      <c r="E97" s="638"/>
      <c r="F97" s="616"/>
      <c r="G97" s="616"/>
      <c r="H97" s="467"/>
      <c r="I97" s="477"/>
      <c r="J97" s="477"/>
      <c r="K97" s="1676">
        <f t="shared" si="12"/>
        <v>0</v>
      </c>
      <c r="L97" s="530">
        <v>0</v>
      </c>
    </row>
    <row r="98" spans="1:14" ht="14.25" thickTop="1" thickBot="1" x14ac:dyDescent="0.25">
      <c r="A98" s="1513" t="s">
        <v>764</v>
      </c>
      <c r="B98" s="639">
        <v>4380</v>
      </c>
      <c r="C98" s="616"/>
      <c r="D98" s="616"/>
      <c r="E98" s="642"/>
      <c r="F98" s="616"/>
      <c r="G98" s="616"/>
      <c r="H98" s="467"/>
      <c r="I98" s="477"/>
      <c r="J98" s="477"/>
      <c r="K98" s="1676">
        <f t="shared" si="12"/>
        <v>0</v>
      </c>
      <c r="L98" s="530">
        <v>0</v>
      </c>
    </row>
    <row r="99" spans="1:14" ht="14.25" thickTop="1" thickBot="1" x14ac:dyDescent="0.25">
      <c r="A99" s="1513" t="s">
        <v>367</v>
      </c>
      <c r="B99" s="639">
        <v>4390</v>
      </c>
      <c r="C99" s="616"/>
      <c r="D99" s="616"/>
      <c r="E99" s="532"/>
      <c r="F99" s="616"/>
      <c r="G99" s="616"/>
      <c r="H99" s="467"/>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v>0</v>
      </c>
    </row>
    <row r="102" spans="1:14" ht="12.75" customHeight="1" thickTop="1" thickBot="1" x14ac:dyDescent="0.25">
      <c r="A102" s="1667" t="s">
        <v>1487</v>
      </c>
      <c r="B102" s="1677">
        <v>4000</v>
      </c>
      <c r="C102" s="616"/>
      <c r="D102" s="616"/>
      <c r="E102" s="1676">
        <f>SUM(E84,E92,E100,E101)</f>
        <v>248925</v>
      </c>
      <c r="F102" s="616"/>
      <c r="G102" s="616"/>
      <c r="H102" s="1676">
        <f>SUM(H84,H92,H100,H101)</f>
        <v>161502</v>
      </c>
      <c r="I102" s="477"/>
      <c r="J102" s="477"/>
      <c r="K102" s="1676">
        <f>SUM(K84,K92,K100,K101)</f>
        <v>410427</v>
      </c>
      <c r="L102" s="1676">
        <f>SUM(L84,L92,L100,L101)</f>
        <v>439836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v>0</v>
      </c>
      <c r="M105" s="210"/>
      <c r="N105" s="210"/>
    </row>
    <row r="106" spans="1:14" s="597" customFormat="1" x14ac:dyDescent="0.2">
      <c r="A106" s="1504"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0">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2670737</v>
      </c>
      <c r="D114" s="1669">
        <f t="shared" ref="D114:K114" si="13">SUM(D33,D74,D75,D102,D112,D113)</f>
        <v>381165</v>
      </c>
      <c r="E114" s="1669">
        <f t="shared" si="13"/>
        <v>698931</v>
      </c>
      <c r="F114" s="1669">
        <f t="shared" si="13"/>
        <v>142165</v>
      </c>
      <c r="G114" s="1669">
        <f t="shared" si="13"/>
        <v>205403</v>
      </c>
      <c r="H114" s="1669">
        <f>SUM(H33,H74,H75,H102,H112,H113)</f>
        <v>179535</v>
      </c>
      <c r="I114" s="1669">
        <f t="shared" si="13"/>
        <v>0</v>
      </c>
      <c r="J114" s="1669">
        <f t="shared" si="13"/>
        <v>0</v>
      </c>
      <c r="K114" s="1669">
        <f t="shared" si="13"/>
        <v>4277936</v>
      </c>
      <c r="L114" s="1669">
        <f>SUM(L33,L74,L75,L102,L112,L113)</f>
        <v>4348939</v>
      </c>
    </row>
    <row r="115" spans="1:14" ht="13.5" thickTop="1" x14ac:dyDescent="0.2">
      <c r="A115" s="2157" t="s">
        <v>996</v>
      </c>
      <c r="B115" s="2158"/>
      <c r="C115" s="618"/>
      <c r="D115" s="618"/>
      <c r="E115" s="618"/>
      <c r="F115" s="618"/>
      <c r="G115" s="618"/>
      <c r="H115" s="618"/>
      <c r="I115" s="618"/>
      <c r="J115" s="618"/>
      <c r="K115" s="1683">
        <f>'Revenues 9-14'!C268-'Expenditures 15-22'!K114</f>
        <v>490219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v>0</v>
      </c>
    </row>
    <row r="123" spans="1:14" ht="14.25" thickTop="1" thickBot="1" x14ac:dyDescent="0.25">
      <c r="A123" s="1504" t="s">
        <v>4</v>
      </c>
      <c r="B123" s="614">
        <v>2530</v>
      </c>
      <c r="C123" s="466"/>
      <c r="D123" s="466"/>
      <c r="E123" s="466"/>
      <c r="F123" s="466"/>
      <c r="G123" s="466">
        <v>14337</v>
      </c>
      <c r="H123" s="466"/>
      <c r="I123" s="467"/>
      <c r="J123" s="467"/>
      <c r="K123" s="1669">
        <f>SUM(C123:J123)</f>
        <v>14337</v>
      </c>
      <c r="L123" s="466">
        <v>18000</v>
      </c>
    </row>
    <row r="124" spans="1:14" ht="14.25" thickTop="1" thickBot="1" x14ac:dyDescent="0.25">
      <c r="A124" s="1504" t="s">
        <v>197</v>
      </c>
      <c r="B124" s="614">
        <v>2540</v>
      </c>
      <c r="C124" s="466">
        <v>132088</v>
      </c>
      <c r="D124" s="466">
        <v>11997</v>
      </c>
      <c r="E124" s="466">
        <v>125749</v>
      </c>
      <c r="F124" s="466">
        <v>152952</v>
      </c>
      <c r="G124" s="466">
        <v>42328</v>
      </c>
      <c r="H124" s="466"/>
      <c r="I124" s="467"/>
      <c r="J124" s="467"/>
      <c r="K124" s="1669">
        <f>SUM(C124:J124)</f>
        <v>465114</v>
      </c>
      <c r="L124" s="466">
        <v>463739</v>
      </c>
    </row>
    <row r="125" spans="1:14" ht="14.25" thickTop="1" thickBot="1" x14ac:dyDescent="0.25">
      <c r="A125" s="1504" t="s">
        <v>953</v>
      </c>
      <c r="B125" s="614">
        <v>2550</v>
      </c>
      <c r="C125" s="466"/>
      <c r="D125" s="466"/>
      <c r="E125" s="466"/>
      <c r="F125" s="466"/>
      <c r="G125" s="466"/>
      <c r="H125" s="466"/>
      <c r="I125" s="467"/>
      <c r="J125" s="467"/>
      <c r="K125" s="1669">
        <f>SUM(C125:J125)</f>
        <v>0</v>
      </c>
      <c r="L125" s="466">
        <v>0</v>
      </c>
    </row>
    <row r="126" spans="1:14" ht="14.25" thickTop="1" thickBot="1" x14ac:dyDescent="0.25">
      <c r="A126" s="1504"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719</v>
      </c>
      <c r="B127" s="1668" t="s">
        <v>35</v>
      </c>
      <c r="C127" s="1669">
        <f>SUM(C122:C126)</f>
        <v>132088</v>
      </c>
      <c r="D127" s="1669">
        <f t="shared" ref="D127:L127" si="14">SUM(D122:D126)</f>
        <v>11997</v>
      </c>
      <c r="E127" s="1669">
        <f t="shared" si="14"/>
        <v>125749</v>
      </c>
      <c r="F127" s="1669">
        <f t="shared" si="14"/>
        <v>152952</v>
      </c>
      <c r="G127" s="1669">
        <f t="shared" si="14"/>
        <v>56665</v>
      </c>
      <c r="H127" s="1669">
        <f t="shared" si="14"/>
        <v>0</v>
      </c>
      <c r="I127" s="1669">
        <f t="shared" si="14"/>
        <v>0</v>
      </c>
      <c r="J127" s="1669">
        <f t="shared" si="14"/>
        <v>0</v>
      </c>
      <c r="K127" s="1669">
        <f t="shared" si="14"/>
        <v>479451</v>
      </c>
      <c r="L127" s="1669">
        <f t="shared" si="14"/>
        <v>481739</v>
      </c>
    </row>
    <row r="128" spans="1:14" ht="12.75" customHeight="1" thickTop="1" x14ac:dyDescent="0.2">
      <c r="A128" s="1511" t="s">
        <v>980</v>
      </c>
      <c r="B128" s="655" t="s">
        <v>574</v>
      </c>
      <c r="C128" s="656"/>
      <c r="D128" s="656"/>
      <c r="E128" s="656"/>
      <c r="F128" s="656"/>
      <c r="G128" s="656"/>
      <c r="H128" s="656"/>
      <c r="I128" s="535"/>
      <c r="J128" s="535"/>
      <c r="K128" s="1684">
        <f>SUM(C128:J128)</f>
        <v>0</v>
      </c>
      <c r="L128" s="656">
        <v>0</v>
      </c>
    </row>
    <row r="129" spans="1:14" ht="12.75" customHeight="1" thickBot="1" x14ac:dyDescent="0.25">
      <c r="A129" s="1685" t="s">
        <v>811</v>
      </c>
      <c r="B129" s="1686" t="s">
        <v>569</v>
      </c>
      <c r="C129" s="1676">
        <f>SUM(C120,C127,C128)</f>
        <v>132088</v>
      </c>
      <c r="D129" s="1676">
        <f t="shared" ref="D129:L129" si="15">SUM(D120,D127,D128)</f>
        <v>11997</v>
      </c>
      <c r="E129" s="1676">
        <f t="shared" si="15"/>
        <v>125749</v>
      </c>
      <c r="F129" s="1676">
        <f t="shared" si="15"/>
        <v>152952</v>
      </c>
      <c r="G129" s="1676">
        <f t="shared" si="15"/>
        <v>56665</v>
      </c>
      <c r="H129" s="1676">
        <f t="shared" si="15"/>
        <v>0</v>
      </c>
      <c r="I129" s="1676">
        <f t="shared" si="15"/>
        <v>0</v>
      </c>
      <c r="J129" s="1676">
        <f t="shared" si="15"/>
        <v>0</v>
      </c>
      <c r="K129" s="1676">
        <f t="shared" si="15"/>
        <v>479451</v>
      </c>
      <c r="L129" s="1676">
        <f t="shared" si="15"/>
        <v>481739</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9" t="s">
        <v>1843</v>
      </c>
      <c r="C133" s="468"/>
      <c r="D133" s="468"/>
      <c r="E133" s="641"/>
      <c r="F133" s="468"/>
      <c r="G133" s="468"/>
      <c r="H133" s="641"/>
      <c r="I133" s="468"/>
      <c r="J133" s="468"/>
      <c r="K133" s="1820">
        <f>SUM(E133,H133)</f>
        <v>0</v>
      </c>
      <c r="L133" s="641">
        <v>0</v>
      </c>
      <c r="M133" s="206"/>
      <c r="N133" s="206"/>
    </row>
    <row r="134" spans="1:14" x14ac:dyDescent="0.2">
      <c r="A134" s="1504" t="s">
        <v>304</v>
      </c>
      <c r="B134" s="614">
        <v>4120</v>
      </c>
      <c r="C134" s="616"/>
      <c r="D134" s="616"/>
      <c r="E134" s="478"/>
      <c r="F134" s="616"/>
      <c r="G134" s="616"/>
      <c r="H134" s="481"/>
      <c r="I134" s="477"/>
      <c r="J134" s="616"/>
      <c r="K134" s="1671">
        <f>SUM(E134,H134)</f>
        <v>0</v>
      </c>
      <c r="L134" s="481">
        <v>0</v>
      </c>
    </row>
    <row r="135" spans="1:14" x14ac:dyDescent="0.2">
      <c r="A135" s="1504" t="s">
        <v>697</v>
      </c>
      <c r="B135" s="614">
        <v>4140</v>
      </c>
      <c r="C135" s="616"/>
      <c r="D135" s="616"/>
      <c r="E135" s="467"/>
      <c r="F135" s="616"/>
      <c r="G135" s="616"/>
      <c r="H135" s="466"/>
      <c r="I135" s="477"/>
      <c r="J135" s="616"/>
      <c r="K135" s="1671">
        <f>SUM(E135,H135)</f>
        <v>0</v>
      </c>
      <c r="L135" s="466">
        <v>0</v>
      </c>
    </row>
    <row r="136" spans="1:14" x14ac:dyDescent="0.2">
      <c r="A136" s="1508" t="s">
        <v>698</v>
      </c>
      <c r="B136" s="628">
        <v>4190</v>
      </c>
      <c r="C136" s="616"/>
      <c r="D136" s="616"/>
      <c r="E136" s="467"/>
      <c r="F136" s="616"/>
      <c r="G136" s="616"/>
      <c r="H136" s="466"/>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v>0</v>
      </c>
    </row>
    <row r="143" spans="1:14" x14ac:dyDescent="0.2">
      <c r="A143" s="1504" t="s">
        <v>88</v>
      </c>
      <c r="B143" s="614">
        <v>5120</v>
      </c>
      <c r="C143" s="616"/>
      <c r="D143" s="616"/>
      <c r="E143" s="616"/>
      <c r="F143" s="616"/>
      <c r="G143" s="616"/>
      <c r="H143" s="466"/>
      <c r="I143" s="468"/>
      <c r="J143" s="616"/>
      <c r="K143" s="1671">
        <f>SUM(H143)</f>
        <v>0</v>
      </c>
      <c r="L143" s="466">
        <v>0</v>
      </c>
    </row>
    <row r="144" spans="1:14" ht="12.75" customHeight="1" x14ac:dyDescent="0.2">
      <c r="A144" s="1504" t="s">
        <v>1170</v>
      </c>
      <c r="B144" s="628" t="s">
        <v>617</v>
      </c>
      <c r="C144" s="616"/>
      <c r="D144" s="616"/>
      <c r="E144" s="616"/>
      <c r="F144" s="616"/>
      <c r="G144" s="616"/>
      <c r="H144" s="466"/>
      <c r="I144" s="468"/>
      <c r="J144" s="616"/>
      <c r="K144" s="1671">
        <f>SUM(H144)</f>
        <v>0</v>
      </c>
      <c r="L144" s="466">
        <v>0</v>
      </c>
    </row>
    <row r="145" spans="1:14" x14ac:dyDescent="0.2">
      <c r="A145" s="1504" t="s">
        <v>89</v>
      </c>
      <c r="B145" s="614" t="s">
        <v>589</v>
      </c>
      <c r="C145" s="616"/>
      <c r="D145" s="616"/>
      <c r="E145" s="616"/>
      <c r="F145" s="616"/>
      <c r="G145" s="616"/>
      <c r="H145" s="466"/>
      <c r="I145" s="468"/>
      <c r="J145" s="616"/>
      <c r="K145" s="1671">
        <f>SUM(H145)</f>
        <v>0</v>
      </c>
      <c r="L145" s="466">
        <v>0</v>
      </c>
    </row>
    <row r="146" spans="1:14" ht="12.75" customHeight="1" x14ac:dyDescent="0.2">
      <c r="A146" s="1504" t="s">
        <v>619</v>
      </c>
      <c r="B146" s="614" t="s">
        <v>618</v>
      </c>
      <c r="C146" s="616"/>
      <c r="D146" s="616"/>
      <c r="E146" s="616"/>
      <c r="F146" s="616"/>
      <c r="G146" s="616"/>
      <c r="H146" s="466"/>
      <c r="I146" s="468"/>
      <c r="J146" s="616"/>
      <c r="K146" s="1671">
        <f>SUM(H146)</f>
        <v>0</v>
      </c>
      <c r="L146" s="466">
        <v>0</v>
      </c>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v>0</v>
      </c>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4" t="s">
        <v>620</v>
      </c>
      <c r="B151" s="2154"/>
      <c r="C151" s="1669">
        <f>SUM(C129,C130,C139,C149,C150)</f>
        <v>132088</v>
      </c>
      <c r="D151" s="1669">
        <f t="shared" ref="D151:K151" si="16">SUM(D129,D130,D139,D149,D150)</f>
        <v>11997</v>
      </c>
      <c r="E151" s="1669">
        <f t="shared" si="16"/>
        <v>125749</v>
      </c>
      <c r="F151" s="1669">
        <f t="shared" si="16"/>
        <v>152952</v>
      </c>
      <c r="G151" s="1669">
        <f t="shared" si="16"/>
        <v>56665</v>
      </c>
      <c r="H151" s="1669">
        <f t="shared" si="16"/>
        <v>0</v>
      </c>
      <c r="I151" s="1669">
        <f t="shared" si="16"/>
        <v>0</v>
      </c>
      <c r="J151" s="1669">
        <f t="shared" si="16"/>
        <v>0</v>
      </c>
      <c r="K151" s="1669">
        <f t="shared" si="16"/>
        <v>479451</v>
      </c>
      <c r="L151" s="1669">
        <f>SUM(L129,L130,L139,L149,L150)</f>
        <v>481739</v>
      </c>
    </row>
    <row r="152" spans="1:14" ht="12.75" customHeight="1" thickTop="1" x14ac:dyDescent="0.2">
      <c r="A152" s="2177" t="s">
        <v>1178</v>
      </c>
      <c r="B152" s="2178"/>
      <c r="C152" s="618"/>
      <c r="D152" s="618"/>
      <c r="E152" s="618"/>
      <c r="F152" s="618"/>
      <c r="G152" s="618"/>
      <c r="H152" s="618"/>
      <c r="I152" s="618"/>
      <c r="J152" s="616"/>
      <c r="K152" s="1683">
        <f>'Revenues 9-14'!D268-'Expenditures 15-22'!K151</f>
        <v>39468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0"/>
      <c r="I155" s="616"/>
      <c r="J155" s="616"/>
      <c r="K155" s="1824"/>
      <c r="L155" s="1840"/>
      <c r="M155" s="619"/>
      <c r="N155" s="619"/>
    </row>
    <row r="156" spans="1:14" s="620" customFormat="1" ht="15.75" customHeight="1" thickTop="1" x14ac:dyDescent="0.2">
      <c r="A156" s="1821" t="s">
        <v>1844</v>
      </c>
      <c r="B156" s="1822"/>
      <c r="C156" s="616"/>
      <c r="D156" s="616"/>
      <c r="E156" s="616"/>
      <c r="F156" s="616"/>
      <c r="G156" s="616"/>
      <c r="H156" s="1841"/>
      <c r="I156" s="616"/>
      <c r="J156" s="616"/>
      <c r="K156" s="1823"/>
      <c r="L156" s="1841"/>
      <c r="M156" s="619"/>
      <c r="N156" s="619"/>
    </row>
    <row r="157" spans="1:14" s="620" customFormat="1" ht="12" x14ac:dyDescent="0.2">
      <c r="A157" s="1825" t="s">
        <v>496</v>
      </c>
      <c r="B157" s="1826" t="s">
        <v>1843</v>
      </c>
      <c r="C157" s="616"/>
      <c r="D157" s="616"/>
      <c r="E157" s="616"/>
      <c r="F157" s="616"/>
      <c r="G157" s="616"/>
      <c r="H157" s="641"/>
      <c r="I157" s="616"/>
      <c r="J157" s="616"/>
      <c r="K157" s="1670">
        <f>H157</f>
        <v>0</v>
      </c>
      <c r="L157" s="467">
        <v>0</v>
      </c>
      <c r="M157" s="619"/>
      <c r="N157" s="619"/>
    </row>
    <row r="158" spans="1:14" s="620" customFormat="1" ht="12" x14ac:dyDescent="0.2">
      <c r="A158" s="1825" t="s">
        <v>304</v>
      </c>
      <c r="B158" s="1826" t="s">
        <v>1845</v>
      </c>
      <c r="C158" s="616"/>
      <c r="D158" s="616"/>
      <c r="E158" s="616"/>
      <c r="F158" s="616"/>
      <c r="G158" s="616"/>
      <c r="H158" s="467"/>
      <c r="I158" s="616"/>
      <c r="J158" s="616"/>
      <c r="K158" s="1670">
        <f>H158</f>
        <v>0</v>
      </c>
      <c r="L158" s="467">
        <v>0</v>
      </c>
      <c r="M158" s="619"/>
      <c r="N158" s="619"/>
    </row>
    <row r="159" spans="1:14" s="620" customFormat="1" ht="12" x14ac:dyDescent="0.2">
      <c r="A159" s="1825" t="s">
        <v>1846</v>
      </c>
      <c r="B159" s="1826" t="s">
        <v>558</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1847</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v>0</v>
      </c>
    </row>
    <row r="164" spans="1:14" x14ac:dyDescent="0.2">
      <c r="A164" s="1504" t="s">
        <v>88</v>
      </c>
      <c r="B164" s="614">
        <v>5120</v>
      </c>
      <c r="C164" s="616"/>
      <c r="D164" s="616"/>
      <c r="E164" s="616"/>
      <c r="F164" s="616"/>
      <c r="G164" s="616"/>
      <c r="H164" s="466"/>
      <c r="I164" s="616"/>
      <c r="J164" s="616"/>
      <c r="K164" s="1670">
        <f>SUM(C164:J164)</f>
        <v>0</v>
      </c>
      <c r="L164" s="466">
        <v>0</v>
      </c>
    </row>
    <row r="165" spans="1:14" ht="12.75" customHeight="1" x14ac:dyDescent="0.2">
      <c r="A165" s="1504" t="s">
        <v>1170</v>
      </c>
      <c r="B165" s="614" t="s">
        <v>617</v>
      </c>
      <c r="C165" s="616"/>
      <c r="D165" s="616"/>
      <c r="E165" s="616"/>
      <c r="F165" s="616"/>
      <c r="G165" s="616"/>
      <c r="H165" s="466"/>
      <c r="I165" s="616"/>
      <c r="J165" s="616"/>
      <c r="K165" s="1670">
        <f>SUM(C165:J165)</f>
        <v>0</v>
      </c>
      <c r="L165" s="466">
        <v>0</v>
      </c>
    </row>
    <row r="166" spans="1:14" x14ac:dyDescent="0.2">
      <c r="A166" s="1504" t="s">
        <v>89</v>
      </c>
      <c r="B166" s="628" t="s">
        <v>589</v>
      </c>
      <c r="C166" s="616"/>
      <c r="D166" s="616"/>
      <c r="E166" s="616"/>
      <c r="F166" s="616"/>
      <c r="G166" s="616"/>
      <c r="H166" s="466"/>
      <c r="I166" s="616"/>
      <c r="J166" s="616"/>
      <c r="K166" s="1670">
        <f>SUM(C166:J166)</f>
        <v>0</v>
      </c>
      <c r="L166" s="466">
        <v>0</v>
      </c>
    </row>
    <row r="167" spans="1:14" ht="12.75" customHeight="1" x14ac:dyDescent="0.2">
      <c r="A167" s="1504" t="s">
        <v>619</v>
      </c>
      <c r="B167" s="614" t="s">
        <v>618</v>
      </c>
      <c r="C167" s="616"/>
      <c r="D167" s="616"/>
      <c r="E167" s="616"/>
      <c r="F167" s="616"/>
      <c r="G167" s="616"/>
      <c r="H167" s="466"/>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53528</v>
      </c>
      <c r="I169" s="616"/>
      <c r="J169" s="616"/>
      <c r="K169" s="1670">
        <f>SUM(C169:H169)</f>
        <v>53528</v>
      </c>
      <c r="L169" s="656">
        <v>53528</v>
      </c>
    </row>
    <row r="170" spans="1:14" ht="33.75" customHeight="1" x14ac:dyDescent="0.2">
      <c r="A170" s="669" t="s">
        <v>1670</v>
      </c>
      <c r="B170" s="671" t="s">
        <v>31</v>
      </c>
      <c r="C170" s="616"/>
      <c r="D170" s="616"/>
      <c r="E170" s="616"/>
      <c r="F170" s="616"/>
      <c r="G170" s="616"/>
      <c r="H170" s="569">
        <v>180000</v>
      </c>
      <c r="I170" s="616"/>
      <c r="J170" s="616"/>
      <c r="K170" s="1670">
        <f>SUM(C170:J170)</f>
        <v>180000</v>
      </c>
      <c r="L170" s="569">
        <v>180000</v>
      </c>
    </row>
    <row r="171" spans="1:14" ht="15.75" customHeight="1" x14ac:dyDescent="0.2">
      <c r="A171" s="621" t="s">
        <v>766</v>
      </c>
      <c r="B171" s="672" t="s">
        <v>84</v>
      </c>
      <c r="C171" s="616"/>
      <c r="D171" s="616"/>
      <c r="E171" s="466"/>
      <c r="F171" s="616"/>
      <c r="G171" s="616"/>
      <c r="H171" s="569"/>
      <c r="I171" s="477"/>
      <c r="J171" s="616"/>
      <c r="K171" s="1670">
        <f>SUM(C171:J171)</f>
        <v>0</v>
      </c>
      <c r="L171" s="569">
        <v>0</v>
      </c>
    </row>
    <row r="172" spans="1:14" ht="12.75" customHeight="1" thickBot="1" x14ac:dyDescent="0.25">
      <c r="A172" s="1667" t="s">
        <v>638</v>
      </c>
      <c r="B172" s="1668" t="s">
        <v>492</v>
      </c>
      <c r="C172" s="616"/>
      <c r="D172" s="616"/>
      <c r="E172" s="1676">
        <f>SUM(E168,E169,E170,E171)</f>
        <v>0</v>
      </c>
      <c r="F172" s="616"/>
      <c r="G172" s="616"/>
      <c r="H172" s="1676">
        <f>SUM(H168,H169,H170,H171)</f>
        <v>233528</v>
      </c>
      <c r="I172" s="638"/>
      <c r="J172" s="616"/>
      <c r="K172" s="1676">
        <f>SUM(K168,K169,K170,K171)</f>
        <v>233528</v>
      </c>
      <c r="L172" s="1676">
        <f>SUM(L168,L169,L170,L171)</f>
        <v>233528</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233528</v>
      </c>
      <c r="I174" s="638"/>
      <c r="J174" s="616"/>
      <c r="K174" s="1676">
        <f>SUM(K160,K172,K173)</f>
        <v>233528</v>
      </c>
      <c r="L174" s="1676">
        <f>SUM(L160,L172,L173)</f>
        <v>233528</v>
      </c>
    </row>
    <row r="175" spans="1:14" ht="13.5" thickTop="1" x14ac:dyDescent="0.2">
      <c r="A175" s="2157" t="s">
        <v>996</v>
      </c>
      <c r="B175" s="2158"/>
      <c r="C175" s="616"/>
      <c r="D175" s="616"/>
      <c r="E175" s="616"/>
      <c r="F175" s="616"/>
      <c r="G175" s="616"/>
      <c r="H175" s="618"/>
      <c r="I175" s="616"/>
      <c r="J175" s="616"/>
      <c r="K175" s="1683">
        <f>'Revenues 9-14'!E268-'Expenditures 15-22'!K174</f>
        <v>-282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9293</v>
      </c>
      <c r="D182" s="466">
        <v>3039</v>
      </c>
      <c r="E182" s="466">
        <v>423444</v>
      </c>
      <c r="F182" s="466"/>
      <c r="G182" s="466"/>
      <c r="H182" s="466"/>
      <c r="I182" s="467"/>
      <c r="J182" s="467"/>
      <c r="K182" s="1670">
        <f>SUM(C182:J182)</f>
        <v>435776</v>
      </c>
      <c r="L182" s="466">
        <v>438337</v>
      </c>
    </row>
    <row r="183" spans="1:14" ht="12.75" customHeight="1" thickBot="1" x14ac:dyDescent="0.25">
      <c r="A183" s="1509" t="s">
        <v>980</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811</v>
      </c>
      <c r="B184" s="1668" t="s">
        <v>569</v>
      </c>
      <c r="C184" s="1676">
        <f>SUM(C180,C182,C183)</f>
        <v>9293</v>
      </c>
      <c r="D184" s="1676">
        <f t="shared" ref="D184:J184" si="17">SUM(D180,D182,D183)</f>
        <v>3039</v>
      </c>
      <c r="E184" s="1676">
        <f t="shared" si="17"/>
        <v>423444</v>
      </c>
      <c r="F184" s="1676">
        <f t="shared" si="17"/>
        <v>0</v>
      </c>
      <c r="G184" s="1676">
        <f t="shared" si="17"/>
        <v>0</v>
      </c>
      <c r="H184" s="1676">
        <f t="shared" si="17"/>
        <v>0</v>
      </c>
      <c r="I184" s="1676">
        <f t="shared" si="17"/>
        <v>0</v>
      </c>
      <c r="J184" s="1676">
        <f t="shared" si="17"/>
        <v>0</v>
      </c>
      <c r="K184" s="1676">
        <f>SUM(K180,K182,K183)</f>
        <v>435776</v>
      </c>
      <c r="L184" s="1676">
        <f>SUM(L180, L182:L183)</f>
        <v>438337</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v>0</v>
      </c>
    </row>
    <row r="189" spans="1:14" x14ac:dyDescent="0.2">
      <c r="A189" s="1504" t="s">
        <v>304</v>
      </c>
      <c r="B189" s="614">
        <v>4120</v>
      </c>
      <c r="C189" s="616"/>
      <c r="D189" s="616"/>
      <c r="E189" s="466"/>
      <c r="F189" s="616"/>
      <c r="G189" s="616"/>
      <c r="H189" s="466"/>
      <c r="I189" s="477"/>
      <c r="J189" s="616"/>
      <c r="K189" s="1670">
        <f t="shared" si="18"/>
        <v>0</v>
      </c>
      <c r="L189" s="466">
        <v>0</v>
      </c>
    </row>
    <row r="190" spans="1:14" x14ac:dyDescent="0.2">
      <c r="A190" s="1504" t="s">
        <v>305</v>
      </c>
      <c r="B190" s="628">
        <v>4130</v>
      </c>
      <c r="C190" s="616"/>
      <c r="D190" s="616"/>
      <c r="E190" s="466"/>
      <c r="F190" s="616"/>
      <c r="G190" s="616"/>
      <c r="H190" s="466"/>
      <c r="I190" s="477"/>
      <c r="J190" s="616"/>
      <c r="K190" s="1670">
        <f t="shared" si="18"/>
        <v>0</v>
      </c>
      <c r="L190" s="466">
        <v>0</v>
      </c>
    </row>
    <row r="191" spans="1:14" x14ac:dyDescent="0.2">
      <c r="A191" s="1504" t="s">
        <v>697</v>
      </c>
      <c r="B191" s="614">
        <v>4140</v>
      </c>
      <c r="C191" s="616"/>
      <c r="D191" s="616"/>
      <c r="E191" s="466"/>
      <c r="F191" s="616"/>
      <c r="G191" s="616"/>
      <c r="H191" s="466"/>
      <c r="I191" s="477"/>
      <c r="J191" s="616"/>
      <c r="K191" s="1670">
        <f t="shared" si="18"/>
        <v>0</v>
      </c>
      <c r="L191" s="466">
        <v>0</v>
      </c>
    </row>
    <row r="192" spans="1:14" x14ac:dyDescent="0.2">
      <c r="A192" s="1504" t="s">
        <v>86</v>
      </c>
      <c r="B192" s="614">
        <v>4170</v>
      </c>
      <c r="C192" s="616"/>
      <c r="D192" s="616"/>
      <c r="E192" s="466"/>
      <c r="F192" s="616"/>
      <c r="G192" s="616"/>
      <c r="H192" s="466"/>
      <c r="I192" s="477"/>
      <c r="J192" s="616"/>
      <c r="K192" s="1670">
        <f t="shared" si="18"/>
        <v>0</v>
      </c>
      <c r="L192" s="466">
        <v>0</v>
      </c>
    </row>
    <row r="193" spans="1:14" x14ac:dyDescent="0.2">
      <c r="A193" s="1508" t="s">
        <v>698</v>
      </c>
      <c r="B193" s="628">
        <v>4190</v>
      </c>
      <c r="C193" s="616"/>
      <c r="D193" s="616"/>
      <c r="E193" s="466"/>
      <c r="F193" s="616"/>
      <c r="G193" s="616"/>
      <c r="H193" s="466"/>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v>0</v>
      </c>
    </row>
    <row r="200" spans="1:14" x14ac:dyDescent="0.2">
      <c r="A200" s="1504" t="s">
        <v>88</v>
      </c>
      <c r="B200" s="614">
        <v>5120</v>
      </c>
      <c r="C200" s="616"/>
      <c r="D200" s="616"/>
      <c r="E200" s="616"/>
      <c r="F200" s="616"/>
      <c r="G200" s="616"/>
      <c r="H200" s="466"/>
      <c r="I200" s="616"/>
      <c r="J200" s="616"/>
      <c r="K200" s="1670">
        <f>SUM(H200)</f>
        <v>0</v>
      </c>
      <c r="L200" s="466">
        <v>0</v>
      </c>
    </row>
    <row r="201" spans="1:14" ht="12.75" customHeight="1" x14ac:dyDescent="0.2">
      <c r="A201" s="1504" t="s">
        <v>1170</v>
      </c>
      <c r="B201" s="628" t="s">
        <v>617</v>
      </c>
      <c r="C201" s="616"/>
      <c r="D201" s="616"/>
      <c r="E201" s="616"/>
      <c r="F201" s="616"/>
      <c r="G201" s="616"/>
      <c r="H201" s="466"/>
      <c r="I201" s="616"/>
      <c r="J201" s="616"/>
      <c r="K201" s="1670">
        <f>SUM(H201)</f>
        <v>0</v>
      </c>
      <c r="L201" s="466">
        <v>0</v>
      </c>
    </row>
    <row r="202" spans="1:14" x14ac:dyDescent="0.2">
      <c r="A202" s="1504" t="s">
        <v>89</v>
      </c>
      <c r="B202" s="614" t="s">
        <v>589</v>
      </c>
      <c r="C202" s="616"/>
      <c r="D202" s="616"/>
      <c r="E202" s="616"/>
      <c r="F202" s="616"/>
      <c r="G202" s="616"/>
      <c r="H202" s="466"/>
      <c r="I202" s="616"/>
      <c r="J202" s="616"/>
      <c r="K202" s="1670">
        <f>SUM(H202)</f>
        <v>0</v>
      </c>
      <c r="L202" s="466">
        <v>0</v>
      </c>
    </row>
    <row r="203" spans="1:14" x14ac:dyDescent="0.2">
      <c r="A203" s="1516" t="s">
        <v>619</v>
      </c>
      <c r="B203" s="614" t="s">
        <v>618</v>
      </c>
      <c r="C203" s="616"/>
      <c r="D203" s="616"/>
      <c r="E203" s="616"/>
      <c r="F203" s="616"/>
      <c r="G203" s="616"/>
      <c r="H203" s="471"/>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v>0</v>
      </c>
    </row>
    <row r="206" spans="1:14" ht="30" customHeight="1" x14ac:dyDescent="0.2">
      <c r="A206" s="681" t="s">
        <v>1671</v>
      </c>
      <c r="B206" s="672" t="s">
        <v>31</v>
      </c>
      <c r="C206" s="616"/>
      <c r="D206" s="616"/>
      <c r="E206" s="616"/>
      <c r="F206" s="616"/>
      <c r="G206" s="616"/>
      <c r="H206" s="466"/>
      <c r="I206" s="616"/>
      <c r="J206" s="616"/>
      <c r="K206" s="1670">
        <f>SUM(H206)</f>
        <v>0</v>
      </c>
      <c r="L206" s="466">
        <v>0</v>
      </c>
    </row>
    <row r="207" spans="1:14" ht="15.75" customHeight="1" x14ac:dyDescent="0.2">
      <c r="A207" s="621" t="s">
        <v>766</v>
      </c>
      <c r="B207" s="672" t="s">
        <v>84</v>
      </c>
      <c r="C207" s="616"/>
      <c r="D207" s="616"/>
      <c r="E207" s="616"/>
      <c r="F207" s="616"/>
      <c r="G207" s="616"/>
      <c r="H207" s="467"/>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9293</v>
      </c>
      <c r="D210" s="1669">
        <f>SUM(D184,D185)</f>
        <v>3039</v>
      </c>
      <c r="E210" s="1669">
        <f>SUM(E184,E185,E196)</f>
        <v>423444</v>
      </c>
      <c r="F210" s="1669">
        <f>SUM(F184,F185)</f>
        <v>0</v>
      </c>
      <c r="G210" s="1669">
        <f>SUM(G184,G185)</f>
        <v>0</v>
      </c>
      <c r="H210" s="1669">
        <f>SUM(H184,H185,H196,H208,H209)</f>
        <v>0</v>
      </c>
      <c r="I210" s="1669">
        <f>SUM(I184,I185)</f>
        <v>0</v>
      </c>
      <c r="J210" s="1669">
        <f>SUM(J184,J185)</f>
        <v>0</v>
      </c>
      <c r="K210" s="1670">
        <f>SUM(K184,K185,K196,K208,K209)</f>
        <v>435776</v>
      </c>
      <c r="L210" s="1669">
        <f>SUM(L184,L185,L196,L208,L209)</f>
        <v>438337</v>
      </c>
    </row>
    <row r="211" spans="1:14" ht="13.5" thickTop="1" x14ac:dyDescent="0.2">
      <c r="A211" s="2157" t="s">
        <v>996</v>
      </c>
      <c r="B211" s="2158"/>
      <c r="C211" s="618"/>
      <c r="D211" s="618"/>
      <c r="E211" s="618"/>
      <c r="F211" s="618"/>
      <c r="G211" s="618"/>
      <c r="H211" s="618"/>
      <c r="I211" s="616"/>
      <c r="J211" s="616"/>
      <c r="K211" s="1683">
        <f>'Revenues 9-14'!F268-'Expenditures 15-22'!K210</f>
        <v>56548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33211</v>
      </c>
      <c r="E215" s="616"/>
      <c r="F215" s="616"/>
      <c r="G215" s="616"/>
      <c r="H215" s="616"/>
      <c r="I215" s="616"/>
      <c r="J215" s="616"/>
      <c r="K215" s="1670">
        <f>D215</f>
        <v>33211</v>
      </c>
      <c r="L215" s="466">
        <v>34607</v>
      </c>
    </row>
    <row r="216" spans="1:14" x14ac:dyDescent="0.2">
      <c r="A216" s="1504" t="s">
        <v>163</v>
      </c>
      <c r="B216" s="614" t="s">
        <v>967</v>
      </c>
      <c r="C216" s="616"/>
      <c r="D216" s="467">
        <v>4458</v>
      </c>
      <c r="E216" s="616"/>
      <c r="F216" s="616"/>
      <c r="G216" s="616"/>
      <c r="H216" s="616"/>
      <c r="I216" s="616"/>
      <c r="J216" s="616"/>
      <c r="K216" s="1670">
        <f t="shared" ref="K216:K228" si="19">D216</f>
        <v>4458</v>
      </c>
      <c r="L216" s="466">
        <v>4190</v>
      </c>
    </row>
    <row r="217" spans="1:14" x14ac:dyDescent="0.2">
      <c r="A217" s="1504" t="s">
        <v>164</v>
      </c>
      <c r="B217" s="614">
        <v>1200</v>
      </c>
      <c r="C217" s="616"/>
      <c r="D217" s="466">
        <v>17055</v>
      </c>
      <c r="E217" s="616"/>
      <c r="F217" s="616"/>
      <c r="G217" s="616"/>
      <c r="H217" s="616"/>
      <c r="I217" s="616"/>
      <c r="J217" s="616"/>
      <c r="K217" s="1670">
        <f t="shared" si="19"/>
        <v>17055</v>
      </c>
      <c r="L217" s="466">
        <v>18489</v>
      </c>
    </row>
    <row r="218" spans="1:14" x14ac:dyDescent="0.2">
      <c r="A218" s="1504" t="s">
        <v>278</v>
      </c>
      <c r="B218" s="614" t="s">
        <v>968</v>
      </c>
      <c r="C218" s="616"/>
      <c r="D218" s="467"/>
      <c r="E218" s="616"/>
      <c r="F218" s="616"/>
      <c r="G218" s="616"/>
      <c r="H218" s="616"/>
      <c r="I218" s="616"/>
      <c r="J218" s="616"/>
      <c r="K218" s="1670">
        <f t="shared" si="19"/>
        <v>0</v>
      </c>
      <c r="L218" s="466">
        <v>0</v>
      </c>
    </row>
    <row r="219" spans="1:14" x14ac:dyDescent="0.2">
      <c r="A219" s="1504" t="s">
        <v>279</v>
      </c>
      <c r="B219" s="614">
        <v>1250</v>
      </c>
      <c r="C219" s="616"/>
      <c r="D219" s="466">
        <v>4173</v>
      </c>
      <c r="E219" s="616"/>
      <c r="F219" s="616"/>
      <c r="G219" s="616"/>
      <c r="H219" s="616"/>
      <c r="I219" s="616"/>
      <c r="J219" s="616"/>
      <c r="K219" s="1670">
        <f t="shared" si="19"/>
        <v>4173</v>
      </c>
      <c r="L219" s="466">
        <v>6396</v>
      </c>
    </row>
    <row r="220" spans="1:14" x14ac:dyDescent="0.2">
      <c r="A220" s="1504" t="s">
        <v>280</v>
      </c>
      <c r="B220" s="614" t="s">
        <v>161</v>
      </c>
      <c r="C220" s="616"/>
      <c r="D220" s="467"/>
      <c r="E220" s="616"/>
      <c r="F220" s="616"/>
      <c r="G220" s="616"/>
      <c r="H220" s="616"/>
      <c r="I220" s="616"/>
      <c r="J220" s="616"/>
      <c r="K220" s="1670">
        <f t="shared" si="19"/>
        <v>0</v>
      </c>
      <c r="L220" s="466">
        <v>0</v>
      </c>
    </row>
    <row r="221" spans="1:14" x14ac:dyDescent="0.2">
      <c r="A221" s="1504" t="s">
        <v>962</v>
      </c>
      <c r="B221" s="614">
        <v>1300</v>
      </c>
      <c r="C221" s="616"/>
      <c r="D221" s="466"/>
      <c r="E221" s="616"/>
      <c r="F221" s="616"/>
      <c r="G221" s="616"/>
      <c r="H221" s="616"/>
      <c r="I221" s="616"/>
      <c r="J221" s="616"/>
      <c r="K221" s="1670">
        <f t="shared" si="19"/>
        <v>0</v>
      </c>
      <c r="L221" s="466">
        <v>0</v>
      </c>
    </row>
    <row r="222" spans="1:14" x14ac:dyDescent="0.2">
      <c r="A222" s="1504" t="s">
        <v>723</v>
      </c>
      <c r="B222" s="614">
        <v>1400</v>
      </c>
      <c r="C222" s="616"/>
      <c r="D222" s="466"/>
      <c r="E222" s="616"/>
      <c r="F222" s="616"/>
      <c r="G222" s="616"/>
      <c r="H222" s="616"/>
      <c r="I222" s="616"/>
      <c r="J222" s="616"/>
      <c r="K222" s="1670">
        <f t="shared" si="19"/>
        <v>0</v>
      </c>
      <c r="L222" s="466">
        <v>0</v>
      </c>
    </row>
    <row r="223" spans="1:14" x14ac:dyDescent="0.2">
      <c r="A223" s="1504" t="s">
        <v>963</v>
      </c>
      <c r="B223" s="614">
        <v>1500</v>
      </c>
      <c r="C223" s="616"/>
      <c r="D223" s="466">
        <v>3919</v>
      </c>
      <c r="E223" s="616"/>
      <c r="F223" s="616"/>
      <c r="G223" s="616"/>
      <c r="H223" s="616"/>
      <c r="I223" s="616"/>
      <c r="J223" s="616"/>
      <c r="K223" s="1670">
        <f t="shared" si="19"/>
        <v>3919</v>
      </c>
      <c r="L223" s="466">
        <v>4314</v>
      </c>
    </row>
    <row r="224" spans="1:14" x14ac:dyDescent="0.2">
      <c r="A224" s="1504" t="s">
        <v>964</v>
      </c>
      <c r="B224" s="614">
        <v>1600</v>
      </c>
      <c r="C224" s="616"/>
      <c r="D224" s="466">
        <v>36</v>
      </c>
      <c r="E224" s="616"/>
      <c r="F224" s="616"/>
      <c r="G224" s="616"/>
      <c r="H224" s="616"/>
      <c r="I224" s="616"/>
      <c r="J224" s="616"/>
      <c r="K224" s="1670">
        <f t="shared" si="19"/>
        <v>36</v>
      </c>
      <c r="L224" s="466">
        <v>73</v>
      </c>
    </row>
    <row r="225" spans="1:12" x14ac:dyDescent="0.2">
      <c r="A225" s="1504" t="s">
        <v>987</v>
      </c>
      <c r="B225" s="614">
        <v>1650</v>
      </c>
      <c r="C225" s="616"/>
      <c r="D225" s="466">
        <v>21</v>
      </c>
      <c r="E225" s="616"/>
      <c r="F225" s="616"/>
      <c r="G225" s="616"/>
      <c r="H225" s="616"/>
      <c r="I225" s="616"/>
      <c r="J225" s="616"/>
      <c r="K225" s="1670">
        <f t="shared" si="19"/>
        <v>21</v>
      </c>
      <c r="L225" s="466">
        <v>25</v>
      </c>
    </row>
    <row r="226" spans="1:12" x14ac:dyDescent="0.2">
      <c r="A226" s="1504" t="s">
        <v>724</v>
      </c>
      <c r="B226" s="614" t="s">
        <v>162</v>
      </c>
      <c r="C226" s="616"/>
      <c r="D226" s="467"/>
      <c r="E226" s="616"/>
      <c r="F226" s="616"/>
      <c r="G226" s="616"/>
      <c r="H226" s="616"/>
      <c r="I226" s="616"/>
      <c r="J226" s="616"/>
      <c r="K226" s="1670">
        <f t="shared" si="19"/>
        <v>0</v>
      </c>
      <c r="L226" s="466">
        <v>0</v>
      </c>
    </row>
    <row r="227" spans="1:12" x14ac:dyDescent="0.2">
      <c r="A227" s="1504" t="s">
        <v>1087</v>
      </c>
      <c r="B227" s="614">
        <v>1800</v>
      </c>
      <c r="C227" s="616"/>
      <c r="D227" s="466"/>
      <c r="E227" s="616"/>
      <c r="F227" s="616"/>
      <c r="G227" s="616"/>
      <c r="H227" s="616"/>
      <c r="I227" s="616"/>
      <c r="J227" s="616"/>
      <c r="K227" s="1670">
        <f t="shared" si="19"/>
        <v>0</v>
      </c>
      <c r="L227" s="466">
        <v>0</v>
      </c>
    </row>
    <row r="228" spans="1:12" x14ac:dyDescent="0.2">
      <c r="A228" s="1504" t="s">
        <v>1088</v>
      </c>
      <c r="B228" s="614">
        <v>1900</v>
      </c>
      <c r="C228" s="616"/>
      <c r="D228" s="466"/>
      <c r="E228" s="616"/>
      <c r="F228" s="616"/>
      <c r="G228" s="616"/>
      <c r="H228" s="616"/>
      <c r="I228" s="616"/>
      <c r="J228" s="616"/>
      <c r="K228" s="1670">
        <f t="shared" si="19"/>
        <v>0</v>
      </c>
      <c r="L228" s="466">
        <v>0</v>
      </c>
    </row>
    <row r="229" spans="1:12" ht="12.75" customHeight="1" thickBot="1" x14ac:dyDescent="0.25">
      <c r="A229" s="1667" t="s">
        <v>715</v>
      </c>
      <c r="B229" s="1674" t="s">
        <v>570</v>
      </c>
      <c r="C229" s="616"/>
      <c r="D229" s="1669">
        <f>SUM(D215:D228)</f>
        <v>62873</v>
      </c>
      <c r="E229" s="616"/>
      <c r="F229" s="616"/>
      <c r="G229" s="616"/>
      <c r="H229" s="616"/>
      <c r="I229" s="616"/>
      <c r="J229" s="616"/>
      <c r="K229" s="1669">
        <f>SUM(K215:K228)</f>
        <v>62873</v>
      </c>
      <c r="L229" s="1669">
        <f>SUM(L215:L228)</f>
        <v>68094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0">
        <f t="shared" ref="K232:K237" si="20">D232</f>
        <v>0</v>
      </c>
      <c r="L232" s="466">
        <v>0</v>
      </c>
    </row>
    <row r="233" spans="1:12" x14ac:dyDescent="0.2">
      <c r="A233" s="1504" t="s">
        <v>1090</v>
      </c>
      <c r="B233" s="614">
        <v>2120</v>
      </c>
      <c r="C233" s="616"/>
      <c r="D233" s="466">
        <v>649</v>
      </c>
      <c r="E233" s="616"/>
      <c r="F233" s="616"/>
      <c r="G233" s="616"/>
      <c r="H233" s="616"/>
      <c r="I233" s="616"/>
      <c r="J233" s="616"/>
      <c r="K233" s="1670">
        <f t="shared" si="20"/>
        <v>649</v>
      </c>
      <c r="L233" s="466">
        <v>670</v>
      </c>
    </row>
    <row r="234" spans="1:12" x14ac:dyDescent="0.2">
      <c r="A234" s="1504" t="s">
        <v>198</v>
      </c>
      <c r="B234" s="614">
        <v>2130</v>
      </c>
      <c r="C234" s="616"/>
      <c r="D234" s="466">
        <v>6813</v>
      </c>
      <c r="E234" s="616"/>
      <c r="F234" s="616"/>
      <c r="G234" s="616"/>
      <c r="H234" s="616"/>
      <c r="I234" s="616"/>
      <c r="J234" s="616"/>
      <c r="K234" s="1670">
        <f t="shared" si="20"/>
        <v>6813</v>
      </c>
      <c r="L234" s="466">
        <v>6170</v>
      </c>
    </row>
    <row r="235" spans="1:12" x14ac:dyDescent="0.2">
      <c r="A235" s="1504" t="s">
        <v>199</v>
      </c>
      <c r="B235" s="614">
        <v>2140</v>
      </c>
      <c r="C235" s="616"/>
      <c r="D235" s="466"/>
      <c r="E235" s="616"/>
      <c r="F235" s="616"/>
      <c r="G235" s="616"/>
      <c r="H235" s="616"/>
      <c r="I235" s="616"/>
      <c r="J235" s="616"/>
      <c r="K235" s="1670">
        <f t="shared" si="20"/>
        <v>0</v>
      </c>
      <c r="L235" s="466">
        <v>0</v>
      </c>
    </row>
    <row r="236" spans="1:12" x14ac:dyDescent="0.2">
      <c r="A236" s="1504" t="s">
        <v>200</v>
      </c>
      <c r="B236" s="614">
        <v>2150</v>
      </c>
      <c r="C236" s="616"/>
      <c r="D236" s="466"/>
      <c r="E236" s="616"/>
      <c r="F236" s="616"/>
      <c r="G236" s="616"/>
      <c r="H236" s="616"/>
      <c r="I236" s="616"/>
      <c r="J236" s="616"/>
      <c r="K236" s="1670">
        <f t="shared" si="20"/>
        <v>0</v>
      </c>
      <c r="L236" s="466">
        <v>0</v>
      </c>
    </row>
    <row r="237" spans="1:12" x14ac:dyDescent="0.2">
      <c r="A237" s="1504" t="s">
        <v>165</v>
      </c>
      <c r="B237" s="614">
        <v>2190</v>
      </c>
      <c r="C237" s="616"/>
      <c r="D237" s="466"/>
      <c r="E237" s="616"/>
      <c r="F237" s="616"/>
      <c r="G237" s="616"/>
      <c r="H237" s="616"/>
      <c r="I237" s="616"/>
      <c r="J237" s="616"/>
      <c r="K237" s="1670">
        <f t="shared" si="20"/>
        <v>0</v>
      </c>
      <c r="L237" s="466">
        <v>0</v>
      </c>
    </row>
    <row r="238" spans="1:12" ht="12.75" customHeight="1" thickBot="1" x14ac:dyDescent="0.25">
      <c r="A238" s="1667" t="s">
        <v>560</v>
      </c>
      <c r="B238" s="1674" t="s">
        <v>716</v>
      </c>
      <c r="C238" s="616"/>
      <c r="D238" s="1669">
        <f>SUM(D232:D237)</f>
        <v>7462</v>
      </c>
      <c r="E238" s="616"/>
      <c r="F238" s="616"/>
      <c r="G238" s="616"/>
      <c r="H238" s="616"/>
      <c r="I238" s="616"/>
      <c r="J238" s="616"/>
      <c r="K238" s="1669">
        <f>SUM(K232:K237)</f>
        <v>7462</v>
      </c>
      <c r="L238" s="1669">
        <f>SUM(L232:L237)</f>
        <v>6840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45</v>
      </c>
      <c r="E240" s="616"/>
      <c r="F240" s="616"/>
      <c r="G240" s="616"/>
      <c r="H240" s="616"/>
      <c r="I240" s="616"/>
      <c r="J240" s="616"/>
      <c r="K240" s="1671">
        <f>D240</f>
        <v>45</v>
      </c>
      <c r="L240" s="481">
        <v>0</v>
      </c>
    </row>
    <row r="241" spans="1:12" x14ac:dyDescent="0.2">
      <c r="A241" s="1504" t="s">
        <v>815</v>
      </c>
      <c r="B241" s="614">
        <v>2220</v>
      </c>
      <c r="C241" s="616"/>
      <c r="D241" s="466">
        <v>6470</v>
      </c>
      <c r="E241" s="616"/>
      <c r="F241" s="616"/>
      <c r="G241" s="616"/>
      <c r="H241" s="616"/>
      <c r="I241" s="616"/>
      <c r="J241" s="616"/>
      <c r="K241" s="1671">
        <f>D241</f>
        <v>6470</v>
      </c>
      <c r="L241" s="466">
        <v>5960</v>
      </c>
    </row>
    <row r="242" spans="1:12" x14ac:dyDescent="0.2">
      <c r="A242" s="1504" t="s">
        <v>816</v>
      </c>
      <c r="B242" s="614">
        <v>2230</v>
      </c>
      <c r="C242" s="616"/>
      <c r="D242" s="466"/>
      <c r="E242" s="616"/>
      <c r="F242" s="616"/>
      <c r="G242" s="616"/>
      <c r="H242" s="616"/>
      <c r="I242" s="616"/>
      <c r="J242" s="616"/>
      <c r="K242" s="1671">
        <f>D242</f>
        <v>0</v>
      </c>
      <c r="L242" s="466">
        <v>0</v>
      </c>
    </row>
    <row r="243" spans="1:12" ht="12.75" customHeight="1" thickBot="1" x14ac:dyDescent="0.25">
      <c r="A243" s="1693" t="s">
        <v>561</v>
      </c>
      <c r="B243" s="1694">
        <v>2200</v>
      </c>
      <c r="C243" s="616"/>
      <c r="D243" s="1669">
        <f>SUM(D240:D242)</f>
        <v>6515</v>
      </c>
      <c r="E243" s="616"/>
      <c r="F243" s="616"/>
      <c r="G243" s="616"/>
      <c r="H243" s="616"/>
      <c r="I243" s="616"/>
      <c r="J243" s="616"/>
      <c r="K243" s="1669">
        <f>SUM(K240:K242)</f>
        <v>6515</v>
      </c>
      <c r="L243" s="1669">
        <f>SUM(L240:L242)</f>
        <v>5960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1">
        <f>D245</f>
        <v>0</v>
      </c>
      <c r="L245" s="481">
        <v>0</v>
      </c>
    </row>
    <row r="246" spans="1:12" x14ac:dyDescent="0.2">
      <c r="A246" s="1504" t="s">
        <v>818</v>
      </c>
      <c r="B246" s="614">
        <v>2320</v>
      </c>
      <c r="C246" s="616"/>
      <c r="D246" s="466">
        <v>1693</v>
      </c>
      <c r="E246" s="616"/>
      <c r="F246" s="616"/>
      <c r="G246" s="616"/>
      <c r="H246" s="616"/>
      <c r="I246" s="616"/>
      <c r="J246" s="616"/>
      <c r="K246" s="1671">
        <f t="shared" ref="K246:K256" si="21">D246</f>
        <v>1693</v>
      </c>
      <c r="L246" s="466">
        <v>1660</v>
      </c>
    </row>
    <row r="247" spans="1:12" x14ac:dyDescent="0.2">
      <c r="A247" s="1504" t="s">
        <v>819</v>
      </c>
      <c r="B247" s="614">
        <v>2330</v>
      </c>
      <c r="C247" s="616"/>
      <c r="D247" s="466"/>
      <c r="E247" s="616"/>
      <c r="F247" s="616"/>
      <c r="G247" s="616"/>
      <c r="H247" s="616"/>
      <c r="I247" s="616"/>
      <c r="J247" s="616"/>
      <c r="K247" s="1671">
        <f t="shared" si="21"/>
        <v>0</v>
      </c>
      <c r="L247" s="466">
        <v>0</v>
      </c>
    </row>
    <row r="248" spans="1:12" x14ac:dyDescent="0.2">
      <c r="A248" s="1505" t="s">
        <v>299</v>
      </c>
      <c r="B248" s="602" t="s">
        <v>281</v>
      </c>
      <c r="C248" s="616"/>
      <c r="D248" s="474"/>
      <c r="E248" s="616"/>
      <c r="F248" s="616"/>
      <c r="G248" s="616"/>
      <c r="H248" s="616"/>
      <c r="I248" s="616"/>
      <c r="J248" s="616"/>
      <c r="K248" s="1671">
        <f t="shared" si="21"/>
        <v>0</v>
      </c>
      <c r="L248" s="466">
        <v>0</v>
      </c>
    </row>
    <row r="249" spans="1:12" x14ac:dyDescent="0.2">
      <c r="A249" s="1506" t="s">
        <v>1804</v>
      </c>
      <c r="B249" s="683" t="s">
        <v>282</v>
      </c>
      <c r="C249" s="616"/>
      <c r="D249" s="474"/>
      <c r="E249" s="616"/>
      <c r="F249" s="616"/>
      <c r="G249" s="616"/>
      <c r="H249" s="616"/>
      <c r="I249" s="616"/>
      <c r="J249" s="616"/>
      <c r="K249" s="1671">
        <f t="shared" si="21"/>
        <v>0</v>
      </c>
      <c r="L249" s="466">
        <v>0</v>
      </c>
    </row>
    <row r="250" spans="1:12" x14ac:dyDescent="0.2">
      <c r="A250" s="1505" t="s">
        <v>1805</v>
      </c>
      <c r="B250" s="602" t="s">
        <v>283</v>
      </c>
      <c r="C250" s="616"/>
      <c r="D250" s="474"/>
      <c r="E250" s="616"/>
      <c r="F250" s="616"/>
      <c r="G250" s="616"/>
      <c r="H250" s="616"/>
      <c r="I250" s="616"/>
      <c r="J250" s="616"/>
      <c r="K250" s="1671">
        <f t="shared" si="21"/>
        <v>0</v>
      </c>
      <c r="L250" s="466">
        <v>0</v>
      </c>
    </row>
    <row r="251" spans="1:12" x14ac:dyDescent="0.2">
      <c r="A251" s="1505" t="s">
        <v>238</v>
      </c>
      <c r="B251" s="602" t="s">
        <v>284</v>
      </c>
      <c r="C251" s="616"/>
      <c r="D251" s="474"/>
      <c r="E251" s="616"/>
      <c r="F251" s="616"/>
      <c r="G251" s="616"/>
      <c r="H251" s="616"/>
      <c r="I251" s="616"/>
      <c r="J251" s="616"/>
      <c r="K251" s="1671">
        <f t="shared" si="21"/>
        <v>0</v>
      </c>
      <c r="L251" s="466">
        <v>0</v>
      </c>
    </row>
    <row r="252" spans="1:12" x14ac:dyDescent="0.2">
      <c r="A252" s="1505" t="s">
        <v>702</v>
      </c>
      <c r="B252" s="602" t="s">
        <v>285</v>
      </c>
      <c r="C252" s="616"/>
      <c r="D252" s="474"/>
      <c r="E252" s="616"/>
      <c r="F252" s="616"/>
      <c r="G252" s="616"/>
      <c r="H252" s="616"/>
      <c r="I252" s="616"/>
      <c r="J252" s="616"/>
      <c r="K252" s="1671">
        <f t="shared" si="21"/>
        <v>0</v>
      </c>
      <c r="L252" s="466">
        <v>0</v>
      </c>
    </row>
    <row r="253" spans="1:12" x14ac:dyDescent="0.2">
      <c r="A253" s="1505" t="s">
        <v>239</v>
      </c>
      <c r="B253" s="602" t="s">
        <v>286</v>
      </c>
      <c r="C253" s="616"/>
      <c r="D253" s="474"/>
      <c r="E253" s="616"/>
      <c r="F253" s="616"/>
      <c r="G253" s="616"/>
      <c r="H253" s="616"/>
      <c r="I253" s="616"/>
      <c r="J253" s="616"/>
      <c r="K253" s="1671">
        <f t="shared" si="21"/>
        <v>0</v>
      </c>
      <c r="L253" s="466">
        <v>0</v>
      </c>
    </row>
    <row r="254" spans="1:12" ht="22.5" x14ac:dyDescent="0.2">
      <c r="A254" s="1505" t="s">
        <v>1029</v>
      </c>
      <c r="B254" s="683" t="s">
        <v>287</v>
      </c>
      <c r="C254" s="616"/>
      <c r="D254" s="474"/>
      <c r="E254" s="616"/>
      <c r="F254" s="616"/>
      <c r="G254" s="616"/>
      <c r="H254" s="616"/>
      <c r="I254" s="616"/>
      <c r="J254" s="616"/>
      <c r="K254" s="1671">
        <f t="shared" si="21"/>
        <v>0</v>
      </c>
      <c r="L254" s="466">
        <v>0</v>
      </c>
    </row>
    <row r="255" spans="1:12" x14ac:dyDescent="0.2">
      <c r="A255" s="1505" t="s">
        <v>1030</v>
      </c>
      <c r="B255" s="602" t="s">
        <v>288</v>
      </c>
      <c r="C255" s="616"/>
      <c r="D255" s="474"/>
      <c r="E255" s="616"/>
      <c r="F255" s="616"/>
      <c r="G255" s="616"/>
      <c r="H255" s="616"/>
      <c r="I255" s="616"/>
      <c r="J255" s="616"/>
      <c r="K255" s="1671">
        <f t="shared" si="21"/>
        <v>0</v>
      </c>
      <c r="L255" s="466">
        <v>0</v>
      </c>
    </row>
    <row r="256" spans="1:12" x14ac:dyDescent="0.2">
      <c r="A256" s="1505" t="s">
        <v>971</v>
      </c>
      <c r="B256" s="614" t="s">
        <v>289</v>
      </c>
      <c r="C256" s="616"/>
      <c r="D256" s="474"/>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1693</v>
      </c>
      <c r="E257" s="616"/>
      <c r="F257" s="616"/>
      <c r="G257" s="616"/>
      <c r="H257" s="616"/>
      <c r="I257" s="616"/>
      <c r="J257" s="616"/>
      <c r="K257" s="1669">
        <f>SUM(K245:K256)</f>
        <v>1693</v>
      </c>
      <c r="L257" s="1669">
        <f>SUM(L245:L256)</f>
        <v>1660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1416</v>
      </c>
      <c r="E259" s="616"/>
      <c r="F259" s="616"/>
      <c r="G259" s="616"/>
      <c r="H259" s="616"/>
      <c r="I259" s="616"/>
      <c r="J259" s="616"/>
      <c r="K259" s="1671">
        <f>D259</f>
        <v>1416</v>
      </c>
      <c r="L259" s="481">
        <v>1425</v>
      </c>
    </row>
    <row r="260" spans="1:14" s="597" customFormat="1" x14ac:dyDescent="0.2">
      <c r="A260" s="1522" t="s">
        <v>1803</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1416</v>
      </c>
      <c r="E261" s="616"/>
      <c r="F261" s="616"/>
      <c r="G261" s="616"/>
      <c r="H261" s="616"/>
      <c r="I261" s="616"/>
      <c r="J261" s="616"/>
      <c r="K261" s="1669">
        <f>SUM(K259:K260)</f>
        <v>1416</v>
      </c>
      <c r="L261" s="1669">
        <f>SUM(L259:L260)</f>
        <v>1425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v>0</v>
      </c>
    </row>
    <row r="264" spans="1:14" x14ac:dyDescent="0.2">
      <c r="A264" s="1504" t="s">
        <v>463</v>
      </c>
      <c r="B264" s="685">
        <v>2520</v>
      </c>
      <c r="C264" s="616"/>
      <c r="D264" s="466">
        <v>13909</v>
      </c>
      <c r="E264" s="616"/>
      <c r="F264" s="616"/>
      <c r="G264" s="616"/>
      <c r="H264" s="616"/>
      <c r="I264" s="616"/>
      <c r="J264" s="616"/>
      <c r="K264" s="1671">
        <f t="shared" ref="K264:K269" si="22">D264</f>
        <v>13909</v>
      </c>
      <c r="L264" s="466">
        <v>13995</v>
      </c>
    </row>
    <row r="265" spans="1:14" x14ac:dyDescent="0.2">
      <c r="A265" s="1504" t="s">
        <v>4</v>
      </c>
      <c r="B265" s="614">
        <v>2530</v>
      </c>
      <c r="C265" s="616"/>
      <c r="D265" s="466"/>
      <c r="E265" s="616"/>
      <c r="F265" s="616"/>
      <c r="G265" s="616"/>
      <c r="H265" s="616"/>
      <c r="I265" s="616"/>
      <c r="J265" s="616"/>
      <c r="K265" s="1671">
        <f t="shared" si="22"/>
        <v>0</v>
      </c>
      <c r="L265" s="466">
        <v>0</v>
      </c>
    </row>
    <row r="266" spans="1:14" x14ac:dyDescent="0.2">
      <c r="A266" s="1504" t="s">
        <v>197</v>
      </c>
      <c r="B266" s="614">
        <v>2540</v>
      </c>
      <c r="C266" s="616"/>
      <c r="D266" s="466">
        <v>29059</v>
      </c>
      <c r="E266" s="616"/>
      <c r="F266" s="616"/>
      <c r="G266" s="616"/>
      <c r="H266" s="616"/>
      <c r="I266" s="616"/>
      <c r="J266" s="616"/>
      <c r="K266" s="1671">
        <f t="shared" si="22"/>
        <v>29059</v>
      </c>
      <c r="L266" s="466">
        <v>29885</v>
      </c>
    </row>
    <row r="267" spans="1:14" x14ac:dyDescent="0.2">
      <c r="A267" s="1504" t="s">
        <v>953</v>
      </c>
      <c r="B267" s="614">
        <v>2550</v>
      </c>
      <c r="C267" s="616"/>
      <c r="D267" s="466"/>
      <c r="E267" s="616"/>
      <c r="F267" s="616"/>
      <c r="G267" s="616"/>
      <c r="H267" s="616"/>
      <c r="I267" s="616"/>
      <c r="J267" s="616"/>
      <c r="K267" s="1671">
        <f t="shared" si="22"/>
        <v>0</v>
      </c>
      <c r="L267" s="466">
        <v>0</v>
      </c>
    </row>
    <row r="268" spans="1:14" x14ac:dyDescent="0.2">
      <c r="A268" s="1504" t="s">
        <v>100</v>
      </c>
      <c r="B268" s="614">
        <v>2560</v>
      </c>
      <c r="C268" s="616"/>
      <c r="D268" s="466">
        <v>2444</v>
      </c>
      <c r="E268" s="616"/>
      <c r="F268" s="616"/>
      <c r="G268" s="616"/>
      <c r="H268" s="616"/>
      <c r="I268" s="616"/>
      <c r="J268" s="616"/>
      <c r="K268" s="1671">
        <f t="shared" si="22"/>
        <v>2444</v>
      </c>
      <c r="L268" s="466">
        <v>2715</v>
      </c>
    </row>
    <row r="269" spans="1:14" x14ac:dyDescent="0.2">
      <c r="A269" s="1504"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45412</v>
      </c>
      <c r="E270" s="616"/>
      <c r="F270" s="616"/>
      <c r="G270" s="616"/>
      <c r="H270" s="616"/>
      <c r="I270" s="616"/>
      <c r="J270" s="616"/>
      <c r="K270" s="1669">
        <f>SUM(K263:K269)</f>
        <v>45412</v>
      </c>
      <c r="L270" s="1669">
        <f>SUM(L263:L269)</f>
        <v>46595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v>0</v>
      </c>
    </row>
    <row r="273" spans="1:12" x14ac:dyDescent="0.2">
      <c r="A273" s="1504" t="s">
        <v>607</v>
      </c>
      <c r="B273" s="628">
        <v>2620</v>
      </c>
      <c r="C273" s="616"/>
      <c r="D273" s="466"/>
      <c r="E273" s="616"/>
      <c r="F273" s="616"/>
      <c r="G273" s="616"/>
      <c r="H273" s="616"/>
      <c r="I273" s="616"/>
      <c r="J273" s="616"/>
      <c r="K273" s="1671">
        <f>D273</f>
        <v>0</v>
      </c>
      <c r="L273" s="466">
        <v>0</v>
      </c>
    </row>
    <row r="274" spans="1:12" ht="12" customHeight="1" x14ac:dyDescent="0.2">
      <c r="A274" s="1504" t="s">
        <v>1061</v>
      </c>
      <c r="B274" s="614">
        <v>2630</v>
      </c>
      <c r="C274" s="616"/>
      <c r="D274" s="466"/>
      <c r="E274" s="616"/>
      <c r="F274" s="616"/>
      <c r="G274" s="616"/>
      <c r="H274" s="616"/>
      <c r="I274" s="616"/>
      <c r="J274" s="616"/>
      <c r="K274" s="1671">
        <f>D274</f>
        <v>0</v>
      </c>
      <c r="L274" s="466">
        <v>0</v>
      </c>
    </row>
    <row r="275" spans="1:12" x14ac:dyDescent="0.2">
      <c r="A275" s="1504" t="s">
        <v>403</v>
      </c>
      <c r="B275" s="614">
        <v>2640</v>
      </c>
      <c r="C275" s="616"/>
      <c r="D275" s="466"/>
      <c r="E275" s="616"/>
      <c r="F275" s="616"/>
      <c r="G275" s="616"/>
      <c r="H275" s="616"/>
      <c r="I275" s="616"/>
      <c r="J275" s="616"/>
      <c r="K275" s="1671">
        <f>D275</f>
        <v>0</v>
      </c>
      <c r="L275" s="466">
        <v>0</v>
      </c>
    </row>
    <row r="276" spans="1:12" x14ac:dyDescent="0.2">
      <c r="A276" s="1504" t="s">
        <v>404</v>
      </c>
      <c r="B276" s="614">
        <v>2660</v>
      </c>
      <c r="C276" s="616"/>
      <c r="D276" s="466"/>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c r="E278" s="616"/>
      <c r="F278" s="616"/>
      <c r="G278" s="616"/>
      <c r="H278" s="616"/>
      <c r="I278" s="616"/>
      <c r="J278" s="616"/>
      <c r="K278" s="1684">
        <f>D278</f>
        <v>0</v>
      </c>
      <c r="L278" s="656">
        <v>0</v>
      </c>
    </row>
    <row r="279" spans="1:12" ht="12.75" customHeight="1" thickBot="1" x14ac:dyDescent="0.25">
      <c r="A279" s="1697" t="s">
        <v>811</v>
      </c>
      <c r="B279" s="1680">
        <v>2000</v>
      </c>
      <c r="C279" s="616"/>
      <c r="D279" s="1676">
        <f>SUM(D238,D243,D257,D261,D270,D277,D278)</f>
        <v>62498</v>
      </c>
      <c r="E279" s="616"/>
      <c r="F279" s="616"/>
      <c r="G279" s="616"/>
      <c r="H279" s="616"/>
      <c r="I279" s="616"/>
      <c r="J279" s="616"/>
      <c r="K279" s="1676">
        <f>SUM(K238,K243,K257,K261,K270,K277,K278)</f>
        <v>62498</v>
      </c>
      <c r="L279" s="1676">
        <f>SUM(L238,L243,L257,L261,L270,L277,L278)</f>
        <v>62480</v>
      </c>
    </row>
    <row r="280" spans="1:12" ht="15.75" customHeight="1" thickTop="1" thickBot="1" x14ac:dyDescent="0.25">
      <c r="A280" s="1624" t="s">
        <v>875</v>
      </c>
      <c r="B280" s="1613">
        <v>3000</v>
      </c>
      <c r="C280" s="616"/>
      <c r="D280" s="576">
        <v>3874</v>
      </c>
      <c r="E280" s="616"/>
      <c r="F280" s="616"/>
      <c r="G280" s="616"/>
      <c r="H280" s="616"/>
      <c r="I280" s="616"/>
      <c r="J280" s="616"/>
      <c r="K280" s="1678">
        <f>D280</f>
        <v>3874</v>
      </c>
      <c r="L280" s="576">
        <v>4665</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1843</v>
      </c>
      <c r="C282" s="616"/>
      <c r="D282" s="467"/>
      <c r="E282" s="616"/>
      <c r="F282" s="616"/>
      <c r="G282" s="616"/>
      <c r="H282" s="616"/>
      <c r="I282" s="616"/>
      <c r="J282" s="616"/>
      <c r="K282" s="1670">
        <f>D282</f>
        <v>0</v>
      </c>
      <c r="L282" s="467">
        <v>0</v>
      </c>
    </row>
    <row r="283" spans="1:12" x14ac:dyDescent="0.2">
      <c r="A283" s="1504" t="s">
        <v>304</v>
      </c>
      <c r="B283" s="614">
        <v>4120</v>
      </c>
      <c r="C283" s="616"/>
      <c r="D283" s="466"/>
      <c r="E283" s="616"/>
      <c r="F283" s="616"/>
      <c r="G283" s="616"/>
      <c r="H283" s="616"/>
      <c r="I283" s="616"/>
      <c r="J283" s="616"/>
      <c r="K283" s="1670">
        <f>D283</f>
        <v>0</v>
      </c>
      <c r="L283" s="466">
        <v>0</v>
      </c>
    </row>
    <row r="284" spans="1:12" x14ac:dyDescent="0.2">
      <c r="A284" s="1504" t="s">
        <v>697</v>
      </c>
      <c r="B284" s="614">
        <v>4140</v>
      </c>
      <c r="C284" s="616"/>
      <c r="D284" s="467"/>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v>0</v>
      </c>
    </row>
    <row r="289" spans="1:14" x14ac:dyDescent="0.2">
      <c r="A289" s="1504" t="s">
        <v>88</v>
      </c>
      <c r="B289" s="614">
        <v>5120</v>
      </c>
      <c r="C289" s="616"/>
      <c r="D289" s="616"/>
      <c r="E289" s="616"/>
      <c r="F289" s="616"/>
      <c r="G289" s="616"/>
      <c r="H289" s="466"/>
      <c r="I289" s="616"/>
      <c r="J289" s="616"/>
      <c r="K289" s="1670">
        <f>H289</f>
        <v>0</v>
      </c>
      <c r="L289" s="466">
        <v>0</v>
      </c>
    </row>
    <row r="290" spans="1:14" ht="12.75" customHeight="1" x14ac:dyDescent="0.2">
      <c r="A290" s="1504" t="s">
        <v>1170</v>
      </c>
      <c r="B290" s="628" t="s">
        <v>617</v>
      </c>
      <c r="C290" s="616"/>
      <c r="D290" s="616"/>
      <c r="E290" s="616"/>
      <c r="F290" s="616"/>
      <c r="G290" s="616"/>
      <c r="H290" s="466"/>
      <c r="I290" s="616"/>
      <c r="J290" s="616"/>
      <c r="K290" s="1670">
        <f>H290</f>
        <v>0</v>
      </c>
      <c r="L290" s="466">
        <v>0</v>
      </c>
    </row>
    <row r="291" spans="1:14" x14ac:dyDescent="0.2">
      <c r="A291" s="1504" t="s">
        <v>89</v>
      </c>
      <c r="B291" s="614" t="s">
        <v>589</v>
      </c>
      <c r="C291" s="616"/>
      <c r="D291" s="616"/>
      <c r="E291" s="616"/>
      <c r="F291" s="616"/>
      <c r="G291" s="616"/>
      <c r="H291" s="466"/>
      <c r="I291" s="616"/>
      <c r="J291" s="616"/>
      <c r="K291" s="1670">
        <f>H291</f>
        <v>0</v>
      </c>
      <c r="L291" s="466">
        <v>0</v>
      </c>
    </row>
    <row r="292" spans="1:14" x14ac:dyDescent="0.2">
      <c r="A292" s="1504" t="s">
        <v>762</v>
      </c>
      <c r="B292" s="614" t="s">
        <v>618</v>
      </c>
      <c r="C292" s="616"/>
      <c r="D292" s="616"/>
      <c r="E292" s="616"/>
      <c r="F292" s="616"/>
      <c r="G292" s="616"/>
      <c r="H292" s="466"/>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5" t="s">
        <v>505</v>
      </c>
      <c r="B295" s="2176"/>
      <c r="C295" s="616"/>
      <c r="D295" s="1669">
        <f>SUM(D229,D279,D280,D285)</f>
        <v>129245</v>
      </c>
      <c r="E295" s="616"/>
      <c r="F295" s="616"/>
      <c r="G295" s="616"/>
      <c r="H295" s="1669">
        <f>H293</f>
        <v>0</v>
      </c>
      <c r="I295" s="616"/>
      <c r="J295" s="616"/>
      <c r="K295" s="1669">
        <f>SUM(K229,K279,K280,K285,K293,K294)</f>
        <v>129245</v>
      </c>
      <c r="L295" s="1669">
        <f>SUM(L229,L279,L280,L285,L293,L294)</f>
        <v>135239</v>
      </c>
    </row>
    <row r="296" spans="1:14" ht="13.5" thickTop="1" x14ac:dyDescent="0.2">
      <c r="A296" s="2157" t="s">
        <v>996</v>
      </c>
      <c r="B296" s="2158"/>
      <c r="C296" s="616"/>
      <c r="D296" s="618"/>
      <c r="E296" s="616"/>
      <c r="F296" s="616"/>
      <c r="G296" s="616"/>
      <c r="H296" s="687"/>
      <c r="I296" s="616"/>
      <c r="J296" s="616"/>
      <c r="K296" s="1683">
        <f>'Revenues 9-14'!G268-'Expenditures 15-22'!K295</f>
        <v>11359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0">
        <f>SUM(C301:J301)</f>
        <v>0</v>
      </c>
      <c r="L301" s="467">
        <v>0</v>
      </c>
    </row>
    <row r="302" spans="1:14" ht="13.5" customHeight="1" x14ac:dyDescent="0.2">
      <c r="A302" s="1517" t="s">
        <v>980</v>
      </c>
      <c r="B302" s="614" t="s">
        <v>574</v>
      </c>
      <c r="C302" s="466"/>
      <c r="D302" s="466"/>
      <c r="E302" s="466"/>
      <c r="F302" s="466"/>
      <c r="G302" s="466"/>
      <c r="H302" s="466"/>
      <c r="I302" s="467"/>
      <c r="J302" s="467"/>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0">
        <f>SUM(E306,H306)</f>
        <v>0</v>
      </c>
      <c r="L306" s="467">
        <v>0</v>
      </c>
    </row>
    <row r="307" spans="1:14" x14ac:dyDescent="0.2">
      <c r="A307" s="1504" t="s">
        <v>304</v>
      </c>
      <c r="B307" s="614">
        <v>4120</v>
      </c>
      <c r="C307" s="616"/>
      <c r="D307" s="616"/>
      <c r="E307" s="467"/>
      <c r="F307" s="616"/>
      <c r="G307" s="616"/>
      <c r="H307" s="467"/>
      <c r="I307" s="477"/>
      <c r="J307" s="616"/>
      <c r="K307" s="1670">
        <f>SUM(E307,H307)</f>
        <v>0</v>
      </c>
      <c r="L307" s="466">
        <v>0</v>
      </c>
    </row>
    <row r="308" spans="1:14" x14ac:dyDescent="0.2">
      <c r="A308" s="1504" t="s">
        <v>697</v>
      </c>
      <c r="B308" s="614">
        <v>4140</v>
      </c>
      <c r="C308" s="616"/>
      <c r="D308" s="616"/>
      <c r="E308" s="467"/>
      <c r="F308" s="616"/>
      <c r="G308" s="616"/>
      <c r="H308" s="467"/>
      <c r="I308" s="477"/>
      <c r="J308" s="616"/>
      <c r="K308" s="1670">
        <f>SUM(E308,H308)</f>
        <v>0</v>
      </c>
      <c r="L308" s="466">
        <v>0</v>
      </c>
    </row>
    <row r="309" spans="1:14" ht="12.75" customHeight="1" x14ac:dyDescent="0.2">
      <c r="A309" s="1508" t="s">
        <v>698</v>
      </c>
      <c r="B309" s="628">
        <v>4190</v>
      </c>
      <c r="C309" s="616"/>
      <c r="D309" s="616"/>
      <c r="E309" s="467"/>
      <c r="F309" s="616"/>
      <c r="G309" s="616"/>
      <c r="H309" s="467"/>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2" t="s">
        <v>277</v>
      </c>
      <c r="B312" s="2173"/>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8" t="s">
        <v>996</v>
      </c>
      <c r="B313" s="2169"/>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v>0</v>
      </c>
      <c r="M319" s="665"/>
      <c r="N319" s="665"/>
    </row>
    <row r="320" spans="1:14" s="674" customFormat="1" x14ac:dyDescent="0.2">
      <c r="A320" s="1523" t="s">
        <v>1804</v>
      </c>
      <c r="B320" s="698" t="s">
        <v>282</v>
      </c>
      <c r="C320" s="467"/>
      <c r="D320" s="467"/>
      <c r="E320" s="467">
        <v>20859</v>
      </c>
      <c r="F320" s="467"/>
      <c r="G320" s="467"/>
      <c r="H320" s="467"/>
      <c r="I320" s="467"/>
      <c r="J320" s="467"/>
      <c r="K320" s="1670">
        <f t="shared" ref="K320:K327" si="24">SUM(C320:J320)</f>
        <v>20859</v>
      </c>
      <c r="L320" s="467">
        <v>20860</v>
      </c>
      <c r="M320" s="665"/>
      <c r="N320" s="665"/>
    </row>
    <row r="321" spans="1:14" s="674" customFormat="1" x14ac:dyDescent="0.2">
      <c r="A321" s="1519" t="s">
        <v>300</v>
      </c>
      <c r="B321" s="697" t="s">
        <v>283</v>
      </c>
      <c r="C321" s="467"/>
      <c r="D321" s="467"/>
      <c r="E321" s="467">
        <v>4801</v>
      </c>
      <c r="F321" s="467"/>
      <c r="G321" s="467"/>
      <c r="H321" s="467"/>
      <c r="I321" s="467"/>
      <c r="J321" s="467"/>
      <c r="K321" s="1670">
        <f t="shared" si="24"/>
        <v>4801</v>
      </c>
      <c r="L321" s="467">
        <v>7000</v>
      </c>
      <c r="M321" s="665"/>
      <c r="N321" s="665"/>
    </row>
    <row r="322" spans="1:14" s="674" customFormat="1" x14ac:dyDescent="0.2">
      <c r="A322" s="1519" t="s">
        <v>238</v>
      </c>
      <c r="B322" s="697" t="s">
        <v>284</v>
      </c>
      <c r="C322" s="467"/>
      <c r="D322" s="467"/>
      <c r="E322" s="467"/>
      <c r="F322" s="467"/>
      <c r="G322" s="467"/>
      <c r="H322" s="467"/>
      <c r="I322" s="467"/>
      <c r="J322" s="467"/>
      <c r="K322" s="1670">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0">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v>0</v>
      </c>
      <c r="M324" s="665"/>
      <c r="N324" s="665"/>
    </row>
    <row r="325" spans="1:14" s="674" customFormat="1" ht="22.5" x14ac:dyDescent="0.2">
      <c r="A325" s="1519" t="s">
        <v>1029</v>
      </c>
      <c r="B325" s="698" t="s">
        <v>287</v>
      </c>
      <c r="C325" s="467">
        <v>112115</v>
      </c>
      <c r="D325" s="467"/>
      <c r="E325" s="467"/>
      <c r="F325" s="467"/>
      <c r="G325" s="467"/>
      <c r="H325" s="467"/>
      <c r="I325" s="467"/>
      <c r="J325" s="467"/>
      <c r="K325" s="1670">
        <f t="shared" si="24"/>
        <v>112115</v>
      </c>
      <c r="L325" s="467">
        <v>112115</v>
      </c>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v>0</v>
      </c>
      <c r="M326" s="665"/>
      <c r="N326" s="665"/>
    </row>
    <row r="327" spans="1:14" s="674" customFormat="1" x14ac:dyDescent="0.2">
      <c r="A327" s="1519" t="s">
        <v>971</v>
      </c>
      <c r="B327" s="697" t="s">
        <v>289</v>
      </c>
      <c r="C327" s="467"/>
      <c r="D327" s="467"/>
      <c r="E327" s="467">
        <v>6688</v>
      </c>
      <c r="F327" s="467"/>
      <c r="G327" s="467"/>
      <c r="H327" s="467"/>
      <c r="I327" s="467"/>
      <c r="J327" s="467"/>
      <c r="K327" s="1670">
        <f t="shared" si="24"/>
        <v>6688</v>
      </c>
      <c r="L327" s="467">
        <v>5000</v>
      </c>
      <c r="M327" s="665"/>
      <c r="N327" s="665"/>
    </row>
    <row r="328" spans="1:14" s="674" customFormat="1" x14ac:dyDescent="0.2">
      <c r="A328" s="1520" t="s">
        <v>472</v>
      </c>
      <c r="B328" s="690" t="s">
        <v>1132</v>
      </c>
      <c r="C328" s="474"/>
      <c r="D328" s="474"/>
      <c r="E328" s="474">
        <v>29970</v>
      </c>
      <c r="F328" s="474"/>
      <c r="G328" s="474"/>
      <c r="H328" s="474"/>
      <c r="I328" s="474"/>
      <c r="J328" s="474"/>
      <c r="K328" s="1698">
        <f>SUM(C328:J328)</f>
        <v>29970</v>
      </c>
      <c r="L328" s="474">
        <v>29970</v>
      </c>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717</v>
      </c>
      <c r="B330" s="1668" t="s">
        <v>569</v>
      </c>
      <c r="C330" s="1669">
        <f>SUM(C319:C329)</f>
        <v>112115</v>
      </c>
      <c r="D330" s="1669">
        <f t="shared" ref="D330:J330" si="25">SUM(D319:D329)</f>
        <v>0</v>
      </c>
      <c r="E330" s="1669">
        <f t="shared" si="25"/>
        <v>62318</v>
      </c>
      <c r="F330" s="1669">
        <f t="shared" si="25"/>
        <v>0</v>
      </c>
      <c r="G330" s="1669">
        <f t="shared" si="25"/>
        <v>0</v>
      </c>
      <c r="H330" s="1669">
        <f t="shared" si="25"/>
        <v>0</v>
      </c>
      <c r="I330" s="1669">
        <f t="shared" si="25"/>
        <v>0</v>
      </c>
      <c r="J330" s="1669">
        <f t="shared" si="25"/>
        <v>0</v>
      </c>
      <c r="K330" s="1669">
        <f>SUM(K319:K329)</f>
        <v>174433</v>
      </c>
      <c r="L330" s="1669">
        <f>SUM(L319:L329)</f>
        <v>174945</v>
      </c>
      <c r="M330" s="665"/>
      <c r="N330" s="665"/>
    </row>
    <row r="331" spans="1:14" s="674" customFormat="1" ht="12.75" customHeight="1" thickTop="1" x14ac:dyDescent="0.2">
      <c r="A331" s="1830" t="s">
        <v>1849</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1843</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304</v>
      </c>
      <c r="B333" s="1826" t="s">
        <v>1845</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1850</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v>0</v>
      </c>
    </row>
    <row r="338" spans="1:14" ht="12.75" customHeight="1" x14ac:dyDescent="0.2">
      <c r="A338" s="1518" t="s">
        <v>1170</v>
      </c>
      <c r="B338" s="690" t="s">
        <v>617</v>
      </c>
      <c r="C338" s="638"/>
      <c r="D338" s="638"/>
      <c r="E338" s="638"/>
      <c r="F338" s="638"/>
      <c r="G338" s="638"/>
      <c r="H338" s="478"/>
      <c r="I338" s="638"/>
      <c r="J338" s="638"/>
      <c r="K338" s="1670">
        <f>H338</f>
        <v>0</v>
      </c>
      <c r="L338" s="478">
        <v>0</v>
      </c>
    </row>
    <row r="339" spans="1:14" x14ac:dyDescent="0.2">
      <c r="A339" s="1504" t="s">
        <v>901</v>
      </c>
      <c r="B339" s="628">
        <v>5150</v>
      </c>
      <c r="C339" s="638"/>
      <c r="D339" s="638"/>
      <c r="E339" s="638"/>
      <c r="F339" s="638"/>
      <c r="G339" s="638"/>
      <c r="H339" s="467"/>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112115</v>
      </c>
      <c r="D342" s="1669">
        <f>SUM(D330)</f>
        <v>0</v>
      </c>
      <c r="E342" s="1669">
        <f>SUM(E330)</f>
        <v>62318</v>
      </c>
      <c r="F342" s="1669">
        <f>SUM(F330)</f>
        <v>0</v>
      </c>
      <c r="G342" s="1669">
        <f>SUM(G330)</f>
        <v>0</v>
      </c>
      <c r="H342" s="1669">
        <f>SUM(H330,H334,H340)</f>
        <v>0</v>
      </c>
      <c r="I342" s="1669">
        <f>SUM(I330)</f>
        <v>0</v>
      </c>
      <c r="J342" s="1669">
        <f>SUM(J330)</f>
        <v>0</v>
      </c>
      <c r="K342" s="1669">
        <f>SUM(K330,K334,K340)</f>
        <v>174433</v>
      </c>
      <c r="L342" s="1676">
        <f>SUM(L330,L334,L340,L341)</f>
        <v>174945</v>
      </c>
    </row>
    <row r="343" spans="1:14" ht="12.75" customHeight="1" thickTop="1" x14ac:dyDescent="0.2">
      <c r="A343" s="2170" t="s">
        <v>996</v>
      </c>
      <c r="B343" s="2171"/>
      <c r="C343" s="616"/>
      <c r="D343" s="616"/>
      <c r="E343" s="616"/>
      <c r="F343" s="616"/>
      <c r="G343" s="616"/>
      <c r="H343" s="616"/>
      <c r="I343" s="616"/>
      <c r="J343" s="616"/>
      <c r="K343" s="1683">
        <f>'Revenues 9-14'!J268-'Expenditures 15-22'!K342</f>
        <v>9017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33851</v>
      </c>
      <c r="F348" s="466"/>
      <c r="G348" s="466"/>
      <c r="H348" s="466"/>
      <c r="I348" s="467"/>
      <c r="J348" s="467"/>
      <c r="K348" s="1670">
        <f>SUM(C348:J348)</f>
        <v>33851</v>
      </c>
      <c r="L348" s="466">
        <v>55406</v>
      </c>
    </row>
    <row r="349" spans="1:14" x14ac:dyDescent="0.2">
      <c r="A349" s="1504" t="s">
        <v>197</v>
      </c>
      <c r="B349" s="614">
        <v>2540</v>
      </c>
      <c r="C349" s="466"/>
      <c r="D349" s="466"/>
      <c r="E349" s="466"/>
      <c r="F349" s="466"/>
      <c r="G349" s="466"/>
      <c r="H349" s="466"/>
      <c r="I349" s="467"/>
      <c r="J349" s="467"/>
      <c r="K349" s="1670">
        <f>SUM(C349:J349)</f>
        <v>0</v>
      </c>
      <c r="L349" s="466">
        <v>0</v>
      </c>
    </row>
    <row r="350" spans="1:14" ht="12.75" customHeight="1" thickBot="1" x14ac:dyDescent="0.25">
      <c r="A350" s="1667" t="s">
        <v>719</v>
      </c>
      <c r="B350" s="1668" t="s">
        <v>35</v>
      </c>
      <c r="C350" s="1669">
        <f>SUM(C348:C349)</f>
        <v>0</v>
      </c>
      <c r="D350" s="1669">
        <f t="shared" ref="D350:L350" si="26">SUM(D348:D349)</f>
        <v>0</v>
      </c>
      <c r="E350" s="1669">
        <f t="shared" si="26"/>
        <v>33851</v>
      </c>
      <c r="F350" s="1669">
        <f t="shared" si="26"/>
        <v>0</v>
      </c>
      <c r="G350" s="1669">
        <f t="shared" si="26"/>
        <v>0</v>
      </c>
      <c r="H350" s="1669">
        <f t="shared" si="26"/>
        <v>0</v>
      </c>
      <c r="I350" s="1669">
        <f t="shared" si="26"/>
        <v>0</v>
      </c>
      <c r="J350" s="1669">
        <f t="shared" si="26"/>
        <v>0</v>
      </c>
      <c r="K350" s="1669">
        <f t="shared" si="26"/>
        <v>33851</v>
      </c>
      <c r="L350" s="1669">
        <f t="shared" si="26"/>
        <v>55406</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33851</v>
      </c>
      <c r="F352" s="1669">
        <f t="shared" si="27"/>
        <v>0</v>
      </c>
      <c r="G352" s="1669">
        <f t="shared" si="27"/>
        <v>0</v>
      </c>
      <c r="H352" s="1669">
        <f t="shared" si="27"/>
        <v>0</v>
      </c>
      <c r="I352" s="1669">
        <f t="shared" si="27"/>
        <v>0</v>
      </c>
      <c r="J352" s="1669">
        <f t="shared" si="27"/>
        <v>0</v>
      </c>
      <c r="K352" s="1669">
        <f t="shared" si="27"/>
        <v>33851</v>
      </c>
      <c r="L352" s="1669">
        <f t="shared" si="27"/>
        <v>55406</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1851</v>
      </c>
      <c r="B354" s="683" t="s">
        <v>1843</v>
      </c>
      <c r="C354" s="616"/>
      <c r="D354" s="616"/>
      <c r="E354" s="616"/>
      <c r="F354" s="616"/>
      <c r="G354" s="616"/>
      <c r="H354" s="474"/>
      <c r="I354" s="701"/>
      <c r="J354" s="616"/>
      <c r="K354" s="1698">
        <f>H354</f>
        <v>0</v>
      </c>
      <c r="L354" s="471">
        <v>0</v>
      </c>
    </row>
    <row r="355" spans="1:14" ht="12.75" customHeight="1" x14ac:dyDescent="0.2">
      <c r="A355" s="1513" t="s">
        <v>1852</v>
      </c>
      <c r="B355" s="690" t="s">
        <v>1845</v>
      </c>
      <c r="C355" s="616"/>
      <c r="D355" s="616"/>
      <c r="E355" s="616"/>
      <c r="F355" s="616"/>
      <c r="G355" s="616"/>
      <c r="H355" s="467"/>
      <c r="I355" s="701"/>
      <c r="J355" s="616"/>
      <c r="K355" s="1742">
        <f>H355</f>
        <v>0</v>
      </c>
      <c r="L355" s="467">
        <v>0</v>
      </c>
    </row>
    <row r="356" spans="1:14" ht="12.75" customHeight="1" x14ac:dyDescent="0.2">
      <c r="A356" s="1833" t="s">
        <v>698</v>
      </c>
      <c r="B356" s="683" t="s">
        <v>558</v>
      </c>
      <c r="C356" s="616"/>
      <c r="D356" s="616"/>
      <c r="E356" s="616"/>
      <c r="F356" s="616"/>
      <c r="G356" s="616"/>
      <c r="H356" s="479"/>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v>0</v>
      </c>
    </row>
    <row r="361" spans="1:14" ht="12.75" customHeight="1" x14ac:dyDescent="0.2">
      <c r="A361" s="1505" t="s">
        <v>619</v>
      </c>
      <c r="B361" s="602" t="s">
        <v>618</v>
      </c>
      <c r="C361" s="616"/>
      <c r="D361" s="616"/>
      <c r="E361" s="616"/>
      <c r="F361" s="616"/>
      <c r="G361" s="616"/>
      <c r="H361" s="467"/>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33851</v>
      </c>
      <c r="F367" s="1669">
        <f t="shared" si="28"/>
        <v>0</v>
      </c>
      <c r="G367" s="1669">
        <f t="shared" si="28"/>
        <v>0</v>
      </c>
      <c r="H367" s="1669">
        <f t="shared" si="28"/>
        <v>0</v>
      </c>
      <c r="I367" s="1669">
        <f t="shared" si="28"/>
        <v>0</v>
      </c>
      <c r="J367" s="1669">
        <f t="shared" si="28"/>
        <v>0</v>
      </c>
      <c r="K367" s="1669">
        <f t="shared" si="28"/>
        <v>33851</v>
      </c>
      <c r="L367" s="1669">
        <f t="shared" si="28"/>
        <v>55406</v>
      </c>
    </row>
    <row r="368" spans="1:14" ht="13.5" thickTop="1" x14ac:dyDescent="0.2">
      <c r="A368" s="2157" t="s">
        <v>996</v>
      </c>
      <c r="B368" s="2158"/>
      <c r="C368" s="654"/>
      <c r="D368" s="654"/>
      <c r="E368" s="626"/>
      <c r="F368" s="626"/>
      <c r="G368" s="626"/>
      <c r="H368" s="626"/>
      <c r="I368" s="626"/>
      <c r="J368" s="623"/>
      <c r="K368" s="1670">
        <f>'Revenues 9-14'!K268-'Expenditures 15-22'!K367</f>
        <v>21962</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dcmitype/"/>
    <ds:schemaRef ds:uri="http://schemas.microsoft.com/office/2006/documentManagement/types"/>
    <ds:schemaRef ds:uri="http://schemas.microsoft.com/office/2006/metadata/properties"/>
    <ds:schemaRef ds:uri="http://purl.org/dc/terms/"/>
    <ds:schemaRef ds:uri="http://purl.org/dc/elements/1.1/"/>
    <ds:schemaRef ds:uri="d21dc803-237d-4c68-8692-8d731fd29118"/>
    <ds:schemaRef ds:uri="http://schemas.microsoft.com/office/infopath/2007/PartnerControls"/>
    <ds:schemaRef ds:uri="http://schemas.openxmlformats.org/package/2006/metadata/core-properties"/>
    <ds:schemaRef ds:uri="4d435f69-8686-490b-bd6d-b153bf22ab5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2019-11-06T17:04:04Z</cp:lastPrinted>
  <dcterms:created xsi:type="dcterms:W3CDTF">2003-10-29T19:06:34Z</dcterms:created>
  <dcterms:modified xsi:type="dcterms:W3CDTF">2019-12-04T19:23:45Z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