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63753D8-2BEA-49A9-A1CF-EFB36C43494F}"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G39" i="3" l="1"/>
  <c r="J15"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D7765" i="106" s="1"/>
  <c r="B7764" i="106"/>
  <c r="D7764" i="106" s="1"/>
  <c r="J85" i="28"/>
  <c r="B7758" i="106" s="1"/>
  <c r="D7758" i="106" s="1"/>
  <c r="J88" i="28"/>
  <c r="K6" i="29"/>
  <c r="B7763" i="106" s="1"/>
  <c r="D7763" i="106" s="1"/>
  <c r="B7762" i="106"/>
  <c r="K12" i="12"/>
  <c r="B7719" i="106" s="1"/>
  <c r="D7719" i="106" s="1"/>
  <c r="K23" i="12"/>
  <c r="J12" i="12"/>
  <c r="J21" i="12"/>
  <c r="B7727" i="106" s="1"/>
  <c r="D7727" i="106" s="1"/>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D27" i="108"/>
  <c r="E27" i="108"/>
  <c r="G27" i="108"/>
  <c r="F36" i="108"/>
  <c r="G28"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D24" i="37"/>
  <c r="B4270" i="106" s="1"/>
  <c r="D4270" i="106" s="1"/>
  <c r="B5752" i="106"/>
  <c r="D5752" i="106" s="1"/>
  <c r="J367" i="29" l="1"/>
  <c r="B7245" i="106" s="1"/>
  <c r="B7235" i="106"/>
  <c r="D7235" i="106" s="1"/>
  <c r="J210" i="29"/>
  <c r="B7072" i="106" s="1"/>
  <c r="D7072" i="106" s="1"/>
  <c r="F56" i="34"/>
  <c r="G26" i="108"/>
  <c r="B7047" i="106"/>
  <c r="D7047" i="106" s="1"/>
  <c r="F72" i="34"/>
  <c r="F46" i="34"/>
  <c r="H365" i="29"/>
  <c r="B7242" i="106" s="1"/>
  <c r="D7242" i="106" s="1"/>
  <c r="B2724" i="106"/>
  <c r="D2724" i="106" s="1"/>
  <c r="I210" i="29"/>
  <c r="B7071" i="106" s="1"/>
  <c r="D7071" i="106" s="1"/>
  <c r="F71" i="34"/>
  <c r="L15" i="11"/>
  <c r="B3459" i="106" s="1"/>
  <c r="D3459" i="106" s="1"/>
  <c r="H76" i="4"/>
  <c r="B3298" i="106" s="1"/>
  <c r="D3298" i="106" s="1"/>
  <c r="F52" i="34"/>
  <c r="B6995" i="106"/>
  <c r="D6995" i="106" s="1"/>
  <c r="B1274" i="106"/>
  <c r="D1274" i="106" s="1"/>
  <c r="F37" i="34"/>
  <c r="E30" i="108"/>
  <c r="E26" i="108"/>
  <c r="D68" i="36"/>
  <c r="C352" i="29"/>
  <c r="B3621" i="106" s="1"/>
  <c r="D3621" i="106" s="1"/>
  <c r="J22" i="37"/>
  <c r="F36" i="34"/>
  <c r="G30" i="108"/>
  <c r="B1124" i="106"/>
  <c r="D1124" i="106" s="1"/>
  <c r="G15" i="145"/>
  <c r="D17" i="7"/>
  <c r="B4104" i="106" s="1"/>
  <c r="D4104" i="106" s="1"/>
  <c r="H33" i="118"/>
  <c r="D26" i="108"/>
  <c r="D41" i="108" s="1"/>
  <c r="E43" i="108" s="1"/>
  <c r="J77" i="4"/>
  <c r="B6262" i="106" s="1"/>
  <c r="D6262" i="106" s="1"/>
  <c r="B4211" i="106"/>
  <c r="D4211" i="106" s="1"/>
  <c r="C129" i="29"/>
  <c r="D54" i="36"/>
  <c r="B7074" i="106"/>
  <c r="D7074" i="106" s="1"/>
  <c r="L13" i="11"/>
  <c r="B2060" i="106" s="1"/>
  <c r="D2060" i="106" s="1"/>
  <c r="D37" i="108"/>
  <c r="D7245" i="106"/>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B6216" i="106" s="1"/>
  <c r="D6216" i="10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2" i="106" l="1"/>
  <c r="C367" i="29"/>
  <c r="B3622" i="106" s="1"/>
  <c r="D3622" i="106" s="1"/>
  <c r="D7255" i="106"/>
  <c r="D7251" i="106"/>
  <c r="D7256" i="106"/>
  <c r="D51" i="36"/>
  <c r="I7" i="4"/>
  <c r="B4444" i="106" s="1"/>
  <c r="D4444" i="106" s="1"/>
  <c r="I151" i="29"/>
  <c r="F59" i="34" s="1"/>
  <c r="B5527" i="106"/>
  <c r="D5527" i="106" s="1"/>
  <c r="L114" i="29"/>
  <c r="F41" i="108"/>
  <c r="G43" i="108" s="1"/>
  <c r="C114" i="29"/>
  <c r="B757" i="106" s="1"/>
  <c r="D757" i="106" s="1"/>
  <c r="D52" i="36"/>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K16" i="4"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43" i="106"/>
  <c r="D7243" i="106" s="1"/>
  <c r="K367" i="29"/>
  <c r="K368" i="29" s="1"/>
  <c r="B3681" i="106" s="1"/>
  <c r="D3681"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8" i="4"/>
  <c r="B6223" i="106"/>
  <c r="D6223" i="106" s="1"/>
  <c r="J10" i="4"/>
  <c r="B6225" i="106" s="1"/>
  <c r="D6225" i="106" s="1"/>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K20" i="4"/>
  <c r="B3576" i="106" s="1"/>
  <c r="D3576" i="106"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F175" i="34" l="1"/>
  <c r="F79" i="34"/>
  <c r="K78" i="4"/>
  <c r="K81" i="4" s="1"/>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588" i="106" l="1"/>
  <c r="D3588"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<sst xmlns="http://schemas.openxmlformats.org/spreadsheetml/2006/main" count="5130" uniqueCount="2123">
  <si>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</si>
  <si>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</si>
  <si>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</si>
  <si>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</si>
  <si>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</si>
  <si>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</si>
  <si>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</si>
  <si>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</si>
  <si>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</si>
  <si>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</si>
  <si>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</si>
  <si>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</si>
  <si>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</si>
  <si>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</si>
  <si>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</si>
  <si>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</si>
  <si>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</si>
  <si>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</si>
  <si>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</si>
  <si>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</si>
  <si>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</si>
  <si>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</si>
  <si>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</si>
  <si>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</si>
  <si>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</si>
  <si>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</si>
  <si>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</si>
  <si>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</si>
  <si>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</si>
  <si>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</si>
  <si>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</si>
  <si>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</si>
  <si>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</si>
  <si>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</si>
  <si>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</si>
  <si>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</si>
  <si>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</si>
  <si>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</si>
  <si>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</si>
  <si>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</si>
  <si>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</si>
  <si>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</si>
  <si>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</si>
  <si>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</si>
  <si>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</si>
  <si>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</si>
  <si>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</si>
  <si>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</si>
  <si>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</si>
  <si>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</si>
  <si>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</si>
  <si>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</si>
  <si>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</si>
  <si>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</si>
  <si>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</si>
  <si>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</si>
  <si>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</si>
  <si>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</si>
  <si>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</si>
  <si>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</si>
  <si>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</si>
  <si>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</si>
  <si>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</si>
  <si>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</si>
  <si>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</si>
  <si>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</si>
  <si>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</si>
  <si>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</si>
  <si>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</si>
  <si>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</si>
  <si>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</si>
  <si>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</si>
  <si>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</si>
  <si>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</si>
  <si>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</si>
  <si>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</si>
  <si>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</si>
  <si>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</si>
  <si>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</si>
  <si>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</si>
  <si>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</si>
  <si>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</si>
  <si>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</si>
  <si>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</si>
  <si>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</si>
  <si>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</si>
  <si>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</si>
  <si>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</si>
  <si>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</si>
  <si>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</si>
  <si>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</si>
  <si>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</si>
  <si>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</si>
  <si>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</si>
  <si>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</si>
  <si>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</si>
  <si>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</si>
  <si>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</si>
  <si>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</si>
  <si>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</si>
  <si>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</si>
  <si>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</si>
  <si>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</si>
  <si>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</si>
  <si>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</si>
  <si>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</si>
  <si>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</si>
  <si>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</si>
  <si>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</si>
  <si>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</si>
  <si>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</si>
  <si>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</si>
  <si>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</si>
  <si>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</si>
  <si>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</si>
  <si>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</si>
  <si>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</si>
  <si>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</si>
  <si>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</si>
  <si>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</si>
  <si>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</si>
  <si>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</si>
  <si>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</si>
  <si>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</si>
  <si>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</si>
  <si>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</si>
  <si>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</si>
  <si>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</si>
  <si>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</si>
  <si>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</si>
  <si>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</si>
  <si>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</si>
  <si>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</si>
  <si>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</si>
  <si>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</si>
  <si>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</si>
  <si>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</si>
  <si>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</si>
  <si>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</si>
  <si>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</si>
  <si>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</si>
  <si>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</si>
  <si>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</si>
  <si>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</si>
  <si>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</si>
  <si>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</si>
  <si>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</si>
  <si>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</si>
  <si>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</si>
  <si>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</si>
  <si>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</si>
  <si>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</si>
  <si>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</si>
  <si>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</si>
  <si>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</si>
  <si>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</si>
  <si>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</si>
  <si>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</si>
  <si>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</si>
  <si>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</si>
  <si>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</si>
  <si>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</si>
  <si>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</si>
  <si>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</si>
  <si>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</si>
  <si>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</si>
  <si>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</si>
  <si>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</si>
  <si>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</si>
  <si>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</si>
  <si>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</si>
  <si>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</si>
  <si>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</si>
  <si>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</si>
  <si>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</si>
  <si>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</si>
  <si>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</si>
  <si>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</si>
  <si>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</si>
  <si>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</si>
  <si>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</si>
  <si>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</si>
  <si>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</si>
  <si>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</si>
  <si>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</si>
  <si>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</si>
  <si>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</si>
  <si>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</si>
  <si>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</si>
  <si>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</si>
  <si>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</si>
  <si>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</si>
  <si>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</si>
  <si>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</si>
  <si>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</si>
  <si>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</si>
  <si>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</si>
  <si>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</si>
  <si>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</si>
  <si>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</si>
  <si>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</si>
  <si>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</si>
  <si>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</si>
  <si>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</si>
  <si>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</si>
  <si>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</si>
  <si>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</si>
  <si>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</si>
  <si>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</si>
  <si>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</si>
  <si>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</si>
  <si>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</si>
  <si>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</si>
  <si>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</si>
  <si>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</si>
  <si>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</si>
  <si>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</si>
  <si>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</si>
  <si>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</si>
  <si>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</si>
  <si>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</si>
  <si>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</si>
  <si>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</si>
  <si>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</si>
  <si>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</si>
  <si>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</si>
  <si>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</si>
  <si>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</si>
  <si>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</si>
  <si>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</si>
  <si>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</si>
  <si>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</si>
  <si>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</si>
  <si>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</si>
  <si>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</si>
  <si>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</si>
  <si>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</si>
  <si>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</si>
  <si>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</si>
  <si>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</si>
  <si>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</si>
  <si>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</si>
  <si>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</si>
  <si>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</si>
  <si>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</si>
  <si>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</si>
  <si>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</si>
  <si>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</si>
  <si>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</si>
  <si>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</si>
  <si>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</si>
  <si>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</si>
  <si>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</si>
  <si>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</si>
  <si>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</si>
  <si>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</si>
  <si>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</si>
  <si>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</si>
  <si>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</si>
  <si>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</si>
  <si>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</si>
  <si>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</si>
  <si>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</si>
  <si>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</si>
  <si>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</si>
  <si>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</si>
  <si>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</si>
  <si>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</si>
  <si>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</si>
  <si>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</si>
  <si>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</si>
  <si>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</si>
  <si>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</si>
  <si>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</si>
  <si>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</si>
  <si>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</si>
  <si>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</si>
  <si>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</si>
  <si>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</si>
  <si>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</si>
  <si>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</si>
  <si>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</si>
  <si>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</si>
  <si>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</si>
  <si>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</si>
  <si>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</si>
  <si>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</si>
  <si>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</si>
  <si>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</si>
  <si>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</si>
  <si>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</si>
  <si>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</si>
  <si>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</si>
  <si>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</si>
  <si>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</si>
  <si>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</si>
  <si>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</si>
  <si>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</si>
  <si>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</si>
  <si>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</si>
  <si>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</si>
  <si>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</si>
  <si>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</si>
  <si>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</si>
  <si>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</si>
  <si>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</si>
  <si>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</si>
  <si>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</si>
  <si>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</si>
  <si>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</si>
  <si>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</si>
  <si>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</si>
  <si>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</si>
  <si>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</si>
  <si>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</si>
  <si>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</si>
  <si>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</si>
  <si>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</si>
  <si>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</si>
  <si>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</si>
  <si>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</si>
  <si>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</si>
  <si>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</si>
  <si>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</si>
  <si>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</si>
  <si>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</si>
  <si>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</si>
  <si>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</si>
  <si>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</si>
  <si>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</si>
  <si>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</si>
  <si>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</si>
  <si>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</si>
  <si>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</si>
  <si>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</si>
  <si>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</si>
  <si>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</si>
  <si>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</si>
  <si>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</si>
  <si>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</si>
  <si>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</si>
  <si>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</si>
  <si>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</si>
  <si>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</si>
  <si>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</si>
  <si>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</si>
  <si>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</si>
  <si>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</si>
  <si>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</si>
  <si>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</si>
  <si>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</si>
  <si>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</si>
  <si>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</si>
  <si>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</si>
  <si>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</si>
  <si>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</si>
  <si>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</si>
  <si>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</si>
  <si>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</si>
  <si>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</si>
  <si>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</si>
  <si>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</si>
  <si>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</si>
  <si>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</si>
  <si>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</si>
  <si>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</si>
  <si>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</si>
  <si>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</si>
  <si>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</si>
  <si>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</si>
  <si>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</si>
  <si>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</si>
  <si>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</si>
  <si>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</si>
  <si>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</si>
  <si>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</si>
  <si>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</si>
  <si>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</si>
  <si>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</si>
  <si>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</si>
  <si>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</si>
  <si>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</si>
  <si>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</si>
  <si>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</si>
  <si>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</si>
  <si>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</si>
  <si>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</si>
  <si>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</si>
  <si>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</si>
  <si>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</si>
  <si>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</si>
  <si>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</si>
  <si>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</si>
  <si>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</si>
  <si>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</si>
  <si>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</si>
  <si>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</si>
  <si>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</si>
  <si>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</si>
  <si>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</si>
  <si>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</si>
  <si>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</si>
  <si>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</si>
  <si>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</si>
  <si>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</si>
  <si>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</si>
  <si>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</si>
  <si>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</si>
  <si>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</si>
  <si>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</si>
  <si>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</si>
  <si>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</si>
  <si>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</si>
  <si>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</si>
  <si>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</si>
  <si>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</si>
  <si>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</si>
  <si>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</si>
  <si>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</si>
  <si>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</si>
  <si>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</si>
  <si>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</si>
  <si>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</si>
  <si>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</si>
  <si>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</si>
  <si>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</si>
  <si>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</si>
  <si>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</si>
  <si>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</si>
  <si>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</si>
  <si>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</si>
  <si>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</si>
  <si>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</si>
  <si>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</si>
  <si>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</si>
  <si>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</si>
  <si>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</si>
  <si>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</si>
  <si>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</si>
  <si>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</si>
  <si>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</si>
  <si>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</si>
  <si>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</si>
  <si>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</si>
  <si>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</si>
  <si>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</si>
  <si>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</si>
  <si>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</si>
  <si>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</si>
  <si>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</si>
  <si>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</si>
  <si>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</si>
  <si>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</si>
  <si>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</si>
  <si>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</si>
  <si>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</si>
  <si>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</si>
  <si>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</si>
  <si>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</si>
  <si>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</si>
  <si>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</si>
  <si>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</si>
  <si>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</si>
  <si>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</si>
  <si>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</si>
  <si>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</si>
  <si>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</si>
  <si>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</si>
  <si>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</si>
  <si>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</si>
  <si>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</si>
  <si>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</si>
  <si>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</si>
  <si>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</si>
  <si>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</si>
  <si>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</si>
  <si>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</si>
  <si>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</si>
  <si>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</si>
  <si>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</si>
  <si>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</si>
  <si>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</si>
  <si>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</si>
  <si>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</si>
  <si>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</si>
  <si>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</si>
  <si>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</si>
  <si>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</si>
  <si>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</si>
  <si>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</si>
  <si>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</si>
  <si>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</si>
  <si>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</si>
  <si>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</si>
  <si>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</si>
  <si>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</si>
  <si>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</si>
  <si>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</si>
  <si>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</si>
  <si>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</si>
  <si>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</si>
  <si>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</si>
  <si>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</si>
  <si>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</si>
  <si>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</si>
  <si>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</si>
  <si>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</si>
  <si>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</si>
  <si>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</si>
  <si>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</si>
  <si>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</si>
  <si>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</si>
  <si>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</si>
  <si>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</si>
  <si>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</si>
  <si>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</si>
  <si>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</si>
  <si>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</si>
  <si>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</si>
  <si>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</si>
  <si>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</si>
  <si>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</si>
  <si>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</si>
  <si>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</si>
  <si>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</si>
  <si>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</si>
  <si>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</si>
  <si>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</si>
  <si>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</si>
  <si>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</si>
  <si>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</si>
  <si>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</si>
  <si>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</si>
  <si>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</si>
  <si>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</si>
  <si>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</si>
  <si>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</si>
  <si>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</si>
  <si>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</si>
  <si>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</si>
  <si>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</si>
  <si>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</si>
  <si>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</si>
  <si>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</si>
  <si>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</si>
  <si>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</si>
  <si>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</si>
  <si>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</si>
  <si>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</si>
  <si>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</si>
  <si>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</si>
  <si>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</si>
  <si>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</si>
  <si>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</si>
  <si>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</si>
  <si>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</si>
  <si>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</si>
  <si>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</si>
  <si>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</si>
  <si>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</si>
  <si>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</si>
  <si>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</si>
  <si>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</si>
  <si>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</si>
  <si>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</si>
  <si>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</si>
  <si>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</si>
  <si>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</si>
  <si>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</si>
  <si>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</si>
  <si>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</si>
  <si>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</si>
  <si>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</si>
  <si>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</si>
  <si>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</si>
  <si>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</si>
  <si>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</si>
  <si>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</si>
  <si>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</si>
  <si>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</si>
  <si>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</si>
  <si>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</si>
  <si>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</si>
  <si>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</si>
  <si>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</si>
  <si>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</si>
  <si>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</si>
  <si>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</si>
  <si>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</si>
  <si>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</si>
  <si>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</si>
  <si>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</si>
  <si>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</si>
  <si>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</si>
  <si>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</si>
  <si>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</si>
  <si>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</si>
  <si>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</si>
  <si>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</si>
  <si>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</si>
  <si>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</si>
  <si>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</si>
  <si>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</si>
  <si>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</si>
  <si>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</si>
  <si>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</si>
  <si>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</si>
  <si>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</si>
  <si>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</si>
  <si>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</si>
  <si>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</si>
  <si>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</si>
  <si>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</si>
  <si>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</si>
  <si>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</si>
  <si>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</si>
  <si>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</si>
  <si>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</si>
  <si>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</si>
  <si>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</si>
  <si>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</si>
  <si>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</si>
  <si>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</si>
  <si>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</si>
  <si>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</si>
  <si>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</si>
  <si>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</si>
  <si>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</si>
  <si>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</si>
  <si>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</si>
  <si>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</si>
  <si>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</si>
  <si>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</si>
  <si>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</si>
  <si>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</si>
  <si>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</si>
  <si>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</si>
  <si>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</si>
  <si>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</si>
  <si>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</si>
  <si>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</si>
  <si>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</si>
  <si>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</si>
  <si>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</si>
  <si>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</si>
  <si>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</si>
  <si>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</si>
  <si>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</si>
  <si>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</si>
  <si>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</si>
  <si>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</si>
  <si>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</si>
  <si>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</si>
  <si>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</si>
  <si>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</si>
  <si>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</si>
  <si>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</si>
  <si>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</si>
  <si>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</si>
  <si>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</si>
  <si>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</si>
  <si>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</si>
  <si>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</si>
  <si>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</si>
  <si>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</si>
  <si>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</si>
  <si>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</si>
  <si>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</si>
  <si>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</si>
  <si>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</si>
  <si>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</si>
  <si>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</si>
  <si>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</si>
  <si>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</si>
  <si>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</si>
  <si>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</si>
  <si>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</si>
  <si>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</si>
  <si>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</si>
  <si>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</si>
  <si>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</si>
  <si>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</si>
  <si>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</si>
  <si>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</si>
  <si>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</si>
  <si>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</si>
  <si>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</si>
  <si>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</si>
  <si>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</si>
  <si>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</si>
  <si>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</si>
  <si>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</si>
  <si>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</si>
  <si>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</si>
  <si>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</si>
  <si>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</si>
  <si>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</si>
  <si>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</si>
  <si>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</si>
  <si>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</si>
  <si>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</si>
  <si>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</si>
  <si>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</si>
  <si>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</si>
  <si>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</si>
  <si>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</si>
  <si>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</si>
  <si>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</si>
  <si>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</si>
  <si>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</si>
  <si>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</si>
  <si>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</si>
  <si>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</si>
  <si>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</si>
  <si>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</si>
  <si>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</si>
  <si>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</si>
  <si>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</si>
  <si>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</si>
  <si>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</si>
  <si>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</si>
  <si>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</si>
  <si>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</si>
  <si>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</si>
  <si>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</si>
  <si>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</si>
  <si>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</si>
  <si>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</si>
  <si>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</si>
  <si>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</si>
  <si>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</si>
  <si>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</si>
  <si>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</si>
  <si>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</si>
  <si>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</si>
  <si>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</si>
  <si>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</si>
  <si>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</si>
  <si>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</si>
  <si>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</si>
  <si>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</si>
  <si>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</si>
  <si>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</si>
  <si>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</si>
  <si>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</si>
  <si>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</si>
  <si>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</si>
  <si>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</si>
  <si>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</si>
  <si>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</si>
  <si>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</si>
  <si>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</si>
  <si>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</si>
  <si>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</si>
  <si>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</si>
  <si>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</si>
  <si>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</si>
  <si>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</si>
  <si>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</si>
  <si>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</si>
  <si>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</si>
  <si>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</si>
  <si>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</si>
  <si>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</si>
  <si>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</si>
  <si>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</si>
  <si>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</si>
  <si>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</si>
  <si>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</si>
  <si>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</si>
  <si>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</si>
  <si>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</si>
  <si>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</si>
  <si>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</si>
  <si>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</si>
  <si>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</si>
  <si>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</si>
  <si>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</si>
  <si>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</si>
  <si>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</si>
  <si>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</si>
  <si>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</si>
  <si>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</si>
  <si>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</si>
  <si>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</si>
  <si>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</si>
  <si>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</si>
  <si>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</si>
  <si>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</si>
  <si>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</si>
  <si>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</si>
  <si>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</si>
  <si>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</si>
  <si>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</si>
  <si>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</si>
  <si>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</si>
  <si>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</si>
  <si>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</si>
  <si>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</si>
  <si>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</si>
  <si>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</si>
  <si>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</si>
  <si>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</si>
  <si>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</si>
  <si>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</si>
  <si>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</si>
  <si>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</si>
  <si>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</si>
  <si>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</si>
  <si>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</si>
  <si>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</si>
  <si>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</si>
  <si>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</si>
  <si>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</si>
  <si>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</si>
  <si>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</si>
  <si>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</si>
  <si>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</si>
  <si>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</si>
  <si>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</si>
  <si>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</si>
  <si>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</si>
  <si>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</si>
  <si>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</si>
  <si>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</si>
  <si>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</si>
  <si>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</si>
  <si>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</si>
  <si>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</si>
  <si>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</si>
  <si>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</si>
  <si>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</si>
  <si>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</si>
  <si>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</si>
  <si>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</si>
  <si>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</si>
  <si>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</si>
  <si>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</si>
  <si>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</si>
  <si>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</si>
  <si>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</si>
  <si>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</si>
  <si>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</si>
  <si>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</si>
  <si>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</si>
  <si>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</si>
  <si>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</si>
  <si>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</si>
  <si>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</si>
  <si>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</si>
  <si>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</si>
  <si>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</si>
  <si>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</si>
  <si>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</si>
  <si>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</si>
  <si>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</si>
  <si>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</si>
  <si>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</si>
  <si>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</si>
  <si>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</si>
  <si>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</si>
  <si>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</si>
  <si>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</si>
  <si>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</si>
  <si>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</si>
  <si>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</si>
  <si>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</si>
  <si>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</si>
  <si>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</si>
  <si>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</si>
  <si>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</si>
  <si>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</si>
  <si>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</si>
  <si>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</si>
  <si>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</si>
  <si>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</si>
  <si>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</si>
  <si>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</si>
  <si>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</si>
  <si>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</si>
  <si>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</si>
  <si>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</si>
  <si>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</si>
  <si>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</si>
  <si>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</si>
  <si>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</si>
  <si>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</si>
  <si>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</si>
  <si>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</si>
  <si>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</si>
  <si>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</si>
  <si>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</si>
  <si>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</si>
  <si>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</si>
  <si>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</si>
  <si>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</si>
  <si>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</si>
  <si>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</si>
  <si>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</si>
  <si>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</si>
  <si>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</si>
  <si>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</si>
  <si>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</si>
  <si>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</si>
  <si>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</si>
  <si>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</si>
  <si>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</si>
  <si>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</si>
  <si>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</si>
  <si>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</si>
  <si>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</si>
  <si>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</si>
  <si>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</si>
  <si>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</si>
  <si>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</si>
  <si>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</si>
  <si>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</si>
  <si>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</si>
  <si>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</si>
  <si>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</si>
  <si>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</si>
  <si>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</si>
  <si>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</si>
  <si>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</si>
  <si>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</si>
  <si>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</si>
  <si>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</si>
  <si>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</si>
  <si>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</si>
  <si>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</si>
  <si>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</si>
  <si>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</si>
  <si>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</si>
  <si>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</si>
  <si>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</si>
  <si>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</si>
  <si>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</si>
  <si>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</si>
  <si>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</si>
  <si>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</si>
  <si>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</si>
  <si>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</si>
  <si>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</si>
  <si>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</si>
  <si>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</si>
  <si>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</si>
  <si>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</si>
  <si>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</si>
  <si>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</si>
  <si>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</si>
  <si>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</si>
  <si>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</si>
  <si>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</si>
  <si>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</si>
  <si>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</si>
  <si>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</si>
  <si>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</si>
  <si>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</si>
  <si>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</si>
  <si>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</si>
  <si>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</si>
  <si>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</si>
  <si>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</si>
  <si>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</si>
  <si>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</si>
  <si>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</si>
  <si>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</si>
  <si>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</si>
  <si>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</si>
  <si>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</si>
  <si>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</si>
  <si>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</si>
  <si>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</si>
  <si>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</si>
  <si>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</si>
  <si>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</si>
  <si>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</si>
  <si>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</si>
  <si>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</si>
  <si>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</si>
  <si>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</si>
  <si>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</si>
  <si>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</si>
  <si>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</si>
  <si>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</si>
  <si>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</si>
  <si>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</si>
  <si>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</si>
  <si>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</si>
  <si>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</si>
  <si>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</si>
  <si>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</si>
  <si>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</si>
  <si>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</si>
  <si>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</si>
  <si>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</si>
  <si>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</si>
  <si>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</si>
  <si>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</si>
  <si>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</si>
  <si>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</si>
  <si>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</si>
  <si>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</si>
  <si>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</si>
  <si>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</si>
  <si>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</si>
  <si>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</si>
  <si>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</si>
  <si>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</si>
  <si>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</si>
  <si>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</si>
  <si>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</si>
  <si>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</si>
  <si>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</si>
  <si>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</si>
  <si>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</si>
  <si>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</si>
  <si>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</si>
  <si>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</si>
  <si>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</si>
  <si>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</si>
  <si>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</si>
  <si>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</si>
  <si>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</si>
  <si>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</si>
  <si>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</si>
  <si>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</si>
  <si>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</si>
  <si>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</si>
  <si>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</si>
  <si>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</si>
  <si>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</si>
  <si>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</si>
  <si>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</si>
  <si>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</si>
  <si>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</si>
  <si>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</si>
  <si>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</si>
  <si>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</si>
  <si>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</si>
  <si>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</si>
  <si>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</si>
  <si>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</si>
  <si>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</si>
  <si>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</si>
  <si>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</si>
  <si>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</si>
  <si>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</si>
  <si>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</si>
  <si>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</si>
  <si>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</si>
  <si>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</si>
  <si>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</si>
  <si>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</si>
  <si>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</si>
  <si>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</si>
  <si>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</si>
  <si>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</si>
  <si>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</si>
  <si>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</si>
  <si>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</si>
  <si>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</si>
  <si>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</si>
  <si>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</si>
  <si>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</si>
  <si>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</si>
  <si>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</si>
  <si>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</si>
  <si>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</si>
  <si>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</si>
  <si>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</si>
  <si>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</si>
  <si>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</si>
  <si>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</si>
  <si>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</si>
  <si>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</si>
  <si>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</si>
  <si>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</si>
  <si>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</si>
  <si>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</si>
  <si>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</si>
  <si>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</si>
  <si>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</si>
  <si>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</si>
  <si>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</si>
  <si>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</si>
  <si>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</si>
  <si>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</si>
  <si>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</si>
  <si>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</si>
  <si>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</si>
  <si>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</si>
  <si>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</si>
  <si>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</si>
  <si>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</si>
  <si>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</si>
  <si>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</si>
  <si>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</si>
  <si>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</si>
  <si>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</si>
  <si>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</si>
  <si>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</si>
  <si>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</si>
  <si>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</si>
  <si>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</si>
  <si>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</si>
  <si>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</si>
  <si>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</si>
  <si>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</si>
  <si>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</si>
  <si>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</si>
  <si>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</si>
  <si>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</si>
  <si>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</si>
  <si>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</si>
  <si>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</si>
  <si>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</si>
  <si>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</si>
  <si>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</si>
  <si>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</si>
  <si>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</si>
  <si>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</si>
  <si>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</si>
  <si>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</si>
  <si>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</si>
  <si>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</si>
  <si>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</si>
  <si>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</si>
  <si>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</si>
  <si>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</si>
  <si>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</si>
  <si>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</si>
  <si>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</si>
  <si>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</si>
  <si>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</si>
  <si>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</si>
  <si>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</si>
  <si>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</si>
  <si>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</si>
  <si>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</si>
  <si>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</si>
  <si>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</si>
  <si>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</si>
  <si>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</si>
  <si>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</si>
  <si>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</si>
  <si>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</si>
  <si>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</si>
  <si>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</si>
  <si>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</si>
  <si>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</si>
  <si>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</si>
  <si>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</si>
  <si>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</si>
  <si>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</si>
  <si>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</si>
  <si>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</si>
  <si>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</si>
  <si>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</si>
  <si>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</si>
  <si>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</si>
  <si>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</si>
  <si>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</si>
  <si>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</si>
  <si>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</si>
  <si>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</si>
  <si>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</si>
  <si>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</si>
  <si>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</si>
  <si>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</si>
  <si>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</si>
  <si>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</si>
  <si>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</si>
  <si>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</si>
  <si>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</si>
  <si>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</si>
  <si>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</si>
  <si>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</si>
  <si>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</si>
  <si>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</si>
  <si>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</si>
  <si>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</si>
  <si>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</si>
  <si>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</si>
  <si>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</si>
  <si>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</si>
  <si>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</si>
  <si>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</si>
  <si>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</si>
  <si>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</si>
  <si>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</si>
  <si>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</si>
  <si>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</si>
  <si>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</si>
  <si>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</si>
  <si>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</si>
  <si>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</si>
  <si>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</si>
  <si>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</si>
  <si>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</si>
  <si>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</si>
  <si>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</si>
  <si>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</si>
  <si>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</si>
  <si>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</si>
  <si>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</si>
  <si>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</si>
  <si>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</si>
  <si>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</si>
  <si>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</si>
  <si>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</si>
  <si>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</si>
  <si>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</si>
  <si>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</si>
  <si>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</si>
  <si>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</si>
  <si>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</si>
  <si>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</si>
  <si>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</si>
  <si>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</si>
  <si>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</si>
  <si>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</si>
  <si>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</si>
  <si>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</si>
  <si>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</si>
  <si>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</si>
  <si>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</si>
  <si>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</si>
  <si>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</si>
  <si>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</si>
  <si>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</si>
  <si>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</si>
  <si>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</si>
  <si>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</si>
  <si>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</si>
  <si>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</si>
  <si>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</si>
  <si>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</si>
  <si>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</si>
  <si>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</si>
  <si>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</si>
  <si>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</si>
  <si>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</si>
  <si>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</si>
  <si>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</si>
  <si>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</si>
  <si>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</si>
  <si>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</si>
  <si>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</si>
  <si>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</si>
  <si>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</si>
  <si>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</si>
  <si>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</si>
  <si>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</si>
  <si>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</si>
  <si>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</si>
  <si>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</si>
  <si>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</si>
  <si>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</si>
  <si>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</si>
  <si>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</si>
  <si>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</si>
  <si>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</si>
  <si>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</si>
  <si>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</si>
  <si>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</si>
  <si>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</si>
  <si>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</si>
  <si>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</si>
  <si>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</si>
  <si>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</si>
  <si>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</si>
  <si>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</si>
  <si>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</si>
  <si>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</si>
  <si>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</si>
  <si>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</si>
  <si>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</si>
  <si>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</si>
  <si>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</si>
  <si>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</si>
  <si>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</si>
  <si>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</si>
  <si>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</si>
  <si>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</si>
  <si>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</si>
  <si>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</si>
  <si>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</si>
  <si>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</si>
  <si>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</si>
  <si>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</si>
  <si>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</si>
  <si>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</si>
  <si>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</si>
  <si>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</si>
  <si>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</si>
  <si>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</si>
  <si>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</si>
  <si>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</si>
  <si>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</si>
  <si>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</si>
  <si>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</si>
  <si>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</si>
  <si>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</si>
  <si>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</si>
  <si>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</si>
  <si>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</si>
  <si>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</si>
  <si>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</si>
  <si>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</si>
  <si>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</si>
  <si>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</si>
  <si>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</si>
  <si>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</si>
  <si>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</si>
  <si>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</si>
  <si>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</si>
  <si>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</si>
  <si>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</si>
  <si>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</si>
  <si>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</si>
  <si>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</si>
  <si>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</si>
  <si>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</si>
  <si>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</si>
  <si>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</si>
  <si>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</si>
  <si>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</si>
  <si>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</si>
  <si>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</si>
  <si>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</si>
  <si>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</si>
  <si>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</si>
  <si>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</si>
  <si>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</si>
  <si>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</si>
  <si>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</si>
  <si>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</si>
  <si>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</si>
  <si>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</si>
  <si>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</si>
  <si>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</si>
  <si>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</si>
  <si>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</si>
  <si>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</si>
  <si>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</si>
  <si>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</si>
  <si>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</si>
  <si>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</si>
  <si>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</si>
  <si>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</si>
  <si>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</si>
  <si>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</si>
  <si>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</si>
  <si>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</si>
  <si>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</si>
  <si>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</si>
  <si>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</si>
  <si>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</si>
  <si>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</si>
  <si>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</si>
  <si>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</si>
  <si>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</si>
  <si>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</si>
  <si>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</si>
  <si>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</si>
  <si>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</si>
  <si>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</si>
  <si>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</si>
  <si>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</si>
  <si>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</si>
  <si>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</si>
  <si>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</si>
  <si>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</si>
  <si>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</si>
  <si>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</si>
  <si>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</si>
  <si>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</si>
  <si>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</si>
  <si>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</si>
  <si>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</si>
  <si>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</si>
  <si>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</si>
  <si>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</si>
  <si>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</si>
  <si>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</si>
  <si>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</si>
  <si>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</si>
  <si>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</si>
  <si>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</si>
  <si>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</si>
  <si>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</si>
  <si>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</si>
  <si>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</si>
  <si>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</si>
  <si>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</si>
  <si>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</si>
  <si>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</si>
  <si>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</si>
  <si>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</si>
  <si>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</si>
  <si>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</si>
  <si>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</si>
  <si>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</si>
  <si>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</si>
  <si>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</si>
  <si>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</si>
  <si>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</si>
  <si>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</si>
  <si>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</si>
  <si>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</si>
  <si>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</si>
  <si>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</si>
  <si>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</si>
  <si>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</si>
  <si>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</si>
  <si>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</si>
  <si>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</si>
  <si>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</si>
  <si>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</si>
  <si>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</si>
  <si>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</si>
  <si>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</si>
  <si>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</si>
  <si>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</si>
  <si>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</si>
  <si>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</si>
  <si>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</si>
  <si>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</si>
  <si>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</si>
  <si>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</si>
  <si>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</si>
  <si>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</si>
  <si>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</si>
  <si>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</si>
  <si>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</si>
  <si>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</si>
  <si>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</si>
  <si>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</si>
  <si>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</si>
  <si>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</si>
  <si>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</si>
  <si>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</si>
  <si>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</si>
  <si>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</si>
  <si>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</si>
  <si>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</si>
  <si>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</si>
  <si>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</si>
  <si>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</si>
  <si>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</si>
  <si>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</si>
  <si>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</si>
  <si>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</si>
  <si>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</si>
  <si>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</si>
  <si>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</si>
  <si>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</si>
  <si>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</si>
  <si>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</si>
  <si>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</si>
  <si>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</si>
  <si>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</si>
  <si>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</si>
  <si>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</si>
  <si>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</si>
  <si>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</si>
  <si>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</si>
  <si>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</si>
  <si>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</si>
  <si>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</si>
  <si>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</si>
  <si>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</si>
  <si>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</si>
  <si>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</si>
  <si>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</si>
  <si>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</si>
  <si>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</si>
  <si>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</si>
  <si>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</si>
  <si>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</si>
  <si>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</si>
  <si>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</si>
  <si>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</si>
  <si>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</si>
  <si>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</si>
  <si>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</si>
  <si>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</si>
  <si>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</si>
  <si>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</si>
  <si>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</si>
  <si>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</si>
  <si>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</si>
  <si>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</si>
  <si>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</si>
  <si>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</si>
  <si>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</si>
  <si>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</si>
  <si>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</si>
  <si>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</si>
  <si>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</si>
  <si>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</si>
  <si>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</si>
  <si>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</si>
  <si>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</si>
  <si>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</si>
  <si>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</si>
  <si>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</si>
  <si>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</si>
  <si>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</si>
  <si>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</si>
  <si>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</si>
  <si>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</si>
  <si>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</si>
  <si>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</si>
  <si>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</si>
  <si>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</si>
  <si>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</si>
  <si>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</si>
  <si>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</si>
  <si>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</si>
  <si>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</si>
  <si>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</si>
  <si>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</si>
  <si>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</si>
  <si>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</si>
  <si>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</si>
  <si>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</si>
  <si>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</si>
  <si>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</si>
  <si>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</si>
  <si>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</si>
  <si>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</si>
  <si>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</si>
  <si>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</si>
  <si>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</si>
  <si>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</si>
  <si>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</si>
  <si>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</si>
  <si>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</si>
  <si>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</si>
  <si>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</si>
  <si>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</si>
  <si>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</si>
  <si>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</si>
  <si>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</si>
  <si>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</si>
  <si>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</si>
  <si>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</si>
  <si>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</si>
  <si>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</si>
  <si>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</si>
  <si>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</si>
  <si>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</si>
  <si>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</si>
  <si>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</si>
  <si>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</si>
  <si>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</si>
  <si>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</si>
  <si>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</si>
  <si>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</si>
  <si>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</si>
  <si>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</si>
  <si>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</si>
  <si>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</si>
  <si>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</si>
  <si>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</si>
  <si>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</si>
  <si>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</si>
  <si>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</si>
  <si>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</si>
  <si>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</si>
  <si>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</si>
  <si>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</si>
  <si>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</si>
  <si>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</si>
  <si>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</si>
  <si>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</si>
  <si>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</si>
  <si>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</si>
  <si>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</si>
  <si>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</si>
  <si>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</si>
  <si>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</si>
  <si>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</si>
  <si>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</si>
  <si>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</si>
  <si>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</si>
  <si>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</si>
  <si>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</si>
  <si>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</si>
  <si>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</si>
  <si>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</si>
  <si>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</si>
  <si>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</si>
  <si>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</si>
  <si>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</si>
  <si>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</si>
  <si>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</si>
  <si>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</si>
  <si>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</si>
  <si>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</si>
  <si>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</si>
  <si>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</si>
  <si>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</si>
  <si>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</si>
  <si>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</si>
  <si>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</si>
  <si>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</si>
  <si>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</si>
  <si>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</si>
  <si>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</si>
  <si>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</si>
  <si>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</si>
  <si>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</si>
  <si>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</si>
  <si>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</si>
  <si>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</si>
  <si>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</si>
  <si>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</si>
  <si>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</si>
  <si>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</si>
  <si>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</si>
  <si>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</si>
  <si>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</si>
  <si>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</si>
  <si>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</si>
  <si>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</si>
  <si>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</si>
  <si>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</si>
  <si>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</si>
  <si>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</si>
  <si>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</si>
  <si>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</si>
  <si>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</si>
  <si>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</si>
  <si>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</si>
  <si>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</si>
  <si>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</si>
  <si>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</si>
  <si>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</si>
  <si>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</si>
  <si>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</si>
  <si>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</si>
  <si>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</si>
  <si>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</si>
  <si>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</si>
  <si>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</si>
  <si>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</si>
  <si>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</si>
  <si>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</si>
  <si>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</si>
  <si>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</si>
  <si>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</si>
  <si>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</si>
  <si>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</si>
  <si>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</si>
  <si>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</si>
  <si>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</si>
  <si>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</si>
  <si>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</si>
  <si>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</si>
  <si>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</si>
  <si>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</si>
  <si>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</si>
  <si>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</si>
  <si>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</si>
  <si>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</si>
  <si>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</si>
  <si>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</si>
  <si>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</si>
  <si>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</si>
  <si>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</si>
  <si>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</si>
  <si>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</si>
  <si>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</si>
  <si>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</si>
  <si>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</si>
  <si>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</si>
  <si>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</si>
  <si>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</si>
  <si>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</si>
  <si>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</si>
  <si>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</si>
  <si>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</si>
  <si>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</si>
  <si>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</si>
  <si>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</si>
  <si>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</si>
  <si>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</si>
  <si>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</si>
  <si>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</si>
  <si>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</si>
  <si>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</si>
  <si>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</si>
  <si>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</si>
  <si>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</si>
  <si>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</si>
  <si>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</si>
  <si>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</si>
  <si>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</si>
  <si>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</si>
  <si>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</si>
  <si>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</si>
  <si>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</si>
  <si>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</si>
  <si>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</si>
  <si>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</si>
  <si>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</si>
  <si>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</si>
  <si>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</si>
  <si>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</si>
  <si>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</si>
  <si>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</si>
  <si>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</si>
  <si>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</si>
  <si>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</si>
  <si>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</si>
  <si>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</si>
  <si>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</si>
  <si>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</si>
  <si>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</si>
  <si>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</si>
  <si>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</si>
  <si>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</si>
  <si>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</si>
  <si>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</si>
  <si>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</si>
  <si>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</si>
  <si>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</si>
  <si>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</si>
  <si>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</si>
  <si>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</si>
  <si>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</si>
  <si>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</si>
  <si>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</si>
  <si>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</si>
  <si>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</si>
  <si>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</si>
  <si>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</si>
  <si>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</si>
  <si>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</si>
  <si>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</si>
  <si>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</si>
  <si>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</si>
  <si>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</si>
  <si>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</si>
  <si>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</si>
  <si>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</si>
  <si>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</si>
  <si>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</si>
  <si>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</si>
  <si>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</si>
  <si>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</si>
  <si>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</si>
  <si>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</si>
  <si>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</si>
  <si>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</si>
  <si>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</si>
  <si>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</si>
  <si>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</si>
  <si>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</si>
  <si>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</si>
  <si>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</si>
  <si>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</si>
  <si>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</si>
  <si>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</si>
  <si>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</si>
  <si>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</si>
  <si>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</si>
  <si>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</si>
  <si>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</si>
  <si>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</si>
  <si>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</si>
  <si>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</si>
  <si>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</si>
  <si>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</si>
  <si>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</si>
  <si>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</si>
  <si>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</si>
  <si>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</si>
  <si>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</si>
  <si>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</si>
  <si>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</si>
  <si>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</si>
  <si>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</si>
  <si>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</si>
  <si>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</si>
  <si>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</si>
  <si>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</si>
  <si>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</si>
  <si>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</si>
  <si>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</si>
  <si>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</si>
  <si>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</si>
  <si>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</si>
  <si>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</si>
  <si>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</si>
  <si>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</si>
  <si>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</si>
  <si>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</si>
  <si>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</si>
  <si>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</si>
  <si>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</si>
  <si>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</si>
  <si>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</si>
  <si>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</si>
  <si>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</si>
  <si>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</si>
  <si>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</si>
  <si>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</si>
  <si>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</si>
  <si>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</si>
  <si>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</si>
  <si>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</si>
  <si>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</si>
  <si>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</si>
  <si>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</si>
  <si>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</si>
  <si>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</si>
  <si>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</si>
  <si>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</si>
  <si>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</si>
  <si>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</si>
  <si>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</si>
  <si>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</si>
  <si>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</si>
  <si>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</si>
  <si>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</si>
  <si>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</si>
  <si>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</si>
  <si>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</si>
  <si>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</si>
  <si>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</si>
  <si>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</si>
  <si>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</si>
  <si>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</si>
  <si>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</si>
  <si>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</si>
  <si>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</si>
  <si>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</si>
  <si>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</si>
  <si>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</si>
  <si>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</si>
  <si>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</si>
  <si>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</si>
  <si>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</si>
  <si>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</si>
  <si>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</si>
  <si>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</si>
  <si>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</si>
  <si>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</si>
  <si>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</si>
  <si>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</si>
  <si>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</si>
  <si>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</si>
  <si>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</si>
  <si>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</si>
  <si>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</si>
  <si>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</si>
  <si>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</si>
  <si>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</si>
  <si>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</si>
  <si>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</si>
  <si>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</si>
  <si>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</si>
  <si>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</si>
  <si>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</si>
  <si>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</si>
  <si>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</si>
  <si>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</si>
  <si>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</si>
  <si>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</si>
  <si>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</si>
  <si>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</si>
  <si>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</si>
  <si>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</si>
  <si>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</si>
  <si>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</si>
  <si>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</si>
  <si>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</si>
  <si>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</si>
  <si>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</si>
  <si>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</si>
  <si>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</si>
  <si>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</si>
  <si>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</si>
  <si>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</si>
  <si>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</si>
  <si>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</si>
  <si>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</si>
  <si>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</si>
  <si>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</si>
  <si>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</si>
  <si>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</si>
  <si>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</si>
  <si>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</si>
  <si>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</si>
  <si>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</si>
  <si>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</si>
  <si>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</si>
  <si>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</si>
  <si>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</si>
  <si>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</si>
  <si>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</si>
  <si>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</si>
  <si>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</si>
  <si>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</si>
  <si>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</si>
  <si>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</si>
  <si>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</si>
  <si>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</si>
  <si>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</si>
  <si>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</si>
  <si>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</si>
  <si>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</si>
  <si>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</si>
  <si>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</si>
  <si>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</si>
  <si>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</si>
  <si>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</si>
  <si>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</si>
  <si>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</si>
  <si>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</si>
  <si>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</si>
  <si>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</si>
  <si>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</si>
  <si>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</si>
  <si>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</si>
  <si>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</si>
  <si>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</si>
  <si>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</si>
  <si>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</si>
  <si>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</si>
  <si>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</si>
  <si>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</si>
  <si>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</si>
  <si>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</si>
  <si>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</si>
  <si>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</si>
  <si>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</si>
  <si>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</si>
  <si>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</si>
  <si>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</si>
  <si>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</si>
  <si>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</si>
  <si>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</si>
  <si>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</si>
  <si>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</si>
  <si>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</si>
  <si>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</si>
  <si>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</si>
  <si>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</si>
  <si>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</si>
  <si>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</si>
  <si>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</si>
  <si>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</si>
  <si>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</si>
  <si>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</si>
  <si>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</si>
  <si>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</si>
  <si>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</si>
  <si>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</si>
  <si>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</si>
  <si>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</si>
  <si>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</si>
  <si>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</si>
  <si>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</si>
  <si>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</si>
  <si>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</si>
  <si>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</si>
  <si>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</si>
  <si>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</si>
  <si>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</si>
  <si>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</si>
  <si>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</si>
  <si>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</si>
  <si>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</si>
  <si>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</si>
  <si>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</si>
  <si>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</si>
  <si>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</si>
  <si>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</si>
  <si>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</si>
  <si>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</si>
  <si>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</si>
  <si>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</si>
  <si>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</si>
  <si>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</si>
  <si>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</si>
  <si>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</si>
  <si>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</si>
  <si>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</si>
  <si>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</si>
  <si>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</si>
  <si>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</si>
  <si>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</si>
  <si>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</si>
  <si>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</si>
  <si>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</si>
  <si>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</si>
  <si>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</si>
  <si>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</si>
  <si>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</si>
  <si>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</si>
  <si>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</si>
  <si>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</si>
  <si>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</si>
  <si>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</si>
  <si>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</si>
  <si>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</si>
  <si>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</si>
  <si>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</si>
  <si>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</si>
  <si>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</si>
  <si>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</si>
  <si>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</si>
  <si>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</si>
  <si>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</si>
  <si>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</si>
  <si>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</si>
  <si>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</si>
  <si>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</si>
  <si>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</si>
  <si>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</si>
  <si>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</si>
  <si>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</si>
  <si>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</si>
  <si>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</si>
  <si>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</si>
  <si>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</si>
  <si>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</si>
  <si>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</si>
  <si>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</si>
  <si>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</si>
  <si>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</si>
  <si>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</si>
  <si>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</si>
  <si>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</si>
  <si>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</si>
  <si>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</si>
  <si>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</si>
  <si>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</si>
  <si>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</si>
  <si>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</si>
  <si>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</si>
  <si>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</si>
  <si>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</si>
  <si>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</si>
  <si>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</si>
  <si>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</si>
  <si>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</si>
  <si>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</si>
  <si>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</si>
  <si>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</si>
  <si>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</si>
  <si>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</si>
  <si>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</si>
  <si>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</si>
  <si>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</si>
  <si>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</si>
  <si>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</si>
  <si>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</si>
  <si>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</si>
  <si>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</si>
  <si>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P.O. BOX 130</t>
  </si>
  <si>
    <t>IRVINGTON</t>
  </si>
  <si>
    <t>SCHEFFEL BOYLE</t>
  </si>
  <si>
    <t>222 EAST MAIN STREET</t>
  </si>
  <si>
    <t>BELLEVILLE</t>
  </si>
  <si>
    <t>618-277-8100</t>
  </si>
  <si>
    <t>618-277-9307</t>
  </si>
  <si>
    <t>IL</t>
  </si>
  <si>
    <t>brian.otten@scheffelboyle.com</t>
  </si>
  <si>
    <t>Kaskaskia Special Education District</t>
  </si>
  <si>
    <t>Egyptian Trust</t>
  </si>
  <si>
    <t>WASHINGTON</t>
  </si>
  <si>
    <t xml:space="preserve">BRIAN A. OTTEN, CPA </t>
  </si>
  <si>
    <t>dschulte@irvingtongradeschool.com</t>
  </si>
  <si>
    <t>dsculte@irvingtongradeschool.com</t>
  </si>
  <si>
    <t>618-249-6439</t>
  </si>
  <si>
    <t>618-249-6440</t>
  </si>
  <si>
    <t>065-023476</t>
  </si>
  <si>
    <t>Ron Daniels</t>
  </si>
  <si>
    <t>rdaniels@roe13.org</t>
  </si>
  <si>
    <t>618-244-8040</t>
  </si>
  <si>
    <t>618-241-7868</t>
  </si>
  <si>
    <t>Page #</t>
  </si>
  <si>
    <t xml:space="preserve">Fund </t>
  </si>
  <si>
    <t>Miscellaneous Receipts &amp; Reimbursements</t>
  </si>
  <si>
    <t>Miscellaneous Expenses</t>
  </si>
  <si>
    <t>Graduation supplies</t>
  </si>
  <si>
    <t>Miscellaneous Purchases</t>
  </si>
  <si>
    <t>Rural Education Achievement Program Grant</t>
  </si>
  <si>
    <t>DAVID SCHULTE</t>
  </si>
  <si>
    <t>Management plans to study the cost versus benefit of providing the necessary education and training to staff in order to prepare the financial statements in accordance with another comprehensive basis of accounting.</t>
  </si>
  <si>
    <t>ED-Instruction-Purchased Services</t>
  </si>
  <si>
    <t>10-1000-300</t>
  </si>
  <si>
    <t>10-2540-300</t>
  </si>
  <si>
    <t>ED-Oper. &amp; Maint. Plant Svcs-Purchased Services</t>
  </si>
  <si>
    <t>Clearwave Communications</t>
  </si>
  <si>
    <t>ED-General Admin-Purchased Services</t>
  </si>
  <si>
    <t>10-2300-300</t>
  </si>
  <si>
    <t>Moore &amp; Simonin, PC</t>
  </si>
  <si>
    <t>Office Equip US Bank</t>
  </si>
  <si>
    <t>Rend Lake College</t>
  </si>
  <si>
    <t>The Illinois Compiled Statutes, Chaper 105, Section 5. Paragraph 17-1, requires that total expenditures and transfers not exceed the budgeted expenditures and transfers for any fund.</t>
  </si>
  <si>
    <t>The approved budget sets the authorized expenditure limitation for each fund.</t>
  </si>
  <si>
    <t>Actual expenditures exceed budget.</t>
  </si>
  <si>
    <t>The Board of Education is approving expenditures without adequately monitoring budget to actual comparisons.</t>
  </si>
  <si>
    <t>In the future, when budget constraints cannot be met, an amended budget should be filed.</t>
  </si>
  <si>
    <t>The District will monitor actual expenditures compared to budget and file budget amendments when warranted.</t>
  </si>
  <si>
    <t>2018-001</t>
  </si>
  <si>
    <t>Unresolved - See Finding 2019-001</t>
  </si>
  <si>
    <t>Lack of expertise to prepare financial statements</t>
  </si>
  <si>
    <t>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t>
  </si>
  <si>
    <t>The District has historically not retained an individual to specifically monitor standards promulgated by the American Institute of Certified Public Accountants as they relate to full disclosure financial reporting.</t>
  </si>
  <si>
    <t>The District should review the additional cost it would incur to prepare the financial statements internally with the corresponding reduction of risk associated with material misstatement of the District's financial statements.</t>
  </si>
  <si>
    <t xml:space="preserve">Management has allowed expenditures and/or transfers to exceed amounts budgeted for the following funds: Education ($2,023), Operations &amp; Maintenance ($7,006), Transportation ($8,851), Municipal Retirement/Social Security ($113), and Fire Prevention &amp; Life Safety ($1,567).
                                                                    </t>
  </si>
  <si>
    <t>In accordance with prescribed definitions in AU-C 265, it is strong indication of a weakness in internal control if an entity lacks sufficient controls over the period-end financial reporting process. The standard provides guidance regarding the extent to which the auditor may be involved in drafting an annuity's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</si>
  <si>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</si>
  <si>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t>
  </si>
  <si>
    <t>Irvington CCSD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</si>
</sst>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0" applyFont="1" applyAlignment="1">
      <alignment horizontal="center"/>
    </xf>
    <xf numFmtId="0" fontId="56" fillId="0" borderId="78" xfId="0" applyFont="1" applyBorder="1" applyAlignment="1">
      <alignment horizontal="center"/>
    </xf>
    <xf numFmtId="181" fontId="56" fillId="0" borderId="0" xfId="1" applyNumberFormat="1" applyFont="1" applyAlignment="1">
      <alignment horizontal="center"/>
    </xf>
    <xf numFmtId="182" fontId="56" fillId="0" borderId="0" xfId="19" applyNumberFormat="1" applyFont="1" applyAlignment="1">
      <alignment horizontal="center"/>
    </xf>
    <xf numFmtId="182" fontId="56" fillId="0" borderId="165" xfId="19" applyNumberFormat="1" applyFont="1" applyBorder="1" applyAlignment="1">
      <alignment horizontal="center"/>
    </xf>
    <xf numFmtId="182" fontId="56" fillId="0" borderId="0" xfId="19" applyNumberFormat="1" applyFont="1" applyBorder="1" applyAlignment="1">
      <alignment horizont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838200</xdr:colOff>
          <xdr:row>5</xdr:row>
          <xdr:rowOff>85725</xdr:rowOff>
        </xdr:from>
        <xdr:to>
          <xdr:col>1</xdr:col>
          <xdr:colOff>1752600</xdr:colOff>
          <xdr:row>9</xdr:row>
          <xdr:rowOff>123825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476BBBA-FFA0-4F1D-A61F-0E5194406EC1}"/>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4A4A31D-664E-4CA2-9C2E-995E894D57F2}"/>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9" t="s">
        <v>405</v>
      </c>
      <c r="J1" s="1990"/>
      <c r="K1" s="1990"/>
      <c r="L1" s="1990"/>
      <c r="M1" s="1990"/>
      <c r="N1" s="1990"/>
      <c r="O1" s="1990"/>
      <c r="P1" s="1990"/>
      <c r="Q1" s="1990"/>
      <c r="R1" s="1990"/>
      <c r="S1" s="1990"/>
    </row>
    <row r="2" spans="1:28" ht="12" customHeight="1" x14ac:dyDescent="0.2">
      <c r="A2" s="47" t="s">
        <v>1993</v>
      </c>
      <c r="D2" s="48"/>
      <c r="I2" s="1991" t="s">
        <v>979</v>
      </c>
      <c r="J2" s="1990"/>
      <c r="K2" s="1990"/>
      <c r="L2" s="1990"/>
      <c r="M2" s="1990"/>
      <c r="N2" s="1990"/>
      <c r="O2" s="1990"/>
      <c r="P2" s="1990"/>
      <c r="Q2" s="1990"/>
      <c r="R2" s="1990"/>
      <c r="S2" s="1990"/>
    </row>
    <row r="3" spans="1:28" ht="12" customHeight="1" x14ac:dyDescent="0.2">
      <c r="A3" s="155" t="s">
        <v>1945</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2064</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2064</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13095011004</v>
      </c>
      <c r="B13" s="2025"/>
      <c r="C13" s="2025"/>
      <c r="D13" s="2025"/>
      <c r="E13" s="2025"/>
      <c r="F13" s="2025"/>
      <c r="G13" s="2025"/>
      <c r="H13" s="2026"/>
      <c r="I13" s="31"/>
      <c r="J13" s="30"/>
      <c r="K13" s="28"/>
      <c r="L13" s="30"/>
      <c r="M13" s="30"/>
      <c r="N13" s="30"/>
      <c r="O13" s="30"/>
      <c r="P13" s="30"/>
      <c r="Q13" s="30"/>
      <c r="R13" s="30"/>
      <c r="S13" s="30"/>
      <c r="T13" s="2029" t="s">
        <v>2067</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2076</v>
      </c>
      <c r="B15" s="2027"/>
      <c r="C15" s="2027"/>
      <c r="D15" s="2027"/>
      <c r="E15" s="2027"/>
      <c r="F15" s="2027"/>
      <c r="G15" s="2027"/>
      <c r="H15" s="2028"/>
      <c r="T15" s="2033" t="s">
        <v>2077</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2122</v>
      </c>
      <c r="B17" s="1984"/>
      <c r="C17" s="1984"/>
      <c r="D17" s="1984"/>
      <c r="E17" s="1984"/>
      <c r="F17" s="1984"/>
      <c r="G17" s="1984"/>
      <c r="H17" s="2009"/>
      <c r="T17" s="2040" t="s">
        <v>2068</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2065</v>
      </c>
      <c r="B19" s="1969"/>
      <c r="C19" s="1969"/>
      <c r="D19" s="1969"/>
      <c r="E19" s="1969"/>
      <c r="F19" s="1969"/>
      <c r="G19" s="1969"/>
      <c r="H19" s="1949"/>
      <c r="I19" s="30"/>
      <c r="J19" s="99"/>
      <c r="K19" s="40"/>
      <c r="L19" s="38"/>
      <c r="M19" s="112" t="s">
        <v>315</v>
      </c>
      <c r="P19" s="27"/>
      <c r="Q19" s="27"/>
      <c r="R19" s="27"/>
      <c r="S19" s="31"/>
      <c r="T19" s="2023" t="s">
        <v>2069</v>
      </c>
      <c r="U19" s="1948"/>
      <c r="V19" s="1948"/>
      <c r="W19" s="1949"/>
      <c r="X19" s="2038" t="s">
        <v>2072</v>
      </c>
      <c r="Y19" s="2039"/>
      <c r="Z19" s="2036">
        <v>62220</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2066</v>
      </c>
      <c r="B21" s="1948"/>
      <c r="C21" s="1948"/>
      <c r="D21" s="1948"/>
      <c r="E21" s="1948"/>
      <c r="F21" s="1948"/>
      <c r="G21" s="1948"/>
      <c r="H21" s="1949"/>
      <c r="I21" s="2003" t="s">
        <v>678</v>
      </c>
      <c r="J21" s="1998"/>
      <c r="K21" s="1998"/>
      <c r="L21" s="1998"/>
      <c r="M21" s="1998"/>
      <c r="N21" s="1998"/>
      <c r="O21" s="1998"/>
      <c r="P21" s="1998"/>
      <c r="Q21" s="1998"/>
      <c r="R21" s="1998"/>
      <c r="S21" s="2004"/>
      <c r="T21" s="2047" t="s">
        <v>2070</v>
      </c>
      <c r="U21" s="2048"/>
      <c r="V21" s="2048"/>
      <c r="W21" s="2048"/>
      <c r="X21" s="2053" t="s">
        <v>2071</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t="s">
        <v>2078</v>
      </c>
      <c r="B23" s="2001"/>
      <c r="C23" s="2001"/>
      <c r="D23" s="2001"/>
      <c r="E23" s="2001"/>
      <c r="F23" s="2001"/>
      <c r="G23" s="2001"/>
      <c r="H23" s="2002"/>
      <c r="T23" s="1983" t="s">
        <v>2082</v>
      </c>
      <c r="U23" s="2046"/>
      <c r="V23" s="2046"/>
      <c r="W23" s="2046"/>
      <c r="X23" s="2050">
        <v>44469</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62848</v>
      </c>
      <c r="B25" s="1948"/>
      <c r="C25" s="1948"/>
      <c r="D25" s="1948"/>
      <c r="E25" s="1948"/>
      <c r="F25" s="1948"/>
      <c r="G25" s="1948"/>
      <c r="H25" s="1949"/>
      <c r="I25" s="113"/>
      <c r="J25" s="1972"/>
      <c r="K25" s="1972"/>
      <c r="L25" s="1972"/>
      <c r="M25" s="1972"/>
      <c r="N25" s="1972"/>
      <c r="O25" s="1972"/>
      <c r="P25" s="1972"/>
      <c r="Q25" s="1972"/>
      <c r="R25" s="1972"/>
      <c r="S25" s="1973"/>
      <c r="T25" s="2043" t="s">
        <v>2073</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2094</v>
      </c>
      <c r="B38" s="1984"/>
      <c r="C38" s="1984"/>
      <c r="D38" s="1984"/>
      <c r="E38" s="1984"/>
      <c r="F38" s="1948"/>
      <c r="G38" s="1948"/>
      <c r="H38" s="1949"/>
      <c r="I38" s="1976"/>
      <c r="J38" s="1977"/>
      <c r="K38" s="1977"/>
      <c r="L38" s="1977"/>
      <c r="M38" s="1977"/>
      <c r="N38" s="1977"/>
      <c r="O38" s="1977"/>
      <c r="P38" s="1978"/>
      <c r="Q38" s="1978"/>
      <c r="R38" s="1978"/>
      <c r="S38" s="1979"/>
      <c r="T38" s="2033" t="s">
        <v>2083</v>
      </c>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2079</v>
      </c>
      <c r="B40" s="1962"/>
      <c r="C40" s="1963"/>
      <c r="D40" s="1963"/>
      <c r="E40" s="1963"/>
      <c r="F40" s="1964"/>
      <c r="G40" s="1964"/>
      <c r="H40" s="1965"/>
      <c r="I40" s="1986"/>
      <c r="J40" s="1987"/>
      <c r="K40" s="1987"/>
      <c r="L40" s="1987"/>
      <c r="M40" s="1987"/>
      <c r="N40" s="1987"/>
      <c r="O40" s="1987"/>
      <c r="P40" s="1987"/>
      <c r="Q40" s="1987"/>
      <c r="R40" s="1987"/>
      <c r="S40" s="1988"/>
      <c r="T40" s="1986" t="s">
        <v>2084</v>
      </c>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2080</v>
      </c>
      <c r="B42" s="1967"/>
      <c r="C42" s="1968"/>
      <c r="D42" s="1966" t="s">
        <v>2081</v>
      </c>
      <c r="E42" s="1967"/>
      <c r="F42" s="1967"/>
      <c r="G42" s="1967"/>
      <c r="H42" s="1968"/>
      <c r="I42" s="1950"/>
      <c r="J42" s="1951"/>
      <c r="K42" s="1951"/>
      <c r="L42" s="1951"/>
      <c r="M42" s="1951"/>
      <c r="N42" s="1951"/>
      <c r="O42" s="1952"/>
      <c r="P42" s="1985"/>
      <c r="Q42" s="1951"/>
      <c r="R42" s="1951"/>
      <c r="S42" s="1952"/>
      <c r="T42" s="1950" t="s">
        <v>2085</v>
      </c>
      <c r="U42" s="1951"/>
      <c r="V42" s="1951"/>
      <c r="W42" s="1952"/>
      <c r="X42" s="1985" t="s">
        <v>2086</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J39" sqref="J3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1802</v>
      </c>
      <c r="B2" s="1528" t="s">
        <v>1951</v>
      </c>
      <c r="C2" s="714" t="s">
        <v>1952</v>
      </c>
      <c r="D2" s="714" t="s">
        <v>1953</v>
      </c>
      <c r="E2" s="714" t="s">
        <v>1954</v>
      </c>
      <c r="F2" s="714" t="s">
        <v>1955</v>
      </c>
    </row>
    <row r="3" spans="1:6" ht="12" customHeight="1" x14ac:dyDescent="0.2">
      <c r="A3" s="2190"/>
      <c r="B3" s="1525"/>
      <c r="C3" s="1526"/>
      <c r="D3" s="1527" t="s">
        <v>256</v>
      </c>
      <c r="E3" s="1526"/>
      <c r="F3" s="1527" t="s">
        <v>257</v>
      </c>
    </row>
    <row r="4" spans="1:6" ht="13.7" customHeight="1" x14ac:dyDescent="0.2">
      <c r="A4" s="715" t="s">
        <v>1155</v>
      </c>
      <c r="B4" s="1749">
        <f>'Revenues 9-14'!C5</f>
        <v>296298</v>
      </c>
      <c r="C4" s="1524"/>
      <c r="D4" s="1752">
        <f>B4-C4</f>
        <v>296298</v>
      </c>
      <c r="E4" s="1524">
        <v>303304</v>
      </c>
      <c r="F4" s="1752">
        <f>E4-C4</f>
        <v>303304</v>
      </c>
    </row>
    <row r="5" spans="1:6" ht="13.7" customHeight="1" x14ac:dyDescent="0.2">
      <c r="A5" s="715" t="s">
        <v>870</v>
      </c>
      <c r="B5" s="1750">
        <f>'Revenues 9-14'!D5</f>
        <v>36527</v>
      </c>
      <c r="C5" s="585"/>
      <c r="D5" s="1753">
        <f t="shared" ref="D5:D18" si="0">B5-C5</f>
        <v>36527</v>
      </c>
      <c r="E5" s="585">
        <v>37053</v>
      </c>
      <c r="F5" s="1753">
        <f>E5-C5</f>
        <v>37053</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14869</v>
      </c>
      <c r="C7" s="585"/>
      <c r="D7" s="1753">
        <f t="shared" si="0"/>
        <v>14869</v>
      </c>
      <c r="E7" s="585">
        <v>15219</v>
      </c>
      <c r="F7" s="1753">
        <f t="shared" si="1"/>
        <v>15219</v>
      </c>
    </row>
    <row r="8" spans="1:6" ht="13.7" customHeight="1" x14ac:dyDescent="0.2">
      <c r="A8" s="715" t="s">
        <v>1179</v>
      </c>
      <c r="B8" s="1750">
        <f>'Revenues 9-14'!G5</f>
        <v>3680</v>
      </c>
      <c r="C8" s="585"/>
      <c r="D8" s="1753">
        <f t="shared" si="0"/>
        <v>3680</v>
      </c>
      <c r="E8" s="585">
        <v>5774</v>
      </c>
      <c r="F8" s="1753">
        <f t="shared" si="1"/>
        <v>5774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3932</v>
      </c>
      <c r="C10" s="585"/>
      <c r="D10" s="1753">
        <f t="shared" si="0"/>
        <v>3932</v>
      </c>
      <c r="E10" s="585">
        <v>4025</v>
      </c>
      <c r="F10" s="1753">
        <f t="shared" si="1"/>
        <v>4025</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5719</v>
      </c>
      <c r="C12" s="585"/>
      <c r="D12" s="1753">
        <f t="shared" si="0"/>
        <v>5719</v>
      </c>
      <c r="E12" s="585">
        <v>5855</v>
      </c>
      <c r="F12" s="1753">
        <f t="shared" si="1"/>
        <v>5855</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8579</v>
      </c>
      <c r="C14" s="585"/>
      <c r="D14" s="1753">
        <f t="shared" si="0"/>
        <v>8579</v>
      </c>
      <c r="E14" s="585">
        <v>8781</v>
      </c>
      <c r="F14" s="1753">
        <f t="shared" si="1"/>
        <v>8781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3680</v>
      </c>
      <c r="C16" s="585"/>
      <c r="D16" s="1753">
        <f t="shared" si="0"/>
        <v>3680</v>
      </c>
      <c r="E16" s="585">
        <v>5774</v>
      </c>
      <c r="F16" s="1753">
        <f t="shared" si="1"/>
        <v>5774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373284</v>
      </c>
      <c r="C19" s="1751">
        <f>SUM(C4:C18)</f>
        <v>0</v>
      </c>
      <c r="D19" s="1751">
        <f>SUM(D4:D18)</f>
        <v>373284</v>
      </c>
      <c r="E19" s="1751">
        <f>SUM(E4:E18)</f>
        <v>385785</v>
      </c>
      <c r="F19" s="1751">
        <f>SUM(F4:F18)</f>
        <v>385785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9" sqref="J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1802</v>
      </c>
      <c r="B2" s="2217"/>
      <c r="C2" s="1884" t="s">
        <v>1956</v>
      </c>
      <c r="D2" s="723" t="s">
        <v>1957</v>
      </c>
      <c r="E2" s="723" t="s">
        <v>1958</v>
      </c>
      <c r="F2" s="1884" t="s">
        <v>1959</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5">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2" t="s">
        <v>631</v>
      </c>
      <c r="B15" s="2203"/>
      <c r="C15" s="1755">
        <f>SUM(C6:C14)</f>
        <v>0</v>
      </c>
      <c r="D15" s="1755">
        <f>SUM(D6:D14)</f>
        <v>0</v>
      </c>
      <c r="E15" s="1755">
        <f>SUM(E6:E14)</f>
        <v>0</v>
      </c>
      <c r="F15" s="1755">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5">
        <f>SUM(C17+D17)-E17</f>
        <v>0</v>
      </c>
    </row>
    <row r="18" spans="1:11" ht="12.75" customHeight="1" thickTop="1" thickBot="1" x14ac:dyDescent="0.25">
      <c r="A18" s="2197" t="s">
        <v>6</v>
      </c>
      <c r="B18" s="2198"/>
      <c r="C18" s="726"/>
      <c r="D18" s="585"/>
      <c r="E18" s="726"/>
      <c r="F18" s="1755">
        <f>SUM(C18+D18)-E18</f>
        <v>0</v>
      </c>
    </row>
    <row r="19" spans="1:11" ht="12.75" customHeight="1" thickTop="1" thickBot="1" x14ac:dyDescent="0.25">
      <c r="A19" s="2197" t="s">
        <v>388</v>
      </c>
      <c r="B19" s="2198"/>
      <c r="C19" s="726"/>
      <c r="D19" s="585"/>
      <c r="E19" s="726"/>
      <c r="F19" s="1755">
        <f>SUM(C19+D19)-E19</f>
        <v>0</v>
      </c>
    </row>
    <row r="20" spans="1:11" ht="12.75" customHeight="1" thickTop="1" thickBot="1" x14ac:dyDescent="0.25">
      <c r="A20" s="2197" t="s">
        <v>448</v>
      </c>
      <c r="B20" s="2198"/>
      <c r="C20" s="726"/>
      <c r="D20" s="585"/>
      <c r="E20" s="726"/>
      <c r="F20" s="1755">
        <f>SUM(C20+D20)-E20</f>
        <v>0</v>
      </c>
    </row>
    <row r="21" spans="1:11" ht="14.25" thickTop="1" thickBot="1" x14ac:dyDescent="0.25">
      <c r="A21" s="2202" t="s">
        <v>632</v>
      </c>
      <c r="B21" s="2203"/>
      <c r="C21" s="1755">
        <f>SUM(C17:C20)</f>
        <v>0</v>
      </c>
      <c r="D21" s="1755">
        <f>SUM(D17:D20)</f>
        <v>0</v>
      </c>
      <c r="E21" s="1755">
        <f>SUM(E17:E20)</f>
        <v>0</v>
      </c>
      <c r="F21" s="1755">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5">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5">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5">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c r="G52" s="2194"/>
      <c r="H52" s="736"/>
      <c r="I52" s="736"/>
      <c r="J52" s="746"/>
    </row>
    <row r="53" spans="1:11" ht="11.25" customHeight="1" x14ac:dyDescent="0.2">
      <c r="A53" s="750" t="s">
        <v>913</v>
      </c>
      <c r="B53" s="751" t="s">
        <v>951</v>
      </c>
      <c r="C53" s="746"/>
      <c r="D53" s="737"/>
      <c r="E53" s="749" t="s">
        <v>497</v>
      </c>
      <c r="F53" s="2195"/>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J39" sqref="J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30"/>
      <c r="I1" s="760"/>
      <c r="J1" s="433"/>
    </row>
    <row r="2" spans="1:11" ht="26.25" x14ac:dyDescent="0.2">
      <c r="A2" s="2239" t="s">
        <v>1677</v>
      </c>
      <c r="B2" s="2240"/>
      <c r="C2" s="2240"/>
      <c r="D2" s="2240"/>
      <c r="E2" s="2241"/>
      <c r="F2" s="761" t="s">
        <v>904</v>
      </c>
      <c r="G2" s="762" t="s">
        <v>1674</v>
      </c>
      <c r="H2" s="762" t="s">
        <v>410</v>
      </c>
      <c r="I2" s="762" t="s">
        <v>1158</v>
      </c>
      <c r="J2" s="762" t="s">
        <v>1812</v>
      </c>
      <c r="K2" s="762" t="s">
        <v>138</v>
      </c>
    </row>
    <row r="3" spans="1:11" x14ac:dyDescent="0.2">
      <c r="A3" s="2242" t="s">
        <v>1964</v>
      </c>
      <c r="B3" s="2243"/>
      <c r="C3" s="2243"/>
      <c r="D3" s="2243"/>
      <c r="E3" s="2244"/>
      <c r="F3" s="763"/>
      <c r="G3" s="764"/>
      <c r="H3" s="764"/>
      <c r="I3" s="764"/>
      <c r="J3" s="765"/>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8579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3" t="s">
        <v>1813</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7"/>
      <c r="G12" s="1758">
        <f>SUM(G5:G11)</f>
        <v>0</v>
      </c>
      <c r="H12" s="1758">
        <f>SUM(H5:H11)</f>
        <v>8579</v>
      </c>
      <c r="I12" s="1758">
        <f>SUM(I5:I11)</f>
        <v>0</v>
      </c>
      <c r="J12" s="1758">
        <f>SUM(J5:J11)</f>
        <v>0</v>
      </c>
      <c r="K12" s="1758">
        <f>SUM(K5:K11)</f>
        <v>0</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8579</v>
      </c>
      <c r="I14" s="771"/>
      <c r="J14" s="773"/>
      <c r="K14" s="765"/>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1809</v>
      </c>
      <c r="B19" s="2232"/>
      <c r="C19" s="2232"/>
      <c r="D19" s="2232"/>
      <c r="E19" s="2233"/>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9"/>
      <c r="G21" s="792"/>
      <c r="H21" s="796"/>
      <c r="I21" s="796"/>
      <c r="J21" s="1760">
        <f>SUM(J18:J20)</f>
        <v>0</v>
      </c>
      <c r="K21" s="793"/>
    </row>
    <row r="22" spans="1:11" ht="13.5" thickTop="1" x14ac:dyDescent="0.2">
      <c r="A22" s="2224" t="s">
        <v>1815</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61"/>
      <c r="G23" s="1758">
        <f>SUM(G14:G16,G21,G22)</f>
        <v>0</v>
      </c>
      <c r="H23" s="1758">
        <f>SUM(H14:H16,H21,H22)</f>
        <v>8579</v>
      </c>
      <c r="I23" s="1758">
        <f>SUM(I14:I16,I21,I22)</f>
        <v>0</v>
      </c>
      <c r="J23" s="1758">
        <f>SUM(J14:J16,J21,J22)</f>
        <v>0</v>
      </c>
      <c r="K23" s="1758">
        <f>SUM(K14:K16,K21,K22)</f>
        <v>0</v>
      </c>
    </row>
    <row r="24" spans="1:11" ht="14.25" thickTop="1" thickBot="1" x14ac:dyDescent="0.25">
      <c r="A24" s="2254" t="s">
        <v>1965</v>
      </c>
      <c r="B24" s="2253"/>
      <c r="C24" s="2253"/>
      <c r="D24" s="2253"/>
      <c r="E24" s="225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2" colorId="8" zoomScale="110" zoomScaleNormal="110" workbookViewId="0">
      <selection activeCell="J39" sqref="J3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2300</v>
      </c>
      <c r="D5" s="841"/>
      <c r="E5" s="841"/>
      <c r="F5" s="1760">
        <f>(C5+D5)-E5</f>
        <v>2300</v>
      </c>
      <c r="G5" s="837"/>
      <c r="H5" s="842"/>
      <c r="I5" s="842"/>
      <c r="J5" s="842"/>
      <c r="K5" s="793"/>
      <c r="L5" s="1769">
        <f>F5-K5</f>
        <v>2300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552392</v>
      </c>
      <c r="D8" s="844">
        <v>2500</v>
      </c>
      <c r="E8" s="844"/>
      <c r="F8" s="1760">
        <f>(C8+D8)-E8</f>
        <v>554892</v>
      </c>
      <c r="G8" s="843">
        <v>50</v>
      </c>
      <c r="H8" s="765">
        <v>463029</v>
      </c>
      <c r="I8" s="765">
        <v>14895</v>
      </c>
      <c r="J8" s="765"/>
      <c r="K8" s="1769">
        <f>(H8+I8)-J8</f>
        <v>477924</v>
      </c>
      <c r="L8" s="1769">
        <f>F8-K8</f>
        <v>76968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115565</v>
      </c>
      <c r="D12" s="844"/>
      <c r="E12" s="844"/>
      <c r="F12" s="1760">
        <f>(C12+D12)-E12</f>
        <v>115565</v>
      </c>
      <c r="G12" s="843">
        <v>10</v>
      </c>
      <c r="H12" s="765">
        <v>85625</v>
      </c>
      <c r="I12" s="765">
        <v>6379</v>
      </c>
      <c r="J12" s="765"/>
      <c r="K12" s="1769">
        <f>(H12+I12)-J12</f>
        <v>92004</v>
      </c>
      <c r="L12" s="1769">
        <f>F12-K12</f>
        <v>23561</v>
      </c>
    </row>
    <row r="13" spans="1:14" ht="14.25" thickTop="1" thickBot="1" x14ac:dyDescent="0.25">
      <c r="A13" s="848" t="s">
        <v>1122</v>
      </c>
      <c r="B13" s="840">
        <v>252</v>
      </c>
      <c r="C13" s="844">
        <v>45922</v>
      </c>
      <c r="D13" s="844">
        <v>24796</v>
      </c>
      <c r="E13" s="844"/>
      <c r="F13" s="1760">
        <f>(C13+D13)-E13</f>
        <v>70718</v>
      </c>
      <c r="G13" s="843">
        <v>5</v>
      </c>
      <c r="H13" s="765">
        <v>45922</v>
      </c>
      <c r="I13" s="765">
        <v>2912</v>
      </c>
      <c r="J13" s="765"/>
      <c r="K13" s="1769">
        <f>(H13+I13)-J13</f>
        <v>48834</v>
      </c>
      <c r="L13" s="1769">
        <f>F13-K13</f>
        <v>21884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716179</v>
      </c>
      <c r="D16" s="1760">
        <f>SUM(D3,D5:D6,D8:D10,D12:D15)</f>
        <v>27296</v>
      </c>
      <c r="E16" s="1760">
        <f>SUM(E3,E5:E6,E8:E10,E12:E15)</f>
        <v>0</v>
      </c>
      <c r="F16" s="1760">
        <f>SUM(F3,F5:F6,F8:F10,F12:F15)</f>
        <v>743475</v>
      </c>
      <c r="G16" s="843"/>
      <c r="H16" s="1760">
        <f>SUM(H3,H6,H8:H10,H12:H14,)</f>
        <v>594576</v>
      </c>
      <c r="I16" s="1760">
        <f>SUM(I3,I6,I8:I10,I12:I14,)</f>
        <v>24186</v>
      </c>
      <c r="J16" s="1760">
        <f>SUM(J3,J6,J8:J10,J12:J14,)</f>
        <v>0</v>
      </c>
      <c r="K16" s="1760">
        <f>(H16+I16)-J16</f>
        <v>618762</v>
      </c>
      <c r="L16" s="1760">
        <f>F16-K16</f>
        <v>124713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24186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C1" colorId="8" zoomScale="110" zoomScaleNormal="110" workbookViewId="0">
      <pane ySplit="5" topLeftCell="A65" activePane="bottomLeft" state="frozen"/>
      <selection activeCell="J39" sqref="J39"/>
      <selection pane="bottomLeft" activeCell="J39" sqref="J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682954</v>
      </c>
      <c r="G8" s="865"/>
    </row>
    <row r="9" spans="1:7" x14ac:dyDescent="0.2">
      <c r="A9" s="869" t="s">
        <v>460</v>
      </c>
      <c r="B9" s="870" t="s">
        <v>1877</v>
      </c>
      <c r="C9" s="871"/>
      <c r="D9" s="869" t="s">
        <v>501</v>
      </c>
      <c r="E9" s="868"/>
      <c r="F9" s="1909">
        <f>'Expenditures 15-22'!K151</f>
        <v>31406</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28051</v>
      </c>
      <c r="G11" s="872"/>
    </row>
    <row r="12" spans="1:7" x14ac:dyDescent="0.2">
      <c r="A12" s="869" t="s">
        <v>462</v>
      </c>
      <c r="B12" s="870" t="s">
        <v>1880</v>
      </c>
      <c r="C12" s="871"/>
      <c r="D12" s="869" t="s">
        <v>501</v>
      </c>
      <c r="E12" s="868"/>
      <c r="F12" s="1909">
        <f>'Expenditures 15-22'!K295</f>
        <v>25938</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768349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16935</v>
      </c>
      <c r="G53" s="865"/>
    </row>
    <row r="54" spans="1:7" x14ac:dyDescent="0.2">
      <c r="A54" s="869" t="s">
        <v>459</v>
      </c>
      <c r="B54" s="869" t="s">
        <v>1476</v>
      </c>
      <c r="C54" s="889" t="s">
        <v>982</v>
      </c>
      <c r="D54" s="885" t="s">
        <v>1095</v>
      </c>
      <c r="E54" s="868"/>
      <c r="F54" s="1913">
        <f>'Expenditures 15-22'!G114</f>
        <v>616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4500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22051</v>
      </c>
      <c r="G76" s="865"/>
    </row>
    <row r="77" spans="1:8" s="893" customFormat="1" ht="12" customHeight="1" thickTop="1" thickBot="1" x14ac:dyDescent="0.25">
      <c r="A77" s="1779"/>
      <c r="B77" s="1776"/>
      <c r="C77" s="1772"/>
      <c r="D77" s="1777" t="s">
        <v>1900</v>
      </c>
      <c r="E77" s="1774"/>
      <c r="F77" s="1780">
        <f>(F14-F76)</f>
        <v>746298</v>
      </c>
      <c r="G77" s="869"/>
    </row>
    <row r="78" spans="1:8" s="893" customFormat="1" ht="12" customHeight="1" thickTop="1" x14ac:dyDescent="0.2">
      <c r="A78" s="1781"/>
      <c r="B78" s="1776"/>
      <c r="C78" s="1772"/>
      <c r="D78" s="1777" t="s">
        <v>2062</v>
      </c>
      <c r="E78" s="1774"/>
      <c r="F78" s="898">
        <v>59.1</v>
      </c>
      <c r="G78" s="899"/>
      <c r="H78" s="869"/>
    </row>
    <row r="79" spans="1:8" s="893" customFormat="1" ht="12" customHeight="1" thickBot="1" x14ac:dyDescent="0.25">
      <c r="A79" s="1782"/>
      <c r="B79" s="1776"/>
      <c r="C79" s="1772"/>
      <c r="D79" s="1777" t="s">
        <v>1901</v>
      </c>
      <c r="E79" s="1774" t="s">
        <v>958</v>
      </c>
      <c r="F79" s="1783">
        <f>IF(F78&gt;0,F77/F78," Complete Line 78")</f>
        <v>12627.715736040609</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242</v>
      </c>
      <c r="G94" s="912"/>
    </row>
    <row r="95" spans="1:7" x14ac:dyDescent="0.2">
      <c r="A95" s="908" t="s">
        <v>140</v>
      </c>
      <c r="B95" s="908" t="s">
        <v>175</v>
      </c>
      <c r="C95" s="910">
        <v>1700</v>
      </c>
      <c r="D95" s="918" t="str">
        <f>'Revenues 9-14'!A82</f>
        <v>Total District/School Activity Income</v>
      </c>
      <c r="E95" s="906"/>
      <c r="F95" s="1789">
        <f>SUM('Revenues 9-14'!C82,'Revenues 9-14'!D82)</f>
        <v>3218</v>
      </c>
      <c r="G95" s="912"/>
    </row>
    <row r="96" spans="1:7" x14ac:dyDescent="0.2">
      <c r="A96" s="908" t="s">
        <v>459</v>
      </c>
      <c r="B96" s="908" t="s">
        <v>176</v>
      </c>
      <c r="C96" s="910">
        <f>'Revenues 9-14'!B84</f>
        <v>1811</v>
      </c>
      <c r="D96" s="911" t="str">
        <f>'Revenues 9-14'!A84</f>
        <v>Rentals - Regular Textbooks</v>
      </c>
      <c r="E96" s="906"/>
      <c r="F96" s="1789">
        <f>'Revenues 9-14'!C84</f>
        <v>1050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890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8247</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9513</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46808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32602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4377</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185</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6181</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2386</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115699</v>
      </c>
    </row>
    <row r="175" spans="1:7" ht="12" customHeight="1" x14ac:dyDescent="0.2">
      <c r="A175" s="1770"/>
      <c r="B175" s="1784"/>
      <c r="C175" s="1785"/>
      <c r="D175" s="1786" t="s">
        <v>2057</v>
      </c>
      <c r="E175" s="1787"/>
      <c r="F175" s="1789">
        <f>'PCTC-OEPP 27-28'!F77-F174</f>
        <v>630599</v>
      </c>
    </row>
    <row r="176" spans="1:7" ht="12" customHeight="1" x14ac:dyDescent="0.2">
      <c r="A176" s="1770"/>
      <c r="B176" s="1784"/>
      <c r="C176" s="1785"/>
      <c r="D176" s="1786" t="s">
        <v>1817</v>
      </c>
      <c r="E176" s="1787"/>
      <c r="F176" s="1789">
        <f>'Cap Outlay Deprec 26'!I18</f>
        <v>24186</v>
      </c>
    </row>
    <row r="177" spans="1:7" ht="12" customHeight="1" x14ac:dyDescent="0.2">
      <c r="A177" s="1770"/>
      <c r="B177" s="1784"/>
      <c r="C177" s="1785"/>
      <c r="D177" s="1786" t="s">
        <v>2058</v>
      </c>
      <c r="E177" s="1787"/>
      <c r="F177" s="1789">
        <f>F175+F176</f>
        <v>654785</v>
      </c>
    </row>
    <row r="178" spans="1:7" ht="12" customHeight="1" x14ac:dyDescent="0.2">
      <c r="A178" s="1770"/>
      <c r="B178" s="1790"/>
      <c r="C178" s="1785"/>
      <c r="D178" s="1786" t="str">
        <f>D78</f>
        <v>9 Month ADA from District Average Daily Attendance/Prior General State Aid Inquiry 2018-2019</v>
      </c>
      <c r="E178" s="1787"/>
      <c r="F178" s="1791">
        <f>'PCTC-OEPP 27-28'!F78</f>
        <v>59.1</v>
      </c>
      <c r="G178" s="930"/>
    </row>
    <row r="179" spans="1:7" ht="12" customHeight="1" thickBot="1" x14ac:dyDescent="0.25">
      <c r="A179" s="1770"/>
      <c r="B179" s="1790"/>
      <c r="C179" s="1785"/>
      <c r="D179" s="1786" t="s">
        <v>2059</v>
      </c>
      <c r="E179" s="1787" t="s">
        <v>1545</v>
      </c>
      <c r="F179" s="1792">
        <f>F177/F178</f>
        <v>11079.272419627749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sqref="A1:E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4" t="s">
        <v>1819</v>
      </c>
      <c r="B6" s="1535"/>
      <c r="C6" s="1535"/>
      <c r="D6" s="1535"/>
      <c r="E6" s="1535"/>
      <c r="F6" s="1535"/>
      <c r="G6" s="1536"/>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7" t="s">
        <v>1820</v>
      </c>
      <c r="B10" s="1538"/>
      <c r="C10" s="1538"/>
      <c r="D10" s="1538"/>
      <c r="E10" s="1538"/>
      <c r="F10" s="1538"/>
      <c r="G10" s="1539"/>
    </row>
    <row r="11" spans="1:7" ht="17.25" customHeight="1" x14ac:dyDescent="0.25">
      <c r="A11" s="2282" t="s">
        <v>1934</v>
      </c>
      <c r="B11" s="2283"/>
      <c r="C11" s="2283"/>
      <c r="D11" s="2283"/>
      <c r="E11" s="2283"/>
      <c r="F11" s="2283"/>
      <c r="G11" s="2284"/>
    </row>
    <row r="12" spans="1:7" ht="15" customHeight="1" x14ac:dyDescent="0.25">
      <c r="A12" s="1537" t="s">
        <v>1825</v>
      </c>
      <c r="B12" s="1538"/>
      <c r="C12" s="1538"/>
      <c r="D12" s="1538"/>
      <c r="E12" s="1538"/>
      <c r="F12" s="1538"/>
      <c r="G12" s="1539"/>
    </row>
    <row r="13" spans="1:7" ht="32.25" customHeight="1" x14ac:dyDescent="0.25">
      <c r="A13" s="2273" t="s">
        <v>1976</v>
      </c>
      <c r="B13" s="2274"/>
      <c r="C13" s="2274"/>
      <c r="D13" s="2274"/>
      <c r="E13" s="2274"/>
      <c r="F13" s="2274"/>
      <c r="G13" s="2275"/>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4" t="s">
        <v>2099</v>
      </c>
      <c r="B17" s="1945" t="s">
        <v>2098</v>
      </c>
      <c r="C17" s="1946" t="s">
        <v>2100</v>
      </c>
      <c r="D17" s="1844">
        <v>7495</v>
      </c>
      <c r="E17" s="1540">
        <f t="shared" ref="E17:E141" si="0">IF(D17&lt;=25000,D17,IF(D17&gt;25000,25000,0))</f>
        <v>7495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7495</v>
      </c>
      <c r="G17" s="1793">
        <f>IF(F17=0,0,D17-F17)</f>
        <v>0</v>
      </c>
      <c r="H17" s="1647"/>
    </row>
    <row r="18" spans="1:8" x14ac:dyDescent="0.25">
      <c r="A18" s="1944" t="s">
        <v>2101</v>
      </c>
      <c r="B18" s="1945" t="s">
        <v>2102</v>
      </c>
      <c r="C18" s="1946" t="s">
        <v>2103</v>
      </c>
      <c r="D18" s="1844">
        <v>3450</v>
      </c>
      <c r="E18" s="1540">
        <f t="shared" ref="E18:E140" si="2">IF(D18&lt;=25000,D18,IF(D18&gt;25000,25000,0))</f>
        <v>3450</v>
      </c>
      <c r="F18" s="1932">
        <f t="shared" si="1"/>
        <v>3450</v>
      </c>
      <c r="G18" s="1793">
        <f t="shared" ref="G18:G140" si="3">IF(F18=0,0,D18-F18)</f>
        <v>0</v>
      </c>
    </row>
    <row r="19" spans="1:8" x14ac:dyDescent="0.25">
      <c r="A19" s="1944" t="s">
        <v>2096</v>
      </c>
      <c r="B19" s="1945" t="s">
        <v>2097</v>
      </c>
      <c r="C19" s="1946" t="s">
        <v>2104</v>
      </c>
      <c r="D19" s="1844">
        <v>3150</v>
      </c>
      <c r="E19" s="1540">
        <f t="shared" si="2"/>
        <v>3150</v>
      </c>
      <c r="F19" s="1932">
        <f t="shared" si="1"/>
        <v>3150</v>
      </c>
      <c r="G19" s="1793">
        <f t="shared" si="3"/>
        <v>0</v>
      </c>
    </row>
    <row r="20" spans="1:8" x14ac:dyDescent="0.25">
      <c r="A20" s="1944" t="s">
        <v>2096</v>
      </c>
      <c r="B20" s="1945" t="s">
        <v>2097</v>
      </c>
      <c r="C20" s="1946" t="s">
        <v>2105</v>
      </c>
      <c r="D20" s="1844">
        <v>3000</v>
      </c>
      <c r="E20" s="1540">
        <f t="shared" si="2"/>
        <v>3000</v>
      </c>
      <c r="F20" s="1932">
        <f t="shared" si="1"/>
        <v>3000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17095</v>
      </c>
      <c r="E141" s="1541">
        <f t="shared" si="0"/>
        <v>17095</v>
      </c>
      <c r="F141" s="1933">
        <f>SUM(F17:F140)</f>
        <v>17095</v>
      </c>
      <c r="G141" s="1795">
        <f>SUM(G17:G140)</f>
        <v>0</v>
      </c>
    </row>
  </sheetData>
  <sheetProtection password="F60E" sheet="1" selectLockedCells="1"/>
  <mergeCells count="6">
    <mergeCell ref="A13:G13"/>
    <mergeCell ref="A4:G5"/>
    <mergeCell ref="A11:G11"/>
    <mergeCell ref="A7:G7"/>
    <mergeCell ref="A8:G8"/>
    <mergeCell ref="A9:G9"/>
  </mergeCells>
  <pageMargins left="0.2" right="0.2" top="0.45" bottom="0.25" header="0.3" footer="0.15"/>
  <pageSetup scale="83" firstPageNumber="34" fitToHeight="0" orientation="landscape" useFirstPageNumber="1" r:id="rId1"/>
  <headerFooter differentFirst="1" scaleWithDoc="0">
    <oddFooter>&amp;LSee notes to financial statements.&amp;C&amp;P</oddFooter>
    <firstFooter>&amp;LSee notes to financial statements.&amp;C34</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sqref="A1:E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25441</v>
      </c>
      <c r="F10" s="974"/>
      <c r="G10" s="975"/>
      <c r="H10" s="162"/>
      <c r="I10" s="162"/>
    </row>
    <row r="11" spans="1:9" s="668" customFormat="1" ht="22.5" customHeight="1" x14ac:dyDescent="0.2">
      <c r="A11" s="2293" t="s">
        <v>1977</v>
      </c>
      <c r="B11" s="2294"/>
      <c r="C11" s="2294"/>
      <c r="D11" s="2295"/>
      <c r="E11" s="977">
        <v>2940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404821</v>
      </c>
      <c r="F19" s="1799"/>
      <c r="G19" s="1801">
        <f>'Expenditures 15-22'!K33-SUM('Expenditures 15-22'!G33,'Expenditures 15-22'!I33)+'Expenditures 15-22'!D229</f>
        <v>404821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112</v>
      </c>
      <c r="F21" s="1802"/>
      <c r="G21" s="1805">
        <f>'Expenditures 15-22'!K42-SUM('Expenditures 15-22'!G42,'Expenditures 15-22'!I42)+'Expenditures 15-22'!K120-SUM('Expenditures 15-22'!G120,'Expenditures 15-22'!I120)+'Expenditures 15-22'!K180-SUM('Expenditures 15-22'!G180,'Expenditures 15-22'!I180)+'Expenditures 15-22'!D238</f>
        <v>112</v>
      </c>
      <c r="H21" s="987"/>
      <c r="I21" s="162"/>
    </row>
    <row r="22" spans="1:9" s="668" customFormat="1" ht="12" customHeight="1" x14ac:dyDescent="0.2">
      <c r="A22" s="994" t="s">
        <v>564</v>
      </c>
      <c r="B22" s="995"/>
      <c r="C22" s="993">
        <v>2200</v>
      </c>
      <c r="D22" s="1802"/>
      <c r="E22" s="1804">
        <f>'Expenditures 15-22'!K47-SUM('Expenditures 15-22'!G47,'Expenditures 15-22'!I47)+'Expenditures 15-22'!D243</f>
        <v>34845</v>
      </c>
      <c r="F22" s="1802"/>
      <c r="G22" s="1805">
        <f>'Expenditures 15-22'!K47-SUM('Expenditures 15-22'!G47,'Expenditures 15-22'!I47)+'Expenditures 15-22'!D243</f>
        <v>34845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130504</v>
      </c>
      <c r="F23" s="1802"/>
      <c r="G23" s="1804">
        <f>'Expenditures 15-22'!K53-SUM('Expenditures 15-22'!G53,'Expenditures 15-22'!I53)+'Expenditures 15-22'!D257+'Expenditures 15-22'!K330-SUM('Expenditures 15-22'!G330,'Expenditures 15-22'!I330)</f>
        <v>130504</v>
      </c>
      <c r="H23" s="987"/>
      <c r="I23" s="162"/>
    </row>
    <row r="24" spans="1:9" s="668" customFormat="1" ht="12" customHeight="1" x14ac:dyDescent="0.2">
      <c r="A24" s="994" t="s">
        <v>566</v>
      </c>
      <c r="B24" s="995"/>
      <c r="C24" s="993">
        <v>2400</v>
      </c>
      <c r="D24" s="1802"/>
      <c r="E24" s="1804">
        <f>'Expenditures 15-22'!K57-SUM('Expenditures 15-22'!G57,'Expenditures 15-22'!I57)+'Expenditures 15-22'!D261</f>
        <v>159</v>
      </c>
      <c r="F24" s="1802"/>
      <c r="G24" s="1805">
        <f>'Expenditures 15-22'!K57-SUM('Expenditures 15-22'!G57,'Expenditures 15-22'!I57)+'Expenditures 15-22'!D261</f>
        <v>159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31398</v>
      </c>
      <c r="E27" s="1804">
        <f>E8</f>
        <v>0</v>
      </c>
      <c r="F27" s="1804">
        <f>'Expenditures 15-22'!K60-SUM('Expenditures 15-22'!G60,'Expenditures 15-22'!I60)+'Expenditures 15-22'!D264-E8</f>
        <v>31398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72999</v>
      </c>
      <c r="F28" s="1806">
        <f>'Expenditures 15-22'!K61-SUM('Expenditures 15-22'!G61,'Expenditures 15-22'!I61)+'Expenditures 15-22'!K124-SUM('Expenditures 15-22'!G124,'Expenditures 15-22'!I124)+'Expenditures 15-22'!D266-E9</f>
        <v>72999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29589</v>
      </c>
      <c r="F29" s="1802"/>
      <c r="G29" s="1805">
        <f>'Expenditures 15-22'!K62-SUM('Expenditures 15-22'!G62,'Expenditures 15-22'!I62)+'Expenditures 15-22'!K125-SUM('Expenditures 15-22'!G125,'Expenditures 15-22'!I125)+'Expenditures 15-22'!K182-SUM('Expenditures 15-22'!G182,'Expenditures 15-22'!I182)+'Expenditures 15-22'!D267</f>
        <v>29589</v>
      </c>
      <c r="H29" s="985"/>
    </row>
    <row r="30" spans="1:9" ht="12" customHeight="1" x14ac:dyDescent="0.2">
      <c r="A30" s="994" t="s">
        <v>100</v>
      </c>
      <c r="B30" s="997"/>
      <c r="C30" s="993">
        <v>2560</v>
      </c>
      <c r="D30" s="1802"/>
      <c r="E30" s="1804">
        <f>'Expenditures 15-22'!K63-SUM('Expenditures 15-22'!G63,'Expenditures 15-22'!I63)+'Expenditures 15-22'!D268-E10</f>
        <v>16332</v>
      </c>
      <c r="F30" s="1802"/>
      <c r="G30" s="1804">
        <f>'Expenditures 15-22'!K63-SUM('Expenditures 15-22'!G63,'Expenditures 15-22'!I63)+'Expenditures 15-22'!D268-E10</f>
        <v>16332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98</v>
      </c>
      <c r="F38" s="1802"/>
      <c r="G38" s="1804">
        <f>'Expenditures 15-22'!K73-SUM('Expenditures 15-22'!G73,'Expenditures 15-22'!I73)+'Expenditures 15-22'!K128-SUM('Expenditures 15-22'!G128,'Expenditures 15-22'!I128)+'Expenditures 15-22'!K183-SUM('Expenditures 15-22'!G183,'Expenditures 15-22'!I183)+'Expenditures 15-22'!D278</f>
        <v>98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31398</v>
      </c>
      <c r="E41" s="1806">
        <f>SUM(E19:E40)</f>
        <v>689459</v>
      </c>
      <c r="F41" s="1806">
        <f>SUM(F19:F39)</f>
        <v>104397</v>
      </c>
      <c r="G41" s="1806">
        <f>SUM(G19:G40)</f>
        <v>616460</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31398</v>
      </c>
      <c r="F43" s="1807" t="s">
        <v>473</v>
      </c>
      <c r="G43" s="1808">
        <f>F41</f>
        <v>104397</v>
      </c>
    </row>
    <row r="44" spans="1:7" ht="12" customHeight="1" x14ac:dyDescent="0.2">
      <c r="A44" s="987"/>
      <c r="B44" s="162"/>
      <c r="C44" s="1001"/>
      <c r="D44" s="1807" t="s">
        <v>474</v>
      </c>
      <c r="E44" s="1808">
        <f>E41</f>
        <v>689459</v>
      </c>
      <c r="F44" s="1807" t="s">
        <v>474</v>
      </c>
      <c r="G44" s="1808">
        <f>G41</f>
        <v>616460</v>
      </c>
    </row>
    <row r="45" spans="1:7" ht="12" customHeight="1" x14ac:dyDescent="0.2">
      <c r="A45" s="987"/>
      <c r="B45" s="162"/>
      <c r="C45" s="162"/>
      <c r="D45" s="1809" t="s">
        <v>1006</v>
      </c>
      <c r="E45" s="1810">
        <f>(E43/E44)</f>
        <v>4.5540053868322841E-2</v>
      </c>
      <c r="F45" s="1809" t="s">
        <v>1006</v>
      </c>
      <c r="G45" s="1810">
        <f>(G43/G44)</f>
        <v>0.16934918729520163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sqref="A1:E1"/>
      <selection pane="bottomLeft"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0" t="s">
        <v>1379</v>
      </c>
      <c r="B1" s="2310"/>
      <c r="C1" s="2310"/>
      <c r="D1" s="2310"/>
      <c r="E1" s="2310"/>
      <c r="F1" s="231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1" t="s">
        <v>1546</v>
      </c>
      <c r="B5" s="2312"/>
      <c r="C5" s="2313"/>
      <c r="D5" s="2313"/>
      <c r="E5" s="2313"/>
      <c r="F5" s="2313"/>
    </row>
    <row r="6" spans="1:10" ht="12" customHeight="1" x14ac:dyDescent="0.25">
      <c r="A6" s="1850"/>
      <c r="B6" s="1851"/>
      <c r="C6" s="2314" t="str">
        <f>COVER!A17</f>
        <v>Irvington CCSD 11</v>
      </c>
      <c r="D6" s="2314"/>
      <c r="E6" s="2314"/>
      <c r="F6" s="1852"/>
    </row>
    <row r="7" spans="1:10" ht="11.25" customHeight="1" thickBot="1" x14ac:dyDescent="0.3">
      <c r="A7" s="1850"/>
      <c r="B7" s="1851"/>
      <c r="C7" s="2315">
        <f>COVER!A13</f>
        <v>13095011004</v>
      </c>
      <c r="D7" s="2315"/>
      <c r="E7" s="231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2064</v>
      </c>
      <c r="F14" s="1867" t="s">
        <v>2075</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2074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6"/>
      <c r="B43" s="2297"/>
      <c r="C43" s="2297"/>
      <c r="D43" s="2297"/>
      <c r="E43" s="2297"/>
      <c r="F43" s="2298"/>
      <c r="H43" s="1879"/>
      <c r="I43" s="1879"/>
      <c r="J43" s="1879"/>
      <c r="K43" s="1879"/>
    </row>
    <row r="44" spans="1:11" s="1870" customFormat="1" ht="12" hidden="1" customHeight="1" x14ac:dyDescent="0.25">
      <c r="A44" s="2296"/>
      <c r="B44" s="2297"/>
      <c r="C44" s="2297"/>
      <c r="D44" s="2297"/>
      <c r="E44" s="2297"/>
      <c r="F44" s="229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84" orientation="landscape" r:id="rId1"/>
  <headerFooter scaleWithDoc="0">
    <oddFooter>&amp;LSee notes to financial statements.&amp;C39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E1" colorId="8" zoomScale="110" zoomScaleNormal="110" workbookViewId="0">
      <selection sqref="A1:E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Irvington CCSD 11</v>
      </c>
      <c r="J6" s="2324"/>
      <c r="Q6" s="1664"/>
    </row>
    <row r="7" spans="1:17" x14ac:dyDescent="0.2">
      <c r="A7" s="2325" t="s">
        <v>869</v>
      </c>
      <c r="B7" s="2326"/>
      <c r="C7" s="2326"/>
      <c r="D7" s="2326"/>
      <c r="E7" s="2327"/>
      <c r="F7" s="1017"/>
      <c r="G7" s="1009"/>
      <c r="H7" s="1016" t="s">
        <v>372</v>
      </c>
      <c r="I7" s="2328">
        <f>COVER!A13</f>
        <v>13095011004</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92192</v>
      </c>
      <c r="F12" s="1039"/>
      <c r="G12" s="1811">
        <f t="shared" ref="G12:G18" si="0">SUM(E12:F12)</f>
        <v>92192</v>
      </c>
      <c r="H12" s="1040">
        <v>90144</v>
      </c>
      <c r="I12" s="1039"/>
      <c r="J12" s="1811">
        <f t="shared" ref="J12:J18" si="1">SUM(H12:I12)</f>
        <v>90144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92192</v>
      </c>
      <c r="F19" s="1813">
        <f t="shared" si="2"/>
        <v>0</v>
      </c>
      <c r="G19" s="1813">
        <f t="shared" si="2"/>
        <v>92192</v>
      </c>
      <c r="H19" s="1813">
        <f t="shared" si="2"/>
        <v>90144</v>
      </c>
      <c r="I19" s="1813">
        <f t="shared" si="2"/>
        <v>0</v>
      </c>
      <c r="J19" s="1813">
        <f t="shared" si="2"/>
        <v>90144</v>
      </c>
    </row>
    <row r="20" spans="1:10" ht="13.5" thickTop="1" x14ac:dyDescent="0.2">
      <c r="A20" s="1035">
        <v>9</v>
      </c>
      <c r="B20" s="2335" t="s">
        <v>1981</v>
      </c>
      <c r="C20" s="2335"/>
      <c r="D20" s="2336"/>
      <c r="E20" s="1046"/>
      <c r="F20" s="1046"/>
      <c r="G20" s="1046"/>
      <c r="H20" s="1046"/>
      <c r="I20" s="1046"/>
      <c r="J20" s="1814">
        <f>IF(AND(G19&gt;0,J19&gt;0),(((J19-G19)/G19)),"Enter Budget Data")</f>
        <v>-2.221450885109337E-2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statements.&amp;C40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65"/>
  <sheetViews>
    <sheetView showGridLines="0" topLeftCell="E1" zoomScale="110" zoomScaleNormal="110" workbookViewId="0">
      <selection sqref="A1:E1"/>
    </sheetView>
  </sheetViews>
  <sheetFormatPr defaultColWidth="9.140625" defaultRowHeight="12.75" x14ac:dyDescent="0.2"/>
  <cols>
    <col min="1" max="1" width="3" style="329" customWidth="1"/>
    <col min="2" max="2" width="16.42578125" style="329" customWidth="1"/>
    <col min="3" max="3" width="3.140625" style="329" customWidth="1"/>
    <col min="4" max="4" width="12.7109375" style="329" customWidth="1"/>
    <col min="5" max="5" width="3.140625" style="329" customWidth="1"/>
    <col min="6" max="6" width="19.42578125" style="329" customWidth="1"/>
    <col min="7" max="7" width="3.140625" style="329" customWidth="1"/>
    <col min="8" max="8" width="44.42578125" style="329" customWidth="1"/>
    <col min="9" max="9" width="3.140625" style="329" customWidth="1"/>
    <col min="10" max="10" width="12" style="329" bestFit="1" customWidth="1"/>
    <col min="11" max="16384" width="9.140625" style="329"/>
  </cols>
  <sheetData>
    <row r="2" spans="1:10" x14ac:dyDescent="0.2">
      <c r="A2" s="389" t="s">
        <v>258</v>
      </c>
    </row>
    <row r="3" spans="1:10" x14ac:dyDescent="0.2">
      <c r="A3" s="329" t="s">
        <v>259</v>
      </c>
    </row>
    <row r="5" spans="1:10" x14ac:dyDescent="0.2">
      <c r="A5" s="1068"/>
      <c r="B5" s="1938" t="s">
        <v>2087</v>
      </c>
      <c r="D5" s="1938" t="s">
        <v>378</v>
      </c>
      <c r="F5" s="1938" t="s">
        <v>2088</v>
      </c>
      <c r="H5" s="1938" t="s">
        <v>481</v>
      </c>
      <c r="J5" s="1938" t="s">
        <v>865</v>
      </c>
    </row>
    <row r="6" spans="1:10" x14ac:dyDescent="0.2">
      <c r="A6" s="1068"/>
    </row>
    <row r="7" spans="1:10" x14ac:dyDescent="0.2">
      <c r="A7" s="1068"/>
      <c r="B7" s="1937">
        <v>15</v>
      </c>
      <c r="C7" s="1937"/>
      <c r="D7" s="1937">
        <v>1999</v>
      </c>
      <c r="E7" s="1937"/>
      <c r="F7" s="1937" t="s">
        <v>1155</v>
      </c>
      <c r="G7" s="1937"/>
      <c r="H7" s="1937" t="s">
        <v>2089</v>
      </c>
      <c r="I7" s="1937"/>
      <c r="J7" s="1940">
        <v>18732</v>
      </c>
    </row>
    <row r="8" spans="1:10" x14ac:dyDescent="0.2">
      <c r="A8" s="1068"/>
      <c r="B8" s="1937"/>
      <c r="C8" s="1937"/>
      <c r="D8" s="1937"/>
      <c r="E8" s="1937"/>
      <c r="F8" s="1937"/>
      <c r="G8" s="1937"/>
      <c r="H8" s="1937"/>
      <c r="I8" s="1937"/>
      <c r="J8" s="1939"/>
    </row>
    <row r="9" spans="1:10" x14ac:dyDescent="0.2">
      <c r="A9" s="1069"/>
      <c r="B9" s="1937">
        <v>17</v>
      </c>
      <c r="C9" s="1937"/>
      <c r="D9" s="1937">
        <v>4090</v>
      </c>
      <c r="E9" s="1937"/>
      <c r="F9" s="1937" t="s">
        <v>1155</v>
      </c>
      <c r="G9" s="1937"/>
      <c r="H9" s="1937" t="s">
        <v>2093</v>
      </c>
      <c r="I9" s="1937"/>
      <c r="J9" s="1940">
        <v>9513</v>
      </c>
    </row>
    <row r="10" spans="1:10" x14ac:dyDescent="0.2">
      <c r="A10" s="1069"/>
      <c r="B10" s="1937"/>
      <c r="C10" s="1937"/>
      <c r="D10" s="1937"/>
      <c r="E10" s="1937"/>
      <c r="F10" s="1937"/>
      <c r="G10" s="1937"/>
      <c r="H10" s="1937"/>
      <c r="I10" s="1937"/>
      <c r="J10" s="1939"/>
    </row>
    <row r="11" spans="1:10" x14ac:dyDescent="0.2">
      <c r="A11" s="1069"/>
      <c r="B11" s="1937">
        <v>20</v>
      </c>
      <c r="C11" s="1937"/>
      <c r="D11" s="1937">
        <v>2190</v>
      </c>
      <c r="E11" s="1937"/>
      <c r="F11" s="1937" t="s">
        <v>1155</v>
      </c>
      <c r="G11" s="1937"/>
      <c r="H11" s="1937" t="s">
        <v>2090</v>
      </c>
      <c r="I11" s="1937"/>
      <c r="J11" s="1940">
        <v>112</v>
      </c>
    </row>
    <row r="12" spans="1:10" x14ac:dyDescent="0.2">
      <c r="A12" s="1069"/>
      <c r="B12" s="1937"/>
      <c r="C12" s="1937"/>
      <c r="D12" s="1937"/>
      <c r="E12" s="1937"/>
      <c r="F12" s="1937"/>
      <c r="G12" s="1937"/>
      <c r="H12" s="1937"/>
      <c r="I12" s="1937"/>
      <c r="J12" s="1940"/>
    </row>
    <row r="13" spans="1:10" x14ac:dyDescent="0.2">
      <c r="A13" s="1069"/>
      <c r="B13" s="1937">
        <v>21</v>
      </c>
      <c r="C13" s="1937"/>
      <c r="D13" s="1937">
        <v>2900</v>
      </c>
      <c r="E13" s="1937"/>
      <c r="F13" s="1937" t="s">
        <v>1155</v>
      </c>
      <c r="G13" s="1937"/>
      <c r="H13" s="1937" t="s">
        <v>2091</v>
      </c>
      <c r="I13" s="1937"/>
      <c r="J13" s="1942">
        <v>73</v>
      </c>
    </row>
    <row r="14" spans="1:10" x14ac:dyDescent="0.2">
      <c r="A14" s="1069"/>
      <c r="B14" s="1937"/>
      <c r="C14" s="1937"/>
      <c r="D14" s="1937"/>
      <c r="E14" s="1937"/>
      <c r="F14" s="1937"/>
      <c r="G14" s="1937"/>
      <c r="H14" s="1937" t="s">
        <v>2092</v>
      </c>
      <c r="I14" s="1937"/>
      <c r="J14" s="1940">
        <v>25</v>
      </c>
    </row>
    <row r="15" spans="1:10" ht="13.5" thickBot="1" x14ac:dyDescent="0.25">
      <c r="A15" s="1069"/>
      <c r="B15" s="1937"/>
      <c r="C15" s="1937"/>
      <c r="D15" s="1937"/>
      <c r="E15" s="1937"/>
      <c r="F15" s="1937"/>
      <c r="G15" s="1937"/>
      <c r="H15" s="1937"/>
      <c r="I15" s="1937"/>
      <c r="J15" s="1941">
        <f>+J13+J14</f>
        <v>98</v>
      </c>
    </row>
    <row r="16" spans="1:10" ht="13.5" thickTop="1" x14ac:dyDescent="0.2">
      <c r="A16" s="1069"/>
      <c r="B16" s="1937"/>
      <c r="C16" s="1937"/>
      <c r="D16" s="1937"/>
      <c r="E16" s="1937"/>
      <c r="F16" s="1937"/>
      <c r="G16" s="1937"/>
      <c r="H16" s="1937"/>
      <c r="I16" s="1937"/>
      <c r="J16" s="1939"/>
    </row>
    <row r="17" spans="1:10" x14ac:dyDescent="0.2">
      <c r="A17" s="1069"/>
      <c r="B17" s="1937"/>
      <c r="C17" s="1937"/>
      <c r="D17" s="1937"/>
      <c r="E17" s="1937"/>
      <c r="F17" s="1937"/>
      <c r="G17" s="1937"/>
      <c r="H17" s="1937"/>
      <c r="I17" s="1937"/>
      <c r="J17" s="1939"/>
    </row>
    <row r="18" spans="1:10" x14ac:dyDescent="0.2">
      <c r="A18" s="1069"/>
      <c r="B18" s="1937"/>
      <c r="C18" s="1937"/>
      <c r="D18" s="1937"/>
      <c r="E18" s="1937"/>
      <c r="F18" s="1937"/>
      <c r="G18" s="1937"/>
      <c r="H18" s="1937"/>
      <c r="I18" s="1937"/>
      <c r="J18" s="1939"/>
    </row>
    <row r="19" spans="1:10" x14ac:dyDescent="0.2">
      <c r="A19" s="1069"/>
      <c r="B19" s="1937"/>
      <c r="C19" s="1937"/>
      <c r="D19" s="1937"/>
      <c r="E19" s="1937"/>
      <c r="F19" s="1937"/>
      <c r="G19" s="1937"/>
      <c r="H19" s="1937"/>
      <c r="I19" s="1937"/>
      <c r="J19" s="1939"/>
    </row>
    <row r="20" spans="1:10" x14ac:dyDescent="0.2">
      <c r="A20" s="1069"/>
      <c r="B20" s="1937"/>
      <c r="C20" s="1937"/>
      <c r="D20" s="1937"/>
      <c r="E20" s="1937"/>
      <c r="F20" s="1937"/>
      <c r="G20" s="1937"/>
      <c r="H20" s="1937"/>
      <c r="I20" s="1937"/>
      <c r="J20" s="1939"/>
    </row>
    <row r="21" spans="1:10" x14ac:dyDescent="0.2">
      <c r="A21" s="1069"/>
      <c r="B21" s="1937"/>
      <c r="C21" s="1937"/>
      <c r="D21" s="1937"/>
      <c r="E21" s="1937"/>
      <c r="F21" s="1937"/>
      <c r="G21" s="1937"/>
      <c r="H21" s="1937"/>
      <c r="I21" s="1937"/>
      <c r="J21" s="1939"/>
    </row>
    <row r="22" spans="1:10" x14ac:dyDescent="0.2">
      <c r="A22" s="1069"/>
      <c r="B22" s="1937"/>
      <c r="C22" s="1937"/>
      <c r="D22" s="1937"/>
      <c r="E22" s="1937"/>
      <c r="F22" s="1937"/>
      <c r="G22" s="1937"/>
      <c r="H22" s="1937"/>
      <c r="I22" s="1937"/>
      <c r="J22" s="1939"/>
    </row>
    <row r="23" spans="1:10" x14ac:dyDescent="0.2">
      <c r="A23" s="1069"/>
      <c r="B23" s="1937"/>
      <c r="C23" s="1937"/>
      <c r="D23" s="1937"/>
      <c r="E23" s="1937"/>
      <c r="F23" s="1937"/>
      <c r="G23" s="1937"/>
      <c r="H23" s="1937"/>
      <c r="I23" s="1937"/>
      <c r="J23" s="1939"/>
    </row>
    <row r="24" spans="1:10" x14ac:dyDescent="0.2">
      <c r="A24" s="1069"/>
      <c r="B24" s="1937"/>
      <c r="C24" s="1937"/>
      <c r="D24" s="1937"/>
      <c r="E24" s="1937"/>
      <c r="F24" s="1937"/>
      <c r="G24" s="1937"/>
      <c r="H24" s="1937"/>
      <c r="I24" s="1937"/>
      <c r="J24" s="1939"/>
    </row>
    <row r="25" spans="1:10" x14ac:dyDescent="0.2">
      <c r="A25" s="1069"/>
      <c r="B25" s="1937"/>
      <c r="C25" s="1937"/>
      <c r="D25" s="1937"/>
      <c r="E25" s="1937"/>
      <c r="F25" s="1937"/>
      <c r="G25" s="1937"/>
      <c r="H25" s="1937"/>
      <c r="I25" s="1937"/>
      <c r="J25" s="1939"/>
    </row>
    <row r="26" spans="1:10" x14ac:dyDescent="0.2">
      <c r="A26" s="1069"/>
      <c r="B26" s="1937"/>
      <c r="C26" s="1937"/>
      <c r="D26" s="1937"/>
      <c r="E26" s="1937"/>
      <c r="F26" s="1937"/>
      <c r="G26" s="1937"/>
      <c r="H26" s="1937"/>
      <c r="I26" s="1937"/>
      <c r="J26" s="1939"/>
    </row>
    <row r="27" spans="1:10" x14ac:dyDescent="0.2">
      <c r="A27" s="1069"/>
      <c r="B27" s="1937"/>
      <c r="C27" s="1937"/>
      <c r="D27" s="1937"/>
      <c r="E27" s="1937"/>
      <c r="F27" s="1937"/>
      <c r="G27" s="1937"/>
      <c r="H27" s="1937"/>
      <c r="I27" s="1937"/>
      <c r="J27" s="1939"/>
    </row>
    <row r="28" spans="1:10" x14ac:dyDescent="0.2">
      <c r="A28" s="1069"/>
      <c r="B28" s="1937"/>
      <c r="C28" s="1937"/>
      <c r="D28" s="1937"/>
      <c r="E28" s="1937"/>
      <c r="F28" s="1937"/>
      <c r="G28" s="1937"/>
      <c r="H28" s="1937"/>
      <c r="I28" s="1937"/>
      <c r="J28" s="1939"/>
    </row>
    <row r="29" spans="1:10" x14ac:dyDescent="0.2">
      <c r="A29" s="1069"/>
      <c r="B29" s="1937"/>
      <c r="C29" s="1937"/>
      <c r="D29" s="1937"/>
      <c r="E29" s="1937"/>
      <c r="F29" s="1937"/>
      <c r="G29" s="1937"/>
      <c r="H29" s="1937"/>
      <c r="I29" s="1937"/>
      <c r="J29" s="1939"/>
    </row>
    <row r="30" spans="1:10" x14ac:dyDescent="0.2">
      <c r="A30" s="1069"/>
      <c r="B30" s="1937"/>
      <c r="C30" s="1937"/>
      <c r="D30" s="1937"/>
      <c r="E30" s="1937"/>
      <c r="F30" s="1937"/>
      <c r="G30" s="1937"/>
      <c r="H30" s="1937"/>
      <c r="I30" s="1937"/>
      <c r="J30" s="1939"/>
    </row>
    <row r="31" spans="1:10" x14ac:dyDescent="0.2">
      <c r="A31" s="1069"/>
      <c r="B31" s="1937"/>
      <c r="C31" s="1937"/>
      <c r="D31" s="1937"/>
      <c r="E31" s="1937"/>
      <c r="F31" s="1937"/>
      <c r="G31" s="1937"/>
      <c r="H31" s="1937"/>
      <c r="I31" s="1937"/>
      <c r="J31" s="1939"/>
    </row>
    <row r="32" spans="1:10" x14ac:dyDescent="0.2">
      <c r="A32" s="1069"/>
      <c r="B32" s="1937"/>
      <c r="C32" s="1937"/>
      <c r="D32" s="1937"/>
      <c r="E32" s="1937"/>
      <c r="F32" s="1937"/>
      <c r="G32" s="1937"/>
      <c r="H32" s="1937"/>
      <c r="I32" s="1937"/>
      <c r="J32" s="1939"/>
    </row>
    <row r="33" spans="1:10" x14ac:dyDescent="0.2">
      <c r="A33" s="1069"/>
      <c r="B33" s="1937"/>
      <c r="C33" s="1937"/>
      <c r="D33" s="1937"/>
      <c r="E33" s="1937"/>
      <c r="F33" s="1937"/>
      <c r="G33" s="1937"/>
      <c r="H33" s="1937"/>
      <c r="I33" s="1937"/>
      <c r="J33" s="1939"/>
    </row>
    <row r="34" spans="1:10" x14ac:dyDescent="0.2">
      <c r="A34" s="1069"/>
      <c r="B34" s="1937"/>
      <c r="C34" s="1937"/>
      <c r="D34" s="1937"/>
      <c r="E34" s="1937"/>
      <c r="F34" s="1937"/>
      <c r="G34" s="1937"/>
      <c r="H34" s="1937"/>
      <c r="I34" s="1937"/>
      <c r="J34" s="1939"/>
    </row>
    <row r="35" spans="1:10" x14ac:dyDescent="0.2">
      <c r="A35" s="1069"/>
      <c r="B35" s="1937"/>
      <c r="C35" s="1937"/>
      <c r="D35" s="1937"/>
      <c r="E35" s="1937"/>
      <c r="F35" s="1937"/>
      <c r="G35" s="1937"/>
      <c r="H35" s="1937"/>
      <c r="I35" s="1937"/>
      <c r="J35" s="1939"/>
    </row>
    <row r="36" spans="1:10" x14ac:dyDescent="0.2">
      <c r="A36" s="1069"/>
      <c r="B36" s="1937"/>
      <c r="C36" s="1937"/>
      <c r="D36" s="1937"/>
      <c r="E36" s="1937"/>
      <c r="F36" s="1937"/>
      <c r="G36" s="1937"/>
      <c r="H36" s="1937"/>
      <c r="I36" s="1937"/>
      <c r="J36" s="1939"/>
    </row>
    <row r="37" spans="1:10" x14ac:dyDescent="0.2">
      <c r="A37" s="1069"/>
      <c r="B37" s="1937"/>
      <c r="C37" s="1937"/>
      <c r="D37" s="1937"/>
      <c r="E37" s="1937"/>
      <c r="F37" s="1937"/>
      <c r="G37" s="1937"/>
      <c r="H37" s="1937"/>
      <c r="I37" s="1937"/>
      <c r="J37" s="1939"/>
    </row>
    <row r="38" spans="1:10" x14ac:dyDescent="0.2">
      <c r="A38" s="1069"/>
    </row>
    <row r="39" spans="1:10" x14ac:dyDescent="0.2">
      <c r="A39" s="1069"/>
    </row>
    <row r="40" spans="1:10" x14ac:dyDescent="0.2">
      <c r="A40" s="1069"/>
    </row>
    <row r="41" spans="1:10" x14ac:dyDescent="0.2">
      <c r="A41" s="1069"/>
    </row>
    <row r="42" spans="1:10" x14ac:dyDescent="0.2">
      <c r="A42" s="1069"/>
    </row>
    <row r="43" spans="1:10" x14ac:dyDescent="0.2">
      <c r="A43" s="1069"/>
    </row>
    <row r="44" spans="1:10" x14ac:dyDescent="0.2">
      <c r="A44" s="1069"/>
    </row>
    <row r="45" spans="1:10" x14ac:dyDescent="0.2">
      <c r="A45" s="1069"/>
    </row>
    <row r="46" spans="1:10" x14ac:dyDescent="0.2">
      <c r="A46" s="1069"/>
    </row>
    <row r="47" spans="1:10" x14ac:dyDescent="0.2">
      <c r="A47" s="1069"/>
    </row>
    <row r="48" spans="1:10"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Irvington CCSD 11</v>
      </c>
    </row>
    <row r="65" spans="2:2" x14ac:dyDescent="0.2">
      <c r="B65" s="1070">
        <f>COVER!A13</f>
        <v>13095011004</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statements.&amp;C41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A4" sqref="A4:R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E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4" sqref="B2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2" r:id="rId4">
          <objectPr defaultSize="0" r:id="rId5">
            <anchor moveWithCells="1">
              <from>
                <xdr:col>1</xdr:col>
                <xdr:colOff>838200</xdr:colOff>
                <xdr:row>5</xdr:row>
                <xdr:rowOff>85725</xdr:rowOff>
              </from>
              <to>
                <xdr:col>1</xdr:col>
                <xdr:colOff>1752600</xdr:colOff>
                <xdr:row>9</xdr:row>
                <xdr:rowOff>123825</xdr:rowOff>
              </to>
            </anchor>
          </objectPr>
        </oleObject>
      </mc:Choice>
      <mc:Fallback>
        <oleObject progId="Acrobat Document" dvAspect="DVASPECT_ICON" shapeId="5120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1988</v>
      </c>
      <c r="B4" s="2363"/>
      <c r="C4" s="2363"/>
      <c r="D4" s="2363"/>
      <c r="E4" s="2363"/>
      <c r="F4" s="2364"/>
      <c r="G4" s="1074"/>
      <c r="H4" s="1074"/>
    </row>
    <row r="5" spans="1:8" ht="14.25" customHeight="1" x14ac:dyDescent="0.2">
      <c r="A5" s="2365" t="s">
        <v>1984</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653690</v>
      </c>
      <c r="C8" s="1815">
        <f>'Acct Summary 7-8'!D8</f>
        <v>36527</v>
      </c>
      <c r="D8" s="1815">
        <f>'Acct Summary 7-8'!F8</f>
        <v>23116</v>
      </c>
      <c r="E8" s="1815">
        <f>'Acct Summary 7-8'!I8</f>
        <v>3932</v>
      </c>
      <c r="F8" s="1815">
        <f>SUM(B8:E8)</f>
        <v>717265</v>
      </c>
    </row>
    <row r="9" spans="1:8" s="1079" customFormat="1" ht="14.25" customHeight="1" thickBot="1" x14ac:dyDescent="0.25">
      <c r="A9" s="1078" t="s">
        <v>1369</v>
      </c>
      <c r="B9" s="1816">
        <f>'Acct Summary 7-8'!C17</f>
        <v>682954</v>
      </c>
      <c r="C9" s="1816">
        <f>'Acct Summary 7-8'!D17</f>
        <v>31406</v>
      </c>
      <c r="D9" s="1816">
        <f>'Acct Summary 7-8'!F17</f>
        <v>28051</v>
      </c>
      <c r="E9" s="1815"/>
      <c r="F9" s="1815">
        <f>SUM(B9:E9)</f>
        <v>742411</v>
      </c>
    </row>
    <row r="10" spans="1:8" s="1079" customFormat="1" ht="14.25" thickTop="1" thickBot="1" x14ac:dyDescent="0.25">
      <c r="A10" s="1080" t="s">
        <v>1370</v>
      </c>
      <c r="B10" s="1817">
        <f>(B8-B9)</f>
        <v>-29264</v>
      </c>
      <c r="C10" s="1817">
        <f>(C8-C9)</f>
        <v>5121</v>
      </c>
      <c r="D10" s="1817">
        <f>(D8-D9)</f>
        <v>-4935</v>
      </c>
      <c r="E10" s="1816">
        <f>(E8-E9)</f>
        <v>3932</v>
      </c>
      <c r="F10" s="1818">
        <f>SUM(F8-F9)</f>
        <v>-25146</v>
      </c>
    </row>
    <row r="11" spans="1:8" s="1079" customFormat="1" ht="14.25" thickTop="1" thickBot="1" x14ac:dyDescent="0.25">
      <c r="A11" s="1081" t="s">
        <v>1985</v>
      </c>
      <c r="B11" s="1819">
        <f>'Acct Summary 7-8'!C81</f>
        <v>166872</v>
      </c>
      <c r="C11" s="1819">
        <f>'Acct Summary 7-8'!D81</f>
        <v>31206</v>
      </c>
      <c r="D11" s="1819">
        <f>'Acct Summary 7-8'!F81</f>
        <v>17880</v>
      </c>
      <c r="E11" s="1819">
        <f>'Acct Summary 7-8'!I81</f>
        <v>0</v>
      </c>
      <c r="F11" s="1820">
        <f>SUM(B11:E11)</f>
        <v>215958</v>
      </c>
    </row>
    <row r="12" spans="1:8" ht="16.5" customHeight="1" thickTop="1" x14ac:dyDescent="0.2">
      <c r="A12" s="1082"/>
      <c r="B12" s="1083"/>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statements.&amp;C42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B2" colorId="8" zoomScale="110" zoomScaleNormal="110" workbookViewId="0">
      <selection activeCell="B1" sqref="A1:E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statements.&amp;C43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13095011004</v>
      </c>
    </row>
    <row r="3" spans="1:2" x14ac:dyDescent="0.2">
      <c r="A3" t="s">
        <v>956</v>
      </c>
      <c r="B3" s="138" t="str">
        <f>COVER!A15</f>
        <v>WASHINGTON</v>
      </c>
    </row>
    <row r="4" spans="1:2" x14ac:dyDescent="0.2">
      <c r="A4" t="s">
        <v>1007</v>
      </c>
      <c r="B4" s="138" t="str">
        <f>COVER!A17</f>
        <v>Irvington CCSD 11</v>
      </c>
    </row>
    <row r="5" spans="1:2" x14ac:dyDescent="0.2">
      <c r="A5" t="s">
        <v>704</v>
      </c>
      <c r="B5" s="138" t="str">
        <f>COVER!A38</f>
        <v>DAVID SCHULTE</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065-023476</v>
      </c>
    </row>
    <row r="16" spans="1:2" x14ac:dyDescent="0.2">
      <c r="A16" t="s">
        <v>422</v>
      </c>
      <c r="B16" s="138" t="str">
        <f>COVER!T13</f>
        <v>SCHEFFEL BOYLE</v>
      </c>
    </row>
    <row r="17" spans="1:2" x14ac:dyDescent="0.2">
      <c r="A17" t="s">
        <v>884</v>
      </c>
      <c r="B17" s="138" t="str">
        <f>COVER!T15</f>
        <v xml:space="preserve">BRIAN A. OTTEN, CPA </v>
      </c>
    </row>
    <row r="18" spans="1:2" x14ac:dyDescent="0.2">
      <c r="A18" t="s">
        <v>1150</v>
      </c>
      <c r="B18" s="138" t="str">
        <f>COVER!T17</f>
        <v>222 EAST MAIN STREET</v>
      </c>
    </row>
    <row r="19" spans="1:2" x14ac:dyDescent="0.2">
      <c r="A19" t="s">
        <v>886</v>
      </c>
      <c r="B19" s="138" t="str">
        <f>COVER!T25</f>
        <v>brian.otten@scheffelboyle.com</v>
      </c>
    </row>
    <row r="20" spans="1:2" x14ac:dyDescent="0.2">
      <c r="A20" t="s">
        <v>887</v>
      </c>
      <c r="B20" s="138" t="str">
        <f>COVER!T19</f>
        <v>BELLEVILLE</v>
      </c>
    </row>
    <row r="21" spans="1:2" x14ac:dyDescent="0.2">
      <c r="A21" t="s">
        <v>479</v>
      </c>
      <c r="B21" s="138" t="str">
        <f>COVER!X19</f>
        <v>IL</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124412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166872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166872</v>
      </c>
      <c r="D92" s="2" t="str">
        <f t="shared" si="0"/>
        <v>Error?</v>
      </c>
    </row>
    <row r="93" spans="1:4" x14ac:dyDescent="0.2">
      <c r="A93" s="5">
        <v>32</v>
      </c>
      <c r="B93" s="138">
        <f>'Assets-Liab 5-6'!C41</f>
        <v>166872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31206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31206</v>
      </c>
      <c r="D123" s="2" t="str">
        <f t="shared" si="0"/>
        <v>Error?</v>
      </c>
    </row>
    <row r="124" spans="1:4" x14ac:dyDescent="0.2">
      <c r="A124" s="5">
        <v>63</v>
      </c>
      <c r="B124" s="138">
        <f>'Assets-Liab 5-6'!D41</f>
        <v>31206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17880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17880</v>
      </c>
      <c r="D170" s="2" t="str">
        <f t="shared" si="1"/>
        <v>Error?</v>
      </c>
    </row>
    <row r="171" spans="1:4" x14ac:dyDescent="0.2">
      <c r="A171" s="5">
        <v>110</v>
      </c>
      <c r="B171" s="138">
        <f>'Assets-Liab 5-6'!F41</f>
        <v>17880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7016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1205</v>
      </c>
      <c r="D189" s="2" t="str">
        <f t="shared" si="1"/>
        <v>Error?</v>
      </c>
    </row>
    <row r="190" spans="1:4" x14ac:dyDescent="0.2">
      <c r="A190" s="5">
        <v>129</v>
      </c>
      <c r="B190" s="138">
        <f>'Assets-Liab 5-6'!G41</f>
        <v>7016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2300</v>
      </c>
      <c r="D273" s="2" t="str">
        <f t="shared" si="3"/>
        <v>Error?</v>
      </c>
    </row>
    <row r="274" spans="1:4" x14ac:dyDescent="0.2">
      <c r="A274" s="5">
        <v>213</v>
      </c>
      <c r="B274" s="138">
        <f>'Assets-Liab 5-6'!M17</f>
        <v>554892</v>
      </c>
      <c r="D274" s="2" t="str">
        <f t="shared" si="3"/>
        <v>Error?</v>
      </c>
    </row>
    <row r="275" spans="1:4" x14ac:dyDescent="0.2">
      <c r="A275" s="5">
        <v>214</v>
      </c>
      <c r="B275" s="138">
        <f>'Assets-Liab 5-6'!M18</f>
        <v>0</v>
      </c>
      <c r="D275" s="2" t="str">
        <f t="shared" si="3"/>
        <v>Error?</v>
      </c>
    </row>
    <row r="276" spans="1:4" x14ac:dyDescent="0.2">
      <c r="A276" s="5">
        <v>215</v>
      </c>
      <c r="B276" s="138">
        <f>'Assets-Liab 5-6'!M19</f>
        <v>186283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743475</v>
      </c>
      <c r="C279" s="2" t="s">
        <v>573</v>
      </c>
      <c r="D279" s="2" t="str">
        <f t="shared" si="3"/>
        <v>Error?</v>
      </c>
    </row>
    <row r="280" spans="1:4" x14ac:dyDescent="0.2">
      <c r="A280" s="5">
        <v>219</v>
      </c>
      <c r="B280" s="138">
        <f>'Assets-Liab 5-6'!M40</f>
        <v>743475</v>
      </c>
      <c r="D280" s="2" t="str">
        <f t="shared" si="3"/>
        <v>Error?</v>
      </c>
    </row>
    <row r="281" spans="1:4" x14ac:dyDescent="0.2">
      <c r="A281" s="5">
        <v>220</v>
      </c>
      <c r="B281" s="138">
        <f>'Assets-Liab 5-6'!M41</f>
        <v>743475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3932</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270193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298045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112</v>
      </c>
      <c r="D726" s="2" t="str">
        <f t="shared" si="10"/>
        <v>Error?</v>
      </c>
    </row>
    <row r="727" spans="1:4" x14ac:dyDescent="0.2">
      <c r="A727" s="5">
        <v>666</v>
      </c>
      <c r="B727" s="138">
        <f>'Expenditures 15-22'!C42</f>
        <v>112</v>
      </c>
      <c r="C727" s="2" t="s">
        <v>573</v>
      </c>
      <c r="D727" s="2" t="str">
        <f t="shared" si="10"/>
        <v>Error?</v>
      </c>
    </row>
    <row r="728" spans="1:4" x14ac:dyDescent="0.2">
      <c r="A728" s="5">
        <v>667</v>
      </c>
      <c r="B728" s="138">
        <f>'Expenditures 15-22'!C44</f>
        <v>5695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5695</v>
      </c>
      <c r="C731" s="2" t="s">
        <v>573</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71876</v>
      </c>
      <c r="D733" s="2" t="str">
        <f t="shared" si="10"/>
        <v>Error?</v>
      </c>
    </row>
    <row r="734" spans="1:4" x14ac:dyDescent="0.2">
      <c r="A734" s="5">
        <v>673</v>
      </c>
      <c r="B734" s="138">
        <f>'Expenditures 15-22'!C53</f>
        <v>72476</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25969</v>
      </c>
      <c r="D739" s="2" t="str">
        <f t="shared" si="10"/>
        <v>Error?</v>
      </c>
    </row>
    <row r="740" spans="1:4" x14ac:dyDescent="0.2">
      <c r="A740" s="5">
        <v>679</v>
      </c>
      <c r="B740" s="138">
        <f>'Expenditures 15-22'!C61</f>
        <v>24292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13503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63764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142047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440092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60033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63572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16495</v>
      </c>
      <c r="D791" s="2" t="str">
        <f t="shared" si="11"/>
        <v>Error?</v>
      </c>
    </row>
    <row r="792" spans="1:4" x14ac:dyDescent="0.2">
      <c r="A792" s="5">
        <v>731</v>
      </c>
      <c r="B792" s="138">
        <f>'Expenditures 15-22'!D53</f>
        <v>16495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5402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5426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21922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85494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10602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17023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27959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27959</v>
      </c>
      <c r="C847" s="2" t="s">
        <v>573</v>
      </c>
      <c r="D847" s="2" t="str">
        <f t="shared" si="12"/>
        <v>Error?</v>
      </c>
    </row>
    <row r="848" spans="1:4" x14ac:dyDescent="0.2">
      <c r="A848" s="5">
        <v>787</v>
      </c>
      <c r="B848" s="138">
        <f>'Expenditures 15-22'!E49</f>
        <v>35677</v>
      </c>
      <c r="D848" s="2" t="str">
        <f t="shared" si="12"/>
        <v>Error?</v>
      </c>
    </row>
    <row r="849" spans="1:4" x14ac:dyDescent="0.2">
      <c r="A849" s="5">
        <v>788</v>
      </c>
      <c r="B849" s="138">
        <f>'Expenditures 15-22'!E50</f>
        <v>3186</v>
      </c>
      <c r="D849" s="2" t="str">
        <f t="shared" si="12"/>
        <v>Error?</v>
      </c>
    </row>
    <row r="850" spans="1:4" x14ac:dyDescent="0.2">
      <c r="A850" s="5">
        <v>789</v>
      </c>
      <c r="B850" s="138">
        <f>'Expenditures 15-22'!E53</f>
        <v>38863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11377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11377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78199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95222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16289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159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25441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25441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98</v>
      </c>
      <c r="D928" s="2" t="str">
        <f t="shared" si="13"/>
        <v>Error?</v>
      </c>
    </row>
    <row r="929" spans="1:4" x14ac:dyDescent="0.2">
      <c r="A929" s="5">
        <v>868</v>
      </c>
      <c r="B929" s="138">
        <f>'Expenditures 15-22'!F74</f>
        <v>25698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41987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846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1176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797</v>
      </c>
      <c r="D1022" s="2" t="str">
        <f t="shared" si="14"/>
        <v>Error?</v>
      </c>
    </row>
    <row r="1023" spans="1:4" x14ac:dyDescent="0.2">
      <c r="A1023" s="5">
        <v>962</v>
      </c>
      <c r="B1023" s="138">
        <f>'Expenditures 15-22'!H50</f>
        <v>635</v>
      </c>
      <c r="D1023" s="2" t="str">
        <f t="shared" ref="D1023:D1086" si="15">IF(ISBLANK(B1023),"OK",IF(A1023-B1023=0,"OK","Error?"))</f>
        <v>Error?</v>
      </c>
    </row>
    <row r="1024" spans="1:4" x14ac:dyDescent="0.2">
      <c r="A1024" s="5">
        <v>963</v>
      </c>
      <c r="B1024" s="138">
        <f>'Expenditures 15-22'!H53</f>
        <v>1432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16935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19543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343054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4513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396721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112</v>
      </c>
      <c r="C1114" s="2" t="s">
        <v>573</v>
      </c>
      <c r="D1114" s="2" t="str">
        <f t="shared" si="16"/>
        <v>Error?</v>
      </c>
    </row>
    <row r="1115" spans="1:4" x14ac:dyDescent="0.2">
      <c r="A1115" s="5">
        <v>1054</v>
      </c>
      <c r="B1115" s="138">
        <f>'Expenditures 15-22'!K42</f>
        <v>112</v>
      </c>
      <c r="C1115" s="2" t="s">
        <v>573</v>
      </c>
      <c r="D1115" s="2" t="str">
        <f t="shared" si="16"/>
        <v>Error?</v>
      </c>
    </row>
    <row r="1116" spans="1:4" x14ac:dyDescent="0.2">
      <c r="A1116" s="5">
        <v>1055</v>
      </c>
      <c r="B1116" s="138">
        <f>'Expenditures 15-22'!K44</f>
        <v>33655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33655</v>
      </c>
      <c r="C1119" s="2" t="s">
        <v>573</v>
      </c>
      <c r="D1119" s="2" t="str">
        <f t="shared" si="16"/>
        <v>Error?</v>
      </c>
    </row>
    <row r="1120" spans="1:4" x14ac:dyDescent="0.2">
      <c r="A1120" s="5">
        <v>1059</v>
      </c>
      <c r="B1120" s="138">
        <f>'Expenditures 15-22'!K49</f>
        <v>37074</v>
      </c>
      <c r="C1120" s="2" t="s">
        <v>573</v>
      </c>
      <c r="D1120" s="2" t="str">
        <f t="shared" si="16"/>
        <v>Error?</v>
      </c>
    </row>
    <row r="1121" spans="1:4" x14ac:dyDescent="0.2">
      <c r="A1121" s="5">
        <v>1060</v>
      </c>
      <c r="B1121" s="138">
        <f>'Expenditures 15-22'!K50</f>
        <v>92192</v>
      </c>
      <c r="C1121" s="2" t="s">
        <v>573</v>
      </c>
      <c r="D1121" s="2" t="str">
        <f t="shared" si="16"/>
        <v>Error?</v>
      </c>
    </row>
    <row r="1122" spans="1:4" x14ac:dyDescent="0.2">
      <c r="A1122" s="5">
        <v>1061</v>
      </c>
      <c r="B1122" s="138">
        <f>'Expenditures 15-22'!K53</f>
        <v>129266</v>
      </c>
      <c r="C1122" s="2" t="s">
        <v>573</v>
      </c>
      <c r="D1122" s="2" t="str">
        <f t="shared" si="16"/>
        <v>Error?</v>
      </c>
    </row>
    <row r="1123" spans="1:4" x14ac:dyDescent="0.2">
      <c r="A1123" s="5">
        <v>1062</v>
      </c>
      <c r="B1123" s="138">
        <f>'Expenditures 15-22'!K55</f>
        <v>159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25981</v>
      </c>
      <c r="C1127" s="2" t="s">
        <v>573</v>
      </c>
      <c r="D1127" s="2" t="str">
        <f t="shared" si="16"/>
        <v>Error?</v>
      </c>
    </row>
    <row r="1128" spans="1:4" x14ac:dyDescent="0.2">
      <c r="A1128" s="5">
        <v>1067</v>
      </c>
      <c r="B1128" s="138">
        <f>'Expenditures 15-22'!K61</f>
        <v>41071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38956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106008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98</v>
      </c>
      <c r="C1142" s="2" t="s">
        <v>573</v>
      </c>
      <c r="D1142" s="2" t="str">
        <f t="shared" si="16"/>
        <v>Error?</v>
      </c>
    </row>
    <row r="1143" spans="1:4" x14ac:dyDescent="0.2">
      <c r="A1143" s="5">
        <v>1082</v>
      </c>
      <c r="B1143" s="138">
        <f>'Expenditures 15-22'!K74</f>
        <v>269298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16935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682954</v>
      </c>
      <c r="C1152" s="2" t="s">
        <v>573</v>
      </c>
      <c r="D1152" s="2" t="str">
        <f t="shared" si="17"/>
        <v>Error?</v>
      </c>
    </row>
    <row r="1153" spans="1:4" x14ac:dyDescent="0.2">
      <c r="A1153" s="5">
        <v>1092</v>
      </c>
      <c r="B1153" s="138">
        <f>'Expenditures 15-22'!K115</f>
        <v>-29264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11326</v>
      </c>
      <c r="D1237" s="2" t="str">
        <f t="shared" si="18"/>
        <v>Error?</v>
      </c>
    </row>
    <row r="1238" spans="1:4" x14ac:dyDescent="0.2">
      <c r="A1238" s="10">
        <v>1177</v>
      </c>
      <c r="D1238" s="2" t="str">
        <f t="shared" si="18"/>
        <v>OK</v>
      </c>
    </row>
    <row r="1239" spans="1:4" x14ac:dyDescent="0.2">
      <c r="A1239" s="5">
        <v>1178</v>
      </c>
      <c r="B1239" s="138">
        <f>'Expenditures 15-22'!E127</f>
        <v>11326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11326</v>
      </c>
      <c r="C1241" s="2" t="s">
        <v>573</v>
      </c>
      <c r="D1241" s="2" t="str">
        <f t="shared" si="18"/>
        <v>Error?</v>
      </c>
    </row>
    <row r="1242" spans="1:4" x14ac:dyDescent="0.2">
      <c r="A1242" s="5">
        <v>1181</v>
      </c>
      <c r="B1242" s="138">
        <f>'Expenditures 15-22'!E151</f>
        <v>11326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15580</v>
      </c>
      <c r="D1245" s="2" t="str">
        <f t="shared" si="18"/>
        <v>Error?</v>
      </c>
    </row>
    <row r="1246" spans="1:4" x14ac:dyDescent="0.2">
      <c r="A1246" s="10">
        <v>1185</v>
      </c>
      <c r="D1246" s="2" t="str">
        <f t="shared" si="18"/>
        <v>OK</v>
      </c>
    </row>
    <row r="1247" spans="1:4" x14ac:dyDescent="0.2">
      <c r="A1247" s="5">
        <v>1186</v>
      </c>
      <c r="B1247" s="138">
        <f>'Expenditures 15-22'!F127</f>
        <v>15580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15580</v>
      </c>
      <c r="C1249" s="2" t="s">
        <v>573</v>
      </c>
      <c r="D1249" s="2" t="str">
        <f t="shared" si="18"/>
        <v>Error?</v>
      </c>
    </row>
    <row r="1250" spans="1:4" x14ac:dyDescent="0.2">
      <c r="A1250" s="5">
        <v>1189</v>
      </c>
      <c r="B1250" s="138">
        <f>'Expenditures 15-22'!F151</f>
        <v>15580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4500</v>
      </c>
      <c r="C1258" s="2" t="s">
        <v>573</v>
      </c>
      <c r="D1258" s="2" t="str">
        <f t="shared" si="18"/>
        <v>Error?</v>
      </c>
    </row>
    <row r="1259" spans="1:4" x14ac:dyDescent="0.2">
      <c r="A1259" s="5">
        <v>1198</v>
      </c>
      <c r="B1259" s="138">
        <f>'Expenditures 15-22'!G151</f>
        <v>4500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31406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31406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31406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31406</v>
      </c>
      <c r="C1288" s="2" t="s">
        <v>573</v>
      </c>
      <c r="D1288" s="2" t="str">
        <f t="shared" si="19"/>
        <v>Error?</v>
      </c>
    </row>
    <row r="1289" spans="1:4" x14ac:dyDescent="0.2">
      <c r="A1289" s="5">
        <v>1228</v>
      </c>
      <c r="B1289" s="138">
        <f>'Expenditures 15-22'!K152</f>
        <v>5121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16243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16243</v>
      </c>
      <c r="C1339" s="2" t="s">
        <v>573</v>
      </c>
      <c r="D1339" s="2" t="str">
        <f t="shared" si="19"/>
        <v>Error?</v>
      </c>
    </row>
    <row r="1340" spans="1:4" x14ac:dyDescent="0.2">
      <c r="A1340" s="5">
        <v>1279</v>
      </c>
      <c r="B1340" s="138">
        <f>'Expenditures 15-22'!C210</f>
        <v>16243</v>
      </c>
      <c r="C1340" s="2" t="s">
        <v>573</v>
      </c>
      <c r="D1340" s="2" t="str">
        <f t="shared" si="19"/>
        <v>Error?</v>
      </c>
    </row>
    <row r="1341" spans="1:4" x14ac:dyDescent="0.2">
      <c r="A1341" s="5">
        <v>1280</v>
      </c>
      <c r="B1341" s="138">
        <f>'Expenditures 15-22'!D182</f>
        <v>2722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2722</v>
      </c>
      <c r="C1345" s="2" t="s">
        <v>573</v>
      </c>
      <c r="D1345" s="2" t="str">
        <f t="shared" si="20"/>
        <v>Error?</v>
      </c>
    </row>
    <row r="1346" spans="1:4" x14ac:dyDescent="0.2">
      <c r="A1346" s="5">
        <v>1285</v>
      </c>
      <c r="B1346" s="138">
        <f>'Expenditures 15-22'!D210</f>
        <v>2722</v>
      </c>
      <c r="C1346" s="2" t="s">
        <v>573</v>
      </c>
      <c r="D1346" s="2" t="str">
        <f t="shared" si="20"/>
        <v>Error?</v>
      </c>
    </row>
    <row r="1347" spans="1:4" x14ac:dyDescent="0.2">
      <c r="A1347" s="5">
        <v>1286</v>
      </c>
      <c r="B1347" s="138">
        <f>'Expenditures 15-22'!E182</f>
        <v>672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672</v>
      </c>
      <c r="C1353" s="2" t="s">
        <v>573</v>
      </c>
      <c r="D1353" s="2" t="str">
        <f t="shared" si="20"/>
        <v>Error?</v>
      </c>
    </row>
    <row r="1354" spans="1:4" x14ac:dyDescent="0.2">
      <c r="A1354" s="5">
        <v>1293</v>
      </c>
      <c r="B1354" s="138">
        <f>'Expenditures 15-22'!F182</f>
        <v>8414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8414</v>
      </c>
      <c r="C1358" s="2" t="s">
        <v>573</v>
      </c>
      <c r="D1358" s="2" t="str">
        <f t="shared" si="20"/>
        <v>Error?</v>
      </c>
    </row>
    <row r="1359" spans="1:4" x14ac:dyDescent="0.2">
      <c r="A1359" s="5">
        <v>1298</v>
      </c>
      <c r="B1359" s="138">
        <f>'Expenditures 15-22'!F210</f>
        <v>8414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28051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28051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28051</v>
      </c>
      <c r="C1388" s="2" t="s">
        <v>573</v>
      </c>
      <c r="D1388" s="2" t="str">
        <f t="shared" si="20"/>
        <v>Error?</v>
      </c>
    </row>
    <row r="1389" spans="1:4" x14ac:dyDescent="0.2">
      <c r="A1389" s="5">
        <v>1328</v>
      </c>
      <c r="B1389" s="138">
        <f>'Expenditures 15-22'!K211</f>
        <v>-4935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8716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1190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1190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1238</v>
      </c>
      <c r="D1423" s="2" t="str">
        <f t="shared" si="21"/>
        <v>Error?</v>
      </c>
    </row>
    <row r="1424" spans="1:4" x14ac:dyDescent="0.2">
      <c r="A1424" s="5">
        <v>1363</v>
      </c>
      <c r="B1424" s="138">
        <f>'Expenditures 15-22'!D257</f>
        <v>1238</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5417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5022</v>
      </c>
      <c r="D1431" s="2" t="str">
        <f t="shared" si="21"/>
        <v>Error?</v>
      </c>
    </row>
    <row r="1432" spans="1:4" x14ac:dyDescent="0.2">
      <c r="A1432" s="5">
        <v>1371</v>
      </c>
      <c r="B1432" s="138">
        <f>'Expenditures 15-22'!D267</f>
        <v>1538</v>
      </c>
      <c r="D1432" s="2" t="str">
        <f t="shared" si="21"/>
        <v>Error?</v>
      </c>
    </row>
    <row r="1433" spans="1:4" x14ac:dyDescent="0.2">
      <c r="A1433" s="5">
        <v>1372</v>
      </c>
      <c r="B1433" s="138">
        <f>'Expenditures 15-22'!D268</f>
        <v>2817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14794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17222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25938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8716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1190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1190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1238</v>
      </c>
      <c r="C1487" s="2" t="s">
        <v>573</v>
      </c>
      <c r="D1487" s="2" t="str">
        <f t="shared" si="22"/>
        <v>Error?</v>
      </c>
    </row>
    <row r="1488" spans="1:4" x14ac:dyDescent="0.2">
      <c r="A1488" s="5">
        <v>1427</v>
      </c>
      <c r="B1488" s="138">
        <f>'Expenditures 15-22'!K257</f>
        <v>1238</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5417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5022</v>
      </c>
      <c r="C1495" s="2" t="s">
        <v>573</v>
      </c>
      <c r="D1495" s="2" t="str">
        <f t="shared" si="22"/>
        <v>Error?</v>
      </c>
    </row>
    <row r="1496" spans="1:4" x14ac:dyDescent="0.2">
      <c r="A1496" s="5">
        <v>1435</v>
      </c>
      <c r="B1496" s="138">
        <f>'Expenditures 15-22'!K267</f>
        <v>1538</v>
      </c>
      <c r="C1496" s="2" t="s">
        <v>573</v>
      </c>
      <c r="D1496" s="2" t="str">
        <f t="shared" si="22"/>
        <v>Error?</v>
      </c>
    </row>
    <row r="1497" spans="1:4" x14ac:dyDescent="0.2">
      <c r="A1497" s="5">
        <v>1436</v>
      </c>
      <c r="B1497" s="138">
        <f>'Expenditures 15-22'!K268</f>
        <v>2817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14794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17222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25938</v>
      </c>
      <c r="C1517" s="2" t="s">
        <v>573</v>
      </c>
      <c r="D1517" s="2" t="str">
        <f t="shared" si="22"/>
        <v>Error?</v>
      </c>
    </row>
    <row r="1518" spans="1:4" x14ac:dyDescent="0.2">
      <c r="A1518" s="5">
        <v>1457</v>
      </c>
      <c r="B1518" s="138">
        <f>'Expenditures 15-22'!K296</f>
        <v>3993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192204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166872</v>
      </c>
      <c r="C1630" s="2" t="s">
        <v>573</v>
      </c>
      <c r="D1630" s="2" t="str">
        <f t="shared" si="24"/>
        <v>Error?</v>
      </c>
    </row>
    <row r="1631" spans="1:4" x14ac:dyDescent="0.2">
      <c r="A1631" s="5">
        <v>1570</v>
      </c>
      <c r="B1631" s="138">
        <f>'Acct Summary 7-8'!D79</f>
        <v>26085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31206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22815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17880</v>
      </c>
      <c r="C1672" s="2" t="s">
        <v>573</v>
      </c>
      <c r="D1672" s="2" t="str">
        <f t="shared" si="25"/>
        <v>Error?</v>
      </c>
    </row>
    <row r="1673" spans="1:4" x14ac:dyDescent="0.2">
      <c r="A1673" s="5">
        <v>1612</v>
      </c>
      <c r="B1673" s="138">
        <f>'Acct Summary 7-8'!G79</f>
        <v>3023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7016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296298</v>
      </c>
      <c r="C1744" s="2" t="s">
        <v>573</v>
      </c>
      <c r="D1744" s="2" t="str">
        <f t="shared" si="26"/>
        <v>Error?</v>
      </c>
    </row>
    <row r="1745" spans="1:5" x14ac:dyDescent="0.2">
      <c r="A1745" s="5">
        <v>1684</v>
      </c>
      <c r="B1745" s="138">
        <f>'Tax Sched 23'!B5</f>
        <v>36527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14869</v>
      </c>
      <c r="C1747" s="2" t="s">
        <v>573</v>
      </c>
      <c r="D1747" s="2" t="str">
        <f t="shared" si="26"/>
        <v>Error?</v>
      </c>
    </row>
    <row r="1748" spans="1:5" x14ac:dyDescent="0.2">
      <c r="A1748" s="5">
        <v>1687</v>
      </c>
      <c r="B1748" s="138">
        <f>'Tax Sched 23'!B8</f>
        <v>3680</v>
      </c>
      <c r="C1748" s="2" t="s">
        <v>573</v>
      </c>
      <c r="D1748" s="2" t="str">
        <f t="shared" si="26"/>
        <v>Error?</v>
      </c>
    </row>
    <row r="1749" spans="1:5" x14ac:dyDescent="0.2">
      <c r="A1749" s="5">
        <v>1688</v>
      </c>
      <c r="B1749" s="138">
        <f>'Tax Sched 23'!B10</f>
        <v>3932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5719</v>
      </c>
      <c r="C1753" s="2" t="s">
        <v>573</v>
      </c>
      <c r="D1753" s="2" t="str">
        <f t="shared" si="26"/>
        <v>Error?</v>
      </c>
    </row>
    <row r="1754" spans="1:5" x14ac:dyDescent="0.2">
      <c r="A1754" s="5">
        <v>1693</v>
      </c>
      <c r="B1754" s="138">
        <f>'Tax Sched 23'!B14</f>
        <v>8579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373284</v>
      </c>
      <c r="C1759" s="2" t="s">
        <v>573</v>
      </c>
      <c r="D1759" s="2" t="str">
        <f t="shared" si="26"/>
        <v>Error?</v>
      </c>
    </row>
    <row r="1760" spans="1:5" x14ac:dyDescent="0.2">
      <c r="A1760" s="5">
        <v>1699</v>
      </c>
      <c r="B1760" s="138">
        <f>'Tax Sched 23'!D4</f>
        <v>296298</v>
      </c>
      <c r="C1760" s="2" t="s">
        <v>573</v>
      </c>
      <c r="D1760" s="2" t="str">
        <f t="shared" si="26"/>
        <v>Error?</v>
      </c>
    </row>
    <row r="1761" spans="1:5" x14ac:dyDescent="0.2">
      <c r="A1761" s="5">
        <v>1700</v>
      </c>
      <c r="B1761" s="138">
        <f>'Tax Sched 23'!D5</f>
        <v>36527</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14869</v>
      </c>
      <c r="C1763" s="2" t="s">
        <v>573</v>
      </c>
      <c r="D1763" s="2" t="str">
        <f t="shared" si="26"/>
        <v>Error?</v>
      </c>
    </row>
    <row r="1764" spans="1:5" x14ac:dyDescent="0.2">
      <c r="A1764" s="5">
        <v>1703</v>
      </c>
      <c r="B1764" s="138">
        <f>'Tax Sched 23'!D8</f>
        <v>3680</v>
      </c>
      <c r="C1764" s="2" t="s">
        <v>573</v>
      </c>
      <c r="D1764" s="2" t="str">
        <f t="shared" si="26"/>
        <v>Error?</v>
      </c>
    </row>
    <row r="1765" spans="1:5" x14ac:dyDescent="0.2">
      <c r="A1765" s="5">
        <v>1704</v>
      </c>
      <c r="B1765" s="138">
        <f>'Tax Sched 23'!D10</f>
        <v>3932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5719</v>
      </c>
      <c r="C1769" s="2" t="s">
        <v>573</v>
      </c>
      <c r="D1769" s="2" t="str">
        <f t="shared" si="26"/>
        <v>Error?</v>
      </c>
    </row>
    <row r="1770" spans="1:5" x14ac:dyDescent="0.2">
      <c r="A1770" s="5">
        <v>1709</v>
      </c>
      <c r="B1770" s="138">
        <f>'Tax Sched 23'!D14</f>
        <v>8579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373284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303304</v>
      </c>
      <c r="C1792" s="2" t="s">
        <v>573</v>
      </c>
      <c r="D1792" s="2" t="str">
        <f t="shared" si="27"/>
        <v>Error?</v>
      </c>
    </row>
    <row r="1793" spans="1:4" x14ac:dyDescent="0.2">
      <c r="A1793" s="5">
        <v>1732</v>
      </c>
      <c r="B1793" s="138">
        <f>'Tax Sched 23'!F5</f>
        <v>37053</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15219</v>
      </c>
      <c r="C1795" s="2" t="s">
        <v>573</v>
      </c>
      <c r="D1795" s="2" t="str">
        <f t="shared" si="27"/>
        <v>Error?</v>
      </c>
    </row>
    <row r="1796" spans="1:4" x14ac:dyDescent="0.2">
      <c r="A1796" s="5">
        <v>1735</v>
      </c>
      <c r="B1796" s="138">
        <f>'Tax Sched 23'!F8</f>
        <v>5774</v>
      </c>
      <c r="C1796" s="2" t="s">
        <v>573</v>
      </c>
      <c r="D1796" s="2" t="str">
        <f t="shared" si="27"/>
        <v>Error?</v>
      </c>
    </row>
    <row r="1797" spans="1:4" x14ac:dyDescent="0.2">
      <c r="A1797" s="5">
        <v>1736</v>
      </c>
      <c r="B1797" s="138">
        <f>'Tax Sched 23'!F10</f>
        <v>4025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5855</v>
      </c>
      <c r="C1801" s="2" t="s">
        <v>573</v>
      </c>
      <c r="D1801" s="2" t="str">
        <f t="shared" si="27"/>
        <v>Error?</v>
      </c>
    </row>
    <row r="1802" spans="1:4" x14ac:dyDescent="0.2">
      <c r="A1802" s="5">
        <v>1741</v>
      </c>
      <c r="B1802" s="138">
        <f>'Tax Sched 23'!F14</f>
        <v>8781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385785</v>
      </c>
      <c r="C1807" s="2" t="s">
        <v>573</v>
      </c>
      <c r="D1807" s="2" t="str">
        <f t="shared" si="27"/>
        <v>Error?</v>
      </c>
    </row>
    <row r="1808" spans="1:4" x14ac:dyDescent="0.2">
      <c r="A1808" s="5">
        <v>1747</v>
      </c>
      <c r="B1808" s="138">
        <f>'Tax Sched 23'!E4</f>
        <v>303304</v>
      </c>
      <c r="D1808" s="2" t="str">
        <f t="shared" si="27"/>
        <v>Error?</v>
      </c>
    </row>
    <row r="1809" spans="1:4" x14ac:dyDescent="0.2">
      <c r="A1809" s="5">
        <v>1748</v>
      </c>
      <c r="B1809" s="138">
        <f>'Tax Sched 23'!E5</f>
        <v>37053</v>
      </c>
      <c r="D1809" s="2" t="str">
        <f t="shared" si="27"/>
        <v>Error?</v>
      </c>
    </row>
    <row r="1810" spans="1:4" x14ac:dyDescent="0.2">
      <c r="A1810" s="5">
        <v>1749</v>
      </c>
      <c r="B1810" s="138">
        <f>'Tax Sched 23'!E6</f>
        <v>0</v>
      </c>
      <c r="D1810" s="2" t="str">
        <f t="shared" si="27"/>
        <v>Error?</v>
      </c>
    </row>
    <row r="1811" spans="1:4" x14ac:dyDescent="0.2">
      <c r="A1811" s="5">
        <v>1750</v>
      </c>
      <c r="B1811" s="138">
        <f>'Tax Sched 23'!E7</f>
        <v>15219</v>
      </c>
      <c r="D1811" s="2" t="str">
        <f t="shared" si="27"/>
        <v>Error?</v>
      </c>
    </row>
    <row r="1812" spans="1:4" x14ac:dyDescent="0.2">
      <c r="A1812" s="5">
        <v>1751</v>
      </c>
      <c r="B1812" s="138">
        <f>'Tax Sched 23'!E8</f>
        <v>5774</v>
      </c>
      <c r="D1812" s="2" t="str">
        <f t="shared" si="27"/>
        <v>Error?</v>
      </c>
    </row>
    <row r="1813" spans="1:4" x14ac:dyDescent="0.2">
      <c r="A1813" s="5">
        <v>1752</v>
      </c>
      <c r="B1813" s="138">
        <f>'Tax Sched 23'!E10</f>
        <v>4025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5855</v>
      </c>
      <c r="D1817" s="2" t="str">
        <f t="shared" si="27"/>
        <v>Error?</v>
      </c>
    </row>
    <row r="1818" spans="1:4" x14ac:dyDescent="0.2">
      <c r="A1818" s="5">
        <v>1757</v>
      </c>
      <c r="B1818" s="138">
        <f>'Tax Sched 23'!E14</f>
        <v>8781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385785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8579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8579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8579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2300</v>
      </c>
      <c r="D2008" s="2" t="str">
        <f t="shared" si="30"/>
        <v>Error?</v>
      </c>
    </row>
    <row r="2009" spans="1:4" x14ac:dyDescent="0.2">
      <c r="A2009" s="5">
        <v>1948</v>
      </c>
      <c r="B2009" s="138">
        <f>'Cap Outlay Deprec 26'!C8</f>
        <v>552392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115565</v>
      </c>
      <c r="D2011" s="2" t="str">
        <f t="shared" si="30"/>
        <v>Error?</v>
      </c>
    </row>
    <row r="2012" spans="1:4" x14ac:dyDescent="0.2">
      <c r="A2012" s="5">
        <v>1951</v>
      </c>
      <c r="B2012" s="138">
        <f>'Cap Outlay Deprec 26'!C13</f>
        <v>45922</v>
      </c>
      <c r="D2012" s="2" t="str">
        <f t="shared" si="30"/>
        <v>Error?</v>
      </c>
    </row>
    <row r="2013" spans="1:4" x14ac:dyDescent="0.2">
      <c r="A2013" s="5">
        <v>1952</v>
      </c>
      <c r="B2013" s="138">
        <f>'Cap Outlay Deprec 26'!C16</f>
        <v>716179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24796</v>
      </c>
      <c r="D2018" s="2" t="str">
        <f t="shared" si="30"/>
        <v>Error?</v>
      </c>
    </row>
    <row r="2019" spans="1:4" x14ac:dyDescent="0.2">
      <c r="A2019" s="5">
        <v>1958</v>
      </c>
      <c r="B2019" s="138">
        <f>'Cap Outlay Deprec 26'!D16</f>
        <v>27296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2300</v>
      </c>
      <c r="C2026" s="2" t="s">
        <v>573</v>
      </c>
      <c r="D2026" s="2" t="str">
        <f t="shared" si="30"/>
        <v>Error?</v>
      </c>
    </row>
    <row r="2027" spans="1:4" x14ac:dyDescent="0.2">
      <c r="A2027" s="5">
        <v>1966</v>
      </c>
      <c r="B2027" s="138">
        <f>'Cap Outlay Deprec 26'!F8</f>
        <v>554892</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115565</v>
      </c>
      <c r="C2029" s="2" t="s">
        <v>573</v>
      </c>
      <c r="D2029" s="2" t="str">
        <f t="shared" si="30"/>
        <v>Error?</v>
      </c>
    </row>
    <row r="2030" spans="1:4" x14ac:dyDescent="0.2">
      <c r="A2030" s="5">
        <v>1969</v>
      </c>
      <c r="B2030" s="138">
        <f>'Cap Outlay Deprec 26'!F13</f>
        <v>70718</v>
      </c>
      <c r="C2030" s="2" t="s">
        <v>573</v>
      </c>
      <c r="D2030" s="2" t="str">
        <f t="shared" si="30"/>
        <v>Error?</v>
      </c>
    </row>
    <row r="2031" spans="1:4" x14ac:dyDescent="0.2">
      <c r="A2031" s="5">
        <v>1970</v>
      </c>
      <c r="B2031" s="138">
        <f>'Cap Outlay Deprec 26'!F16</f>
        <v>743475</v>
      </c>
      <c r="C2031" s="2" t="s">
        <v>573</v>
      </c>
      <c r="D2031" s="2" t="str">
        <f t="shared" si="30"/>
        <v>Error?</v>
      </c>
    </row>
    <row r="2032" spans="1:4" x14ac:dyDescent="0.2">
      <c r="A2032" s="10">
        <v>1971</v>
      </c>
      <c r="D2032" s="2" t="str">
        <f t="shared" si="30"/>
        <v>OK</v>
      </c>
    </row>
    <row r="2033" spans="1:4" x14ac:dyDescent="0.2">
      <c r="A2033" s="5">
        <v>1972</v>
      </c>
      <c r="B2033" s="138">
        <f>'Cap Outlay Deprec 26'!H8</f>
        <v>463029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85625</v>
      </c>
      <c r="D2035" s="2" t="str">
        <f t="shared" si="30"/>
        <v>Error?</v>
      </c>
    </row>
    <row r="2036" spans="1:4" x14ac:dyDescent="0.2">
      <c r="A2036" s="5">
        <v>1975</v>
      </c>
      <c r="B2036" s="138">
        <f>'Cap Outlay Deprec 26'!H13</f>
        <v>45922</v>
      </c>
      <c r="D2036" s="2" t="str">
        <f t="shared" si="30"/>
        <v>Error?</v>
      </c>
    </row>
    <row r="2037" spans="1:4" x14ac:dyDescent="0.2">
      <c r="A2037" s="5">
        <v>1976</v>
      </c>
      <c r="B2037" s="138">
        <f>'Cap Outlay Deprec 26'!H16</f>
        <v>594576</v>
      </c>
      <c r="C2037" s="2" t="s">
        <v>573</v>
      </c>
      <c r="D2037" s="2" t="str">
        <f t="shared" si="30"/>
        <v>Error?</v>
      </c>
    </row>
    <row r="2038" spans="1:4" x14ac:dyDescent="0.2">
      <c r="A2038" s="10">
        <v>1977</v>
      </c>
      <c r="D2038" s="2" t="str">
        <f t="shared" si="30"/>
        <v>OK</v>
      </c>
    </row>
    <row r="2039" spans="1:4" x14ac:dyDescent="0.2">
      <c r="A2039" s="5">
        <v>1978</v>
      </c>
      <c r="B2039" s="138">
        <f>'Cap Outlay Deprec 26'!I8</f>
        <v>14895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6379</v>
      </c>
      <c r="D2041" s="2" t="str">
        <f t="shared" si="30"/>
        <v>Error?</v>
      </c>
    </row>
    <row r="2042" spans="1:4" x14ac:dyDescent="0.2">
      <c r="A2042" s="5">
        <v>1981</v>
      </c>
      <c r="B2042" s="138">
        <f>'Cap Outlay Deprec 26'!I13</f>
        <v>2912</v>
      </c>
      <c r="D2042" s="2" t="str">
        <f t="shared" si="30"/>
        <v>Error?</v>
      </c>
    </row>
    <row r="2043" spans="1:4" x14ac:dyDescent="0.2">
      <c r="A2043" s="5">
        <v>1982</v>
      </c>
      <c r="B2043" s="138">
        <f>'Cap Outlay Deprec 26'!I16</f>
        <v>24186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477924</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92004</v>
      </c>
      <c r="C2053" s="2" t="s">
        <v>573</v>
      </c>
      <c r="D2053" s="2" t="str">
        <f t="shared" si="31"/>
        <v>Error?</v>
      </c>
    </row>
    <row r="2054" spans="1:4" x14ac:dyDescent="0.2">
      <c r="A2054" s="5">
        <v>1993</v>
      </c>
      <c r="B2054" s="138">
        <f>'Cap Outlay Deprec 26'!K13</f>
        <v>48834</v>
      </c>
      <c r="C2054" s="2" t="s">
        <v>573</v>
      </c>
      <c r="D2054" s="2" t="str">
        <f t="shared" si="31"/>
        <v>Error?</v>
      </c>
    </row>
    <row r="2055" spans="1:4" x14ac:dyDescent="0.2">
      <c r="A2055" s="5">
        <v>1994</v>
      </c>
      <c r="B2055" s="138">
        <f>'Cap Outlay Deprec 26'!K16</f>
        <v>618762</v>
      </c>
      <c r="C2055" s="2" t="s">
        <v>573</v>
      </c>
      <c r="D2055" s="2" t="str">
        <f t="shared" si="31"/>
        <v>Error?</v>
      </c>
    </row>
    <row r="2056" spans="1:4" x14ac:dyDescent="0.2">
      <c r="A2056" s="5">
        <v>1995</v>
      </c>
      <c r="B2056" s="138">
        <f>'Cap Outlay Deprec 26'!L5</f>
        <v>2300</v>
      </c>
      <c r="C2056" s="2" t="s">
        <v>573</v>
      </c>
      <c r="D2056" s="2" t="str">
        <f t="shared" si="31"/>
        <v>Error?</v>
      </c>
    </row>
    <row r="2057" spans="1:4" x14ac:dyDescent="0.2">
      <c r="A2057" s="5">
        <v>1996</v>
      </c>
      <c r="B2057" s="138">
        <f>'Cap Outlay Deprec 26'!L8</f>
        <v>76968</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23561</v>
      </c>
      <c r="C2059" s="2" t="s">
        <v>573</v>
      </c>
      <c r="D2059" s="2" t="str">
        <f t="shared" si="31"/>
        <v>Error?</v>
      </c>
    </row>
    <row r="2060" spans="1:4" x14ac:dyDescent="0.2">
      <c r="A2060" s="5">
        <v>1999</v>
      </c>
      <c r="B2060" s="138">
        <f>'Cap Outlay Deprec 26'!L13</f>
        <v>21884</v>
      </c>
      <c r="C2060" s="2" t="s">
        <v>573</v>
      </c>
      <c r="D2060" s="2" t="str">
        <f t="shared" si="31"/>
        <v>Error?</v>
      </c>
    </row>
    <row r="2061" spans="1:4" x14ac:dyDescent="0.2">
      <c r="A2061" s="5">
        <v>2000</v>
      </c>
      <c r="B2061" s="138">
        <f>'Cap Outlay Deprec 26'!L16</f>
        <v>124713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16935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3932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5811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330333</v>
      </c>
      <c r="C2551" s="2" t="s">
        <v>573</v>
      </c>
      <c r="D2551" s="2" t="str">
        <f t="shared" si="38"/>
        <v>Error?</v>
      </c>
    </row>
    <row r="2552" spans="1:4" x14ac:dyDescent="0.2">
      <c r="A2552" s="10">
        <v>2491</v>
      </c>
      <c r="D2552" s="2" t="str">
        <f t="shared" si="38"/>
        <v>OK</v>
      </c>
    </row>
    <row r="2553" spans="1:4" x14ac:dyDescent="0.2">
      <c r="A2553" s="5">
        <v>2492</v>
      </c>
      <c r="B2553" s="138">
        <f>'Acct Summary 7-8'!C6</f>
        <v>221305</v>
      </c>
      <c r="C2553" s="2" t="s">
        <v>573</v>
      </c>
      <c r="D2553" s="2" t="str">
        <f t="shared" si="38"/>
        <v>Error?</v>
      </c>
    </row>
    <row r="2554" spans="1:4" x14ac:dyDescent="0.2">
      <c r="A2554" s="5">
        <v>2493</v>
      </c>
      <c r="B2554" s="138">
        <f>'Acct Summary 7-8'!C7</f>
        <v>102052</v>
      </c>
      <c r="C2554" s="2" t="s">
        <v>573</v>
      </c>
      <c r="D2554" s="2" t="str">
        <f t="shared" si="38"/>
        <v>Error?</v>
      </c>
    </row>
    <row r="2555" spans="1:4" x14ac:dyDescent="0.2">
      <c r="A2555" s="5">
        <v>2494</v>
      </c>
      <c r="B2555" s="138">
        <f>'Acct Summary 7-8'!C8</f>
        <v>653690</v>
      </c>
      <c r="C2555" s="2" t="s">
        <v>573</v>
      </c>
      <c r="D2555" s="2" t="str">
        <f t="shared" si="38"/>
        <v>Error?</v>
      </c>
    </row>
    <row r="2556" spans="1:4" x14ac:dyDescent="0.2">
      <c r="A2556" s="5">
        <v>2495</v>
      </c>
      <c r="B2556" s="138">
        <f>'Acct Summary 7-8'!C12</f>
        <v>396721</v>
      </c>
      <c r="C2556" s="2" t="s">
        <v>573</v>
      </c>
      <c r="D2556" s="2" t="str">
        <f t="shared" si="38"/>
        <v>Error?</v>
      </c>
    </row>
    <row r="2557" spans="1:4" x14ac:dyDescent="0.2">
      <c r="A2557" s="5">
        <v>2496</v>
      </c>
      <c r="B2557" s="138">
        <f>'Acct Summary 7-8'!C13</f>
        <v>269298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16935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682954</v>
      </c>
      <c r="C2561" s="2" t="s">
        <v>573</v>
      </c>
      <c r="D2561" s="2" t="str">
        <f t="shared" si="39"/>
        <v>Error?</v>
      </c>
    </row>
    <row r="2562" spans="1:4" x14ac:dyDescent="0.2">
      <c r="A2562" s="5">
        <v>2501</v>
      </c>
      <c r="B2562" s="138">
        <f>'Acct Summary 7-8'!C20</f>
        <v>-29264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36527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36527</v>
      </c>
      <c r="C2568" s="2" t="s">
        <v>573</v>
      </c>
      <c r="D2568" s="2" t="str">
        <f t="shared" si="39"/>
        <v>Error?</v>
      </c>
    </row>
    <row r="2569" spans="1:4" x14ac:dyDescent="0.2">
      <c r="A2569" s="5">
        <v>2508</v>
      </c>
      <c r="B2569" s="138">
        <f>'Acct Summary 7-8'!D13</f>
        <v>31406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31406</v>
      </c>
      <c r="C2573" s="2" t="s">
        <v>573</v>
      </c>
      <c r="D2573" s="2" t="str">
        <f t="shared" si="39"/>
        <v>Error?</v>
      </c>
    </row>
    <row r="2574" spans="1:4" x14ac:dyDescent="0.2">
      <c r="A2574" s="5">
        <v>2513</v>
      </c>
      <c r="B2574" s="138">
        <f>'Acct Summary 7-8'!D20</f>
        <v>5121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14869</v>
      </c>
      <c r="C2591" s="2" t="s">
        <v>573</v>
      </c>
      <c r="D2591" s="2" t="str">
        <f t="shared" si="39"/>
        <v>Error?</v>
      </c>
    </row>
    <row r="2592" spans="1:4" x14ac:dyDescent="0.2">
      <c r="A2592" s="10">
        <v>2531</v>
      </c>
      <c r="D2592" s="2" t="str">
        <f t="shared" si="39"/>
        <v>OK</v>
      </c>
    </row>
    <row r="2593" spans="1:4" x14ac:dyDescent="0.2">
      <c r="A2593" s="5">
        <v>2532</v>
      </c>
      <c r="B2593" s="138">
        <f>'Acct Summary 7-8'!F6</f>
        <v>8247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23116</v>
      </c>
      <c r="C2595" s="2" t="s">
        <v>573</v>
      </c>
      <c r="D2595" s="2" t="str">
        <f t="shared" si="39"/>
        <v>Error?</v>
      </c>
    </row>
    <row r="2596" spans="1:4" x14ac:dyDescent="0.2">
      <c r="A2596" s="5">
        <v>2535</v>
      </c>
      <c r="B2596" s="138">
        <f>'Acct Summary 7-8'!F13</f>
        <v>28051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28051</v>
      </c>
      <c r="C2600" s="2" t="s">
        <v>573</v>
      </c>
      <c r="D2600" s="2" t="str">
        <f t="shared" si="39"/>
        <v>Error?</v>
      </c>
    </row>
    <row r="2601" spans="1:4" x14ac:dyDescent="0.2">
      <c r="A2601" s="5">
        <v>2540</v>
      </c>
      <c r="B2601" s="138">
        <f>'Acct Summary 7-8'!F20</f>
        <v>-4935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29931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29931</v>
      </c>
      <c r="C2606" s="2" t="s">
        <v>573</v>
      </c>
      <c r="D2606" s="2" t="str">
        <f t="shared" si="39"/>
        <v>Error?</v>
      </c>
    </row>
    <row r="2607" spans="1:4" x14ac:dyDescent="0.2">
      <c r="A2607" s="5">
        <v>2546</v>
      </c>
      <c r="B2607" s="138">
        <f>'Acct Summary 7-8'!G12</f>
        <v>8716</v>
      </c>
      <c r="C2607" s="2" t="s">
        <v>573</v>
      </c>
      <c r="D2607" s="2" t="str">
        <f t="shared" si="39"/>
        <v>Error?</v>
      </c>
    </row>
    <row r="2608" spans="1:4" x14ac:dyDescent="0.2">
      <c r="A2608" s="5">
        <v>2547</v>
      </c>
      <c r="B2608" s="138">
        <f>'Acct Summary 7-8'!G13</f>
        <v>17222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25938</v>
      </c>
      <c r="C2612" s="2" t="s">
        <v>573</v>
      </c>
      <c r="D2612" s="2" t="str">
        <f t="shared" si="39"/>
        <v>Error?</v>
      </c>
    </row>
    <row r="2613" spans="1:4" x14ac:dyDescent="0.2">
      <c r="A2613" s="5">
        <v>2552</v>
      </c>
      <c r="B2613" s="138">
        <f>'Acct Summary 7-8'!G20</f>
        <v>3993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9359</v>
      </c>
      <c r="D3055" s="2" t="str">
        <f t="shared" si="46"/>
        <v>Error?</v>
      </c>
    </row>
    <row r="3056" spans="1:4" x14ac:dyDescent="0.2">
      <c r="A3056" s="5">
        <v>2995</v>
      </c>
      <c r="B3056" s="138">
        <f>'Expenditures 15-22'!D10</f>
        <v>2</v>
      </c>
      <c r="D3056" s="2" t="str">
        <f t="shared" si="46"/>
        <v>Error?</v>
      </c>
    </row>
    <row r="3057" spans="1:4" x14ac:dyDescent="0.2">
      <c r="A3057" s="5">
        <v>2996</v>
      </c>
      <c r="B3057" s="138">
        <f>'Expenditures 15-22'!E10</f>
        <v>4033</v>
      </c>
      <c r="D3057" s="2" t="str">
        <f t="shared" si="46"/>
        <v>Error?</v>
      </c>
    </row>
    <row r="3058" spans="1:4" x14ac:dyDescent="0.2">
      <c r="A3058" s="5">
        <v>2997</v>
      </c>
      <c r="B3058" s="138">
        <f>'Expenditures 15-22'!F10</f>
        <v>14801</v>
      </c>
      <c r="D3058" s="2" t="str">
        <f t="shared" si="46"/>
        <v>Error?</v>
      </c>
    </row>
    <row r="3059" spans="1:4" x14ac:dyDescent="0.2">
      <c r="A3059" s="5">
        <v>2998</v>
      </c>
      <c r="B3059" s="138">
        <f>'Expenditures 15-22'!G10</f>
        <v>616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28811</v>
      </c>
      <c r="C3062" s="2" t="s">
        <v>573</v>
      </c>
      <c r="D3062" s="2" t="str">
        <f t="shared" si="46"/>
        <v>Error?</v>
      </c>
    </row>
    <row r="3063" spans="1:4" x14ac:dyDescent="0.2">
      <c r="A3063" s="10">
        <v>3002</v>
      </c>
      <c r="D3063" s="2" t="str">
        <f t="shared" si="46"/>
        <v>OK</v>
      </c>
    </row>
    <row r="3064" spans="1:4" x14ac:dyDescent="0.2">
      <c r="A3064" s="5">
        <v>3003</v>
      </c>
      <c r="B3064" s="138">
        <f>'Expenditures 15-22'!D219</f>
        <v>2881</v>
      </c>
      <c r="D3064" s="2" t="str">
        <f t="shared" si="46"/>
        <v>Error?</v>
      </c>
    </row>
    <row r="3065" spans="1:4" x14ac:dyDescent="0.2">
      <c r="A3065" s="5">
        <v>3004</v>
      </c>
      <c r="B3065" s="138">
        <f>'Expenditures 15-22'!K219</f>
        <v>2881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3932</v>
      </c>
      <c r="C3225" s="2" t="s">
        <v>573</v>
      </c>
      <c r="D3225" s="2" t="str">
        <f t="shared" si="49"/>
        <v>Error?</v>
      </c>
    </row>
    <row r="3226" spans="1:4" x14ac:dyDescent="0.2">
      <c r="A3226" s="5">
        <v>3165</v>
      </c>
      <c r="B3226" s="138">
        <f>'Acct Summary 7-8'!I8</f>
        <v>3932</v>
      </c>
      <c r="C3226" s="2" t="s">
        <v>573</v>
      </c>
      <c r="D3226" s="2" t="str">
        <f t="shared" si="49"/>
        <v>Error?</v>
      </c>
    </row>
    <row r="3227" spans="1:4" x14ac:dyDescent="0.2">
      <c r="A3227" s="5">
        <v>3166</v>
      </c>
      <c r="B3227" s="138">
        <f>'Acct Summary 7-8'!I20</f>
        <v>3932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3932</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3932</v>
      </c>
      <c r="C3232" s="2" t="s">
        <v>573</v>
      </c>
      <c r="D3232" s="2" t="str">
        <f t="shared" si="49"/>
        <v>Error?</v>
      </c>
    </row>
    <row r="3233" spans="1:4" x14ac:dyDescent="0.2">
      <c r="A3233" s="5">
        <v>3172</v>
      </c>
      <c r="B3233" s="138">
        <f>'Acct Summary 7-8'!C78</f>
        <v>-25332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5121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-4935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3993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3932</v>
      </c>
      <c r="C3318" s="2" t="s">
        <v>573</v>
      </c>
      <c r="D3318" s="2" t="str">
        <f t="shared" si="50"/>
        <v>Error?</v>
      </c>
    </row>
    <row r="3319" spans="1:4" x14ac:dyDescent="0.2">
      <c r="A3319" s="5">
        <v>3258</v>
      </c>
      <c r="B3319" s="138">
        <f>'Acct Summary 7-8'!I77</f>
        <v>-3932</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16993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3350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20343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4626</v>
      </c>
      <c r="D3387" s="2" t="str">
        <f t="shared" si="51"/>
        <v>Error?</v>
      </c>
    </row>
    <row r="3388" spans="1:4" x14ac:dyDescent="0.2">
      <c r="A3388" s="5">
        <v>3327</v>
      </c>
      <c r="B3388" s="138">
        <f>'Expenditures 15-22'!D217</f>
        <v>1185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4626</v>
      </c>
      <c r="C3390" s="2" t="s">
        <v>573</v>
      </c>
      <c r="D3390" s="2" t="str">
        <f t="shared" si="51"/>
        <v>Error?</v>
      </c>
    </row>
    <row r="3391" spans="1:4" x14ac:dyDescent="0.2">
      <c r="A3391" s="5">
        <v>3330</v>
      </c>
      <c r="B3391" s="138">
        <f>'Expenditures 15-22'!K217</f>
        <v>1185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42460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31206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17880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3680</v>
      </c>
      <c r="C3446" s="2" t="s">
        <v>573</v>
      </c>
      <c r="D3446" s="2" t="str">
        <f t="shared" si="52"/>
        <v>Error?</v>
      </c>
    </row>
    <row r="3447" spans="1:4" x14ac:dyDescent="0.2">
      <c r="A3447" s="5">
        <v>3386</v>
      </c>
      <c r="B3447" s="138">
        <f>'Tax Sched 23'!D16</f>
        <v>3680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5774</v>
      </c>
      <c r="C3449" s="2" t="s">
        <v>573</v>
      </c>
      <c r="D3449" s="2" t="str">
        <f t="shared" si="52"/>
        <v>Error?</v>
      </c>
    </row>
    <row r="3450" spans="1:4" x14ac:dyDescent="0.2">
      <c r="A3450" s="5">
        <v>3389</v>
      </c>
      <c r="B3450" s="138">
        <f>'Tax Sched 23'!E16</f>
        <v>5774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7995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7995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7995</v>
      </c>
      <c r="D3567" s="2" t="str">
        <f t="shared" si="54"/>
        <v>Error?</v>
      </c>
    </row>
    <row r="3568" spans="1:4" x14ac:dyDescent="0.2">
      <c r="A3568" s="5">
        <v>3507</v>
      </c>
      <c r="B3568" s="138">
        <f>'Assets-Liab 5-6'!K41</f>
        <v>7995</v>
      </c>
      <c r="C3568" s="2" t="s">
        <v>573</v>
      </c>
      <c r="D3568" s="2" t="str">
        <f t="shared" si="54"/>
        <v>Error?</v>
      </c>
    </row>
    <row r="3569" spans="1:4" x14ac:dyDescent="0.2">
      <c r="A3569" s="5">
        <v>3508</v>
      </c>
      <c r="B3569" s="138">
        <f>'Acct Summary 7-8'!K4</f>
        <v>5719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5719</v>
      </c>
      <c r="C3571" s="2" t="s">
        <v>573</v>
      </c>
      <c r="D3571" s="2" t="str">
        <f t="shared" si="54"/>
        <v>Error?</v>
      </c>
    </row>
    <row r="3572" spans="1:4" x14ac:dyDescent="0.2">
      <c r="A3572" s="5">
        <v>3511</v>
      </c>
      <c r="B3572" s="138">
        <f>'Acct Summary 7-8'!K13</f>
        <v>2567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2567</v>
      </c>
      <c r="C3575" s="2" t="s">
        <v>573</v>
      </c>
      <c r="D3575" s="2" t="str">
        <f t="shared" si="54"/>
        <v>Error?</v>
      </c>
    </row>
    <row r="3576" spans="1:4" x14ac:dyDescent="0.2">
      <c r="A3576" s="5">
        <v>3515</v>
      </c>
      <c r="B3576" s="138">
        <f>'Acct Summary 7-8'!K20</f>
        <v>3152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3152</v>
      </c>
      <c r="C3588" s="2" t="s">
        <v>573</v>
      </c>
      <c r="D3588" s="2" t="str">
        <f t="shared" si="55"/>
        <v>Error?</v>
      </c>
    </row>
    <row r="3589" spans="1:4" x14ac:dyDescent="0.2">
      <c r="A3589" s="5">
        <v>3528</v>
      </c>
      <c r="B3589" s="138">
        <f>'Acct Summary 7-8'!K79</f>
        <v>4843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7995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2567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2567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2567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2567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2567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2567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2567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3152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25441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256658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910348</v>
      </c>
      <c r="C4122" s="2" t="s">
        <v>573</v>
      </c>
      <c r="D4122" s="2" t="str">
        <f t="shared" si="63"/>
        <v>Error?</v>
      </c>
    </row>
    <row r="4123" spans="1:4" x14ac:dyDescent="0.2">
      <c r="A4123" s="5">
        <v>4062</v>
      </c>
      <c r="B4123" s="138">
        <f>'Acct Summary 7-8'!D10</f>
        <v>36527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23116</v>
      </c>
      <c r="C4125" s="2" t="s">
        <v>573</v>
      </c>
      <c r="D4125" s="2" t="str">
        <f t="shared" si="63"/>
        <v>Error?</v>
      </c>
    </row>
    <row r="4126" spans="1:4" x14ac:dyDescent="0.2">
      <c r="A4126" s="5">
        <v>4065</v>
      </c>
      <c r="B4126" s="138">
        <f>'Acct Summary 7-8'!G10</f>
        <v>29931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3932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5719</v>
      </c>
      <c r="C4130" s="2" t="s">
        <v>573</v>
      </c>
      <c r="D4130" s="2" t="str">
        <f t="shared" si="63"/>
        <v>Error?</v>
      </c>
    </row>
    <row r="4131" spans="1:4" x14ac:dyDescent="0.2">
      <c r="A4131" s="5">
        <v>4070</v>
      </c>
      <c r="B4131" s="138">
        <f>'Acct Summary 7-8'!C18</f>
        <v>256658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939612</v>
      </c>
      <c r="C4136" s="2" t="s">
        <v>573</v>
      </c>
      <c r="D4136" s="2" t="str">
        <f t="shared" si="63"/>
        <v>Error?</v>
      </c>
    </row>
    <row r="4137" spans="1:4" x14ac:dyDescent="0.2">
      <c r="A4137" s="5">
        <v>4076</v>
      </c>
      <c r="B4137" s="138">
        <f>'Acct Summary 7-8'!D19</f>
        <v>31406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28051</v>
      </c>
      <c r="C4139" s="2" t="s">
        <v>573</v>
      </c>
      <c r="D4139" s="2" t="str">
        <f t="shared" si="63"/>
        <v>Error?</v>
      </c>
    </row>
    <row r="4140" spans="1:4" x14ac:dyDescent="0.2">
      <c r="A4140" s="5">
        <v>4079</v>
      </c>
      <c r="B4140" s="138">
        <f>'Acct Summary 7-8'!G19</f>
        <v>25938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2567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2459.9</v>
      </c>
      <c r="C4265" s="2" t="s">
        <v>573</v>
      </c>
      <c r="D4265" s="2" t="str">
        <f t="shared" si="65"/>
        <v>Error?</v>
      </c>
      <c r="E4265" s="128"/>
    </row>
    <row r="4266" spans="1:5" x14ac:dyDescent="0.2">
      <c r="A4266" s="12">
        <v>4205</v>
      </c>
      <c r="B4266" s="138">
        <f>('FP Info 3'!F10)*100000</f>
        <v>300.5</v>
      </c>
      <c r="C4266" s="2" t="s">
        <v>573</v>
      </c>
      <c r="D4266" s="2" t="str">
        <f t="shared" si="65"/>
        <v>Error?</v>
      </c>
      <c r="E4266" s="128"/>
    </row>
    <row r="4267" spans="1:5" x14ac:dyDescent="0.2">
      <c r="A4267" s="12">
        <v>4206</v>
      </c>
      <c r="B4267" s="138">
        <f>('FP Info 3'!H10)*100000</f>
        <v>123.4</v>
      </c>
      <c r="C4267" s="2" t="s">
        <v>573</v>
      </c>
      <c r="D4267" s="2" t="str">
        <f t="shared" si="65"/>
        <v>Error?</v>
      </c>
      <c r="E4267" s="128"/>
    </row>
    <row r="4268" spans="1:5" x14ac:dyDescent="0.2">
      <c r="A4268" s="12">
        <v>4207</v>
      </c>
      <c r="B4268" s="138">
        <f>('FP Info 3'!J10)*100000</f>
        <v>2884</v>
      </c>
      <c r="C4268" s="2" t="s">
        <v>573</v>
      </c>
      <c r="D4268" s="2" t="str">
        <f t="shared" si="65"/>
        <v>Error?</v>
      </c>
    </row>
    <row r="4269" spans="1:5" x14ac:dyDescent="0.2">
      <c r="A4269" s="12">
        <v>4208</v>
      </c>
      <c r="B4269" s="138">
        <f>'FP Info 3'!J16</f>
        <v>215958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2386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6181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32.6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9513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12377550</v>
      </c>
      <c r="D4995" s="2" t="str">
        <f t="shared" si="77"/>
        <v>Error?</v>
      </c>
    </row>
    <row r="4996" spans="1:4" x14ac:dyDescent="0.2">
      <c r="A4996" s="12">
        <v>4935</v>
      </c>
      <c r="B4996" s="138">
        <f>'FP Info 3'!H31</f>
        <v>854050.95000000007</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296298</v>
      </c>
      <c r="D5061" s="2" t="str">
        <f t="shared" si="78"/>
        <v>Error?</v>
      </c>
    </row>
    <row r="5062" spans="1:4" x14ac:dyDescent="0.2">
      <c r="A5062" s="10">
        <v>5001</v>
      </c>
      <c r="D5062" s="2" t="str">
        <f t="shared" si="78"/>
        <v>OK</v>
      </c>
    </row>
    <row r="5063" spans="1:4" x14ac:dyDescent="0.2">
      <c r="A5063" s="5">
        <v>5002</v>
      </c>
      <c r="B5063" s="138">
        <f>'Revenues 9-14'!C7</f>
        <v>8579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304877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2214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2214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91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242</v>
      </c>
      <c r="C5096" s="2" t="s">
        <v>573</v>
      </c>
      <c r="D5096" s="2" t="str">
        <f t="shared" si="78"/>
        <v>Error?</v>
      </c>
    </row>
    <row r="5097" spans="1:4" x14ac:dyDescent="0.2">
      <c r="A5097" s="5">
        <v>5036</v>
      </c>
      <c r="B5097" s="138">
        <f>'Revenues 9-14'!C77</f>
        <v>3218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3218</v>
      </c>
      <c r="C5102" s="2" t="s">
        <v>573</v>
      </c>
      <c r="D5102" s="2" t="str">
        <f t="shared" si="78"/>
        <v>Error?</v>
      </c>
    </row>
    <row r="5103" spans="1:4" x14ac:dyDescent="0.2">
      <c r="A5103" s="5">
        <v>5042</v>
      </c>
      <c r="B5103" s="138">
        <f>'Revenues 9-14'!C84</f>
        <v>1050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18732</v>
      </c>
      <c r="D5119" s="2" t="str">
        <f t="shared" ref="D5119:D5182" si="79">IF(ISBLANK(B5119),"OK",IF(A5119-B5119=0,"OK","Error?"))</f>
        <v>Error?</v>
      </c>
    </row>
    <row r="5120" spans="1:4" x14ac:dyDescent="0.2">
      <c r="A5120" s="5">
        <v>5059</v>
      </c>
      <c r="B5120" s="138">
        <f>'Revenues 9-14'!C108</f>
        <v>18732</v>
      </c>
      <c r="C5120" s="2" t="s">
        <v>573</v>
      </c>
      <c r="D5120" s="2" t="str">
        <f t="shared" si="79"/>
        <v>Error?</v>
      </c>
    </row>
    <row r="5121" spans="1:4" x14ac:dyDescent="0.2">
      <c r="A5121" s="5">
        <v>5060</v>
      </c>
      <c r="B5121" s="138">
        <f>'Revenues 9-14'!C109</f>
        <v>330333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220415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220415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890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890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221305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9513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30357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13424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46808</v>
      </c>
      <c r="C5246" s="2" t="s">
        <v>573</v>
      </c>
      <c r="D5246" s="2" t="str">
        <f t="shared" si="80"/>
        <v>Error?</v>
      </c>
    </row>
    <row r="5247" spans="1:4" x14ac:dyDescent="0.2">
      <c r="A5247" s="5">
        <v>5186</v>
      </c>
      <c r="B5247" s="138">
        <f>'Revenues 9-14'!C200</f>
        <v>32602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32602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4377</v>
      </c>
      <c r="D5278" s="2" t="str">
        <f t="shared" si="81"/>
        <v>Error?</v>
      </c>
    </row>
    <row r="5279" spans="1:4" x14ac:dyDescent="0.2">
      <c r="A5279" s="5">
        <v>5218</v>
      </c>
      <c r="B5279" s="138">
        <f>'Revenues 9-14'!C214</f>
        <v>185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92539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102052</v>
      </c>
      <c r="C5326" s="2" t="s">
        <v>573</v>
      </c>
      <c r="D5326" s="2" t="str">
        <f t="shared" si="82"/>
        <v>Error?</v>
      </c>
    </row>
    <row r="5327" spans="1:5" x14ac:dyDescent="0.2">
      <c r="A5327" s="5">
        <v>5266</v>
      </c>
      <c r="B5327" s="138">
        <f>'Revenues 9-14'!C268</f>
        <v>653690</v>
      </c>
      <c r="C5327" s="2" t="s">
        <v>573</v>
      </c>
      <c r="D5327" s="2" t="str">
        <f t="shared" si="82"/>
        <v>Error?</v>
      </c>
    </row>
    <row r="5328" spans="1:5" x14ac:dyDescent="0.2">
      <c r="A5328" s="5">
        <v>5267</v>
      </c>
      <c r="B5328" s="138">
        <f>'Revenues 9-14'!D5</f>
        <v>36527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36527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36527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36527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14869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14869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14869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4534</v>
      </c>
      <c r="D5615" s="2" t="str">
        <f t="shared" si="86"/>
        <v>Error?</v>
      </c>
    </row>
    <row r="5616" spans="1:4" x14ac:dyDescent="0.2">
      <c r="A5616" s="10">
        <v>5555</v>
      </c>
      <c r="D5616" s="2" t="str">
        <f t="shared" si="86"/>
        <v>OK</v>
      </c>
    </row>
    <row r="5617" spans="1:5" x14ac:dyDescent="0.2">
      <c r="A5617" s="5">
        <v>5556</v>
      </c>
      <c r="B5617" s="138">
        <f>'Revenues 9-14'!F153</f>
        <v>3713</v>
      </c>
      <c r="D5617" s="2" t="str">
        <f t="shared" si="86"/>
        <v>Error?</v>
      </c>
    </row>
    <row r="5618" spans="1:5" x14ac:dyDescent="0.2">
      <c r="A5618" s="5">
        <v>5557</v>
      </c>
      <c r="B5618" s="138">
        <f>'Revenues 9-14'!F155</f>
        <v>8247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8247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8247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23116</v>
      </c>
      <c r="C5720" s="2" t="s">
        <v>573</v>
      </c>
      <c r="D5720" s="2" t="str">
        <f t="shared" si="88"/>
        <v>Error?</v>
      </c>
    </row>
    <row r="5721" spans="1:4" x14ac:dyDescent="0.2">
      <c r="A5721" s="5">
        <v>5660</v>
      </c>
      <c r="B5721" s="138">
        <f>'Revenues 9-14'!G5</f>
        <v>3680</v>
      </c>
      <c r="D5721" s="2" t="str">
        <f t="shared" si="88"/>
        <v>Error?</v>
      </c>
    </row>
    <row r="5722" spans="1:4" x14ac:dyDescent="0.2">
      <c r="A5722" s="5">
        <v>5661</v>
      </c>
      <c r="B5722" s="138">
        <f>'Revenues 9-14'!G7</f>
        <v>0</v>
      </c>
      <c r="D5722" s="2" t="str">
        <f t="shared" si="88"/>
        <v>Error?</v>
      </c>
    </row>
    <row r="5723" spans="1:4" x14ac:dyDescent="0.2">
      <c r="A5723" s="5">
        <v>5662</v>
      </c>
      <c r="B5723" s="138">
        <f>'Revenues 9-14'!G8</f>
        <v>3680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7360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22571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22571</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29931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3932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3932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5719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5719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5719</v>
      </c>
      <c r="C6023" s="2" t="s">
        <v>573</v>
      </c>
      <c r="D6023" s="2" t="str">
        <f t="shared" si="93"/>
        <v>Error?</v>
      </c>
    </row>
    <row r="6024" spans="1:5" x14ac:dyDescent="0.2">
      <c r="A6024" s="5">
        <v>5963</v>
      </c>
      <c r="B6024" s="138">
        <f>'Revenues 9-14'!G109</f>
        <v>29931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3932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5719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2940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59.1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-25332</v>
      </c>
      <c r="D6267" s="2" t="str">
        <f t="shared" si="96"/>
        <v>Error?</v>
      </c>
      <c r="E6267" s="2" t="s">
        <v>190</v>
      </c>
    </row>
    <row r="6268" spans="1:5" x14ac:dyDescent="0.2">
      <c r="A6268">
        <v>6207</v>
      </c>
      <c r="B6268" s="138">
        <f>'Acct Summary 7-8'!D82</f>
        <v>5121</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-4935</v>
      </c>
      <c r="D6270" s="2" t="str">
        <f t="shared" si="96"/>
        <v>Error?</v>
      </c>
      <c r="E6270" s="2" t="s">
        <v>190</v>
      </c>
    </row>
    <row r="6271" spans="1:5" x14ac:dyDescent="0.2">
      <c r="A6271">
        <v>6210</v>
      </c>
      <c r="B6271" s="138">
        <f>'Acct Summary 7-8'!G82</f>
        <v>3993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3152</v>
      </c>
      <c r="D6275" s="2" t="str">
        <f t="shared" si="97"/>
        <v>Error?</v>
      </c>
      <c r="E6275" s="2" t="s">
        <v>190</v>
      </c>
    </row>
    <row r="6276" spans="1:5" x14ac:dyDescent="0.2">
      <c r="A6276">
        <v>6215</v>
      </c>
      <c r="B6276" s="138">
        <f>'Acct Summary 7-8'!C83</f>
        <v>-0.15180497626923631</v>
      </c>
      <c r="D6276" s="2" t="str">
        <f t="shared" si="97"/>
        <v>Error?</v>
      </c>
      <c r="E6276" s="2" t="s">
        <v>190</v>
      </c>
    </row>
    <row r="6277" spans="1:5" x14ac:dyDescent="0.2">
      <c r="A6277">
        <v>6216</v>
      </c>
      <c r="B6277" s="138">
        <f>'Acct Summary 7-8'!D83</f>
        <v>0.16410305710440301</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-0.27600671140939598</v>
      </c>
      <c r="D6279" s="2" t="str">
        <f t="shared" si="97"/>
        <v>Error?</v>
      </c>
      <c r="E6279" s="2" t="s">
        <v>190</v>
      </c>
    </row>
    <row r="6280" spans="1:5" x14ac:dyDescent="0.2">
      <c r="A6280">
        <v>6219</v>
      </c>
      <c r="B6280" s="138">
        <f>'Acct Summary 7-8'!G83</f>
        <v>0.56912770809578106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0.39424640400250155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16935</v>
      </c>
      <c r="D6983" s="2" t="str">
        <f t="shared" si="108"/>
        <v>Error?</v>
      </c>
    </row>
    <row r="6984" spans="1:4" x14ac:dyDescent="0.2">
      <c r="A6984">
        <v>6923</v>
      </c>
      <c r="B6984" s="138">
        <f>'Expenditures 15-22'!K86</f>
        <v>16935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16935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24186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3027</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8579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17095</v>
      </c>
      <c r="D7797" s="2" t="str">
        <f t="shared" si="127"/>
        <v>Error?</v>
      </c>
      <c r="E7797" s="4" t="s">
        <v>1904</v>
      </c>
    </row>
    <row r="7798" spans="1:5" x14ac:dyDescent="0.2">
      <c r="A7798">
        <v>7737</v>
      </c>
      <c r="B7798" s="138">
        <f>'Contracts Paid in CY 29'!F141</f>
        <v>17095</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1989</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Irvington CCSD 11</v>
      </c>
      <c r="B7" s="2391"/>
      <c r="C7" s="2391"/>
      <c r="D7" s="2428"/>
      <c r="E7" s="2429">
        <f>COVER!A13</f>
        <v>13095011004</v>
      </c>
      <c r="F7" s="2430"/>
      <c r="G7" s="2397" t="str">
        <f>COVER!T23</f>
        <v>065-023476</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SCHEFFEL BOYLE</v>
      </c>
      <c r="H9" s="2404"/>
      <c r="I9" s="2404"/>
      <c r="J9" s="2404"/>
      <c r="K9" s="2404"/>
      <c r="L9" s="2405"/>
    </row>
    <row r="10" spans="1:29" ht="13.5" customHeight="1" x14ac:dyDescent="0.2">
      <c r="A10" s="2387" t="str">
        <f>COVER!A38</f>
        <v>DAVID SCHULTE</v>
      </c>
      <c r="B10" s="2388"/>
      <c r="C10" s="2388"/>
      <c r="D10" s="2388"/>
      <c r="E10" s="2388"/>
      <c r="F10" s="2389"/>
      <c r="G10" s="2403" t="str">
        <f>COVER!T17</f>
        <v>222 EAST MAIN STREET</v>
      </c>
      <c r="H10" s="2416"/>
      <c r="I10" s="2416"/>
      <c r="J10" s="2416"/>
      <c r="K10" s="2416"/>
      <c r="L10" s="2417"/>
    </row>
    <row r="11" spans="1:29" ht="13.5" customHeight="1" x14ac:dyDescent="0.2">
      <c r="A11" s="1184" t="s">
        <v>1519</v>
      </c>
      <c r="B11" s="1185"/>
      <c r="C11" s="1186"/>
      <c r="D11" s="1191"/>
      <c r="E11" s="1186"/>
      <c r="F11" s="1190"/>
      <c r="G11" s="2403" t="str">
        <f>COVER!T19</f>
        <v>BELLEVILLE</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brian.otten@scheffelboyle.com</v>
      </c>
      <c r="J13" s="2425"/>
      <c r="K13" s="2425"/>
      <c r="L13" s="2426"/>
    </row>
    <row r="14" spans="1:29" ht="13.5" customHeight="1" x14ac:dyDescent="0.2">
      <c r="A14" s="2403" t="str">
        <f>COVER!A19</f>
        <v>P.O. BOX 130</v>
      </c>
      <c r="B14" s="2416"/>
      <c r="C14" s="2416"/>
      <c r="D14" s="2416"/>
      <c r="E14" s="2416"/>
      <c r="F14" s="2417"/>
      <c r="G14" s="1195" t="s">
        <v>1185</v>
      </c>
      <c r="H14" s="1193"/>
      <c r="I14" s="1193"/>
      <c r="J14" s="1193"/>
      <c r="K14" s="1193"/>
      <c r="L14" s="1194"/>
    </row>
    <row r="15" spans="1:29" ht="13.5" customHeight="1" x14ac:dyDescent="0.2">
      <c r="A15" s="2403" t="str">
        <f>COVER!A21</f>
        <v>IRVINGTON</v>
      </c>
      <c r="B15" s="2416"/>
      <c r="C15" s="2416"/>
      <c r="D15" s="2416"/>
      <c r="E15" s="2416"/>
      <c r="F15" s="2417"/>
      <c r="G15" s="2413" t="str">
        <f>COVER!T15</f>
        <v xml:space="preserve">BRIAN A. OTTEN, CPA </v>
      </c>
      <c r="H15" s="2414"/>
      <c r="I15" s="2414"/>
      <c r="J15" s="2414"/>
      <c r="K15" s="2414"/>
      <c r="L15" s="2415"/>
    </row>
    <row r="16" spans="1:29" ht="12.2" customHeight="1" x14ac:dyDescent="0.2">
      <c r="A16" s="2393">
        <f>COVER!A25</f>
        <v>62848</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618-277-8100</v>
      </c>
      <c r="H18" s="2391"/>
      <c r="I18" s="2391"/>
      <c r="J18" s="2391"/>
      <c r="K18" s="2390" t="str">
        <f>COVER!X21</f>
        <v>618-277-9307</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Irvington CCSD 11</v>
      </c>
      <c r="B1" s="2427"/>
      <c r="C1" s="2427"/>
      <c r="D1" s="2427"/>
    </row>
    <row r="2" spans="1:11" s="1212" customFormat="1" ht="12.75" x14ac:dyDescent="0.2">
      <c r="A2" s="2432">
        <f>'Single Audit Cover'!E7</f>
        <v>13095011004</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Irvington CCSD 11</v>
      </c>
      <c r="B1" s="2435"/>
      <c r="C1" s="2435"/>
      <c r="D1" s="2435"/>
      <c r="E1" s="2435"/>
    </row>
    <row r="2" spans="1:5" x14ac:dyDescent="0.2">
      <c r="A2" s="2436">
        <f>'Single Audit Cover'!E7</f>
        <v>13095011004</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102052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2940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-2386</v>
      </c>
    </row>
    <row r="19" spans="1:4" ht="13.5" thickBot="1" x14ac:dyDescent="0.25">
      <c r="A19" s="1262" t="s">
        <v>1235</v>
      </c>
      <c r="D19" s="1263">
        <f>SUM(D10:D17)</f>
        <v>102606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102606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0</v>
      </c>
    </row>
    <row r="49" spans="2:4" x14ac:dyDescent="0.2">
      <c r="B49" s="1269" t="s">
        <v>1226</v>
      </c>
      <c r="C49" s="1269"/>
      <c r="D49" s="1270">
        <f>D32-D47</f>
        <v>102606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98" zoomScaleNormal="98"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Irvington CCSD 11</v>
      </c>
      <c r="C1" s="2439"/>
      <c r="D1" s="2439"/>
      <c r="E1" s="2439"/>
      <c r="F1" s="2439"/>
      <c r="G1" s="2439"/>
      <c r="H1" s="2439"/>
      <c r="I1" s="2439"/>
      <c r="J1" s="2439"/>
      <c r="K1" s="2439"/>
      <c r="L1" s="2439"/>
      <c r="M1" s="2439"/>
    </row>
    <row r="2" spans="2:14" ht="15" x14ac:dyDescent="0.2">
      <c r="B2" s="2440">
        <f>'Single Audit Cover'!E7</f>
        <v>13095011004</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Irvington CCSD 11</v>
      </c>
      <c r="B1" s="2444"/>
      <c r="C1" s="2444"/>
      <c r="D1" s="2444"/>
      <c r="E1" s="2444"/>
      <c r="F1" s="2444"/>
    </row>
    <row r="2" spans="1:7" ht="13.5" customHeight="1" x14ac:dyDescent="0.2">
      <c r="A2" s="2440">
        <f>'Single Audit Cover'!E7</f>
        <v>13095011004</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1" t="s">
        <v>1732</v>
      </c>
      <c r="B32" s="2451"/>
      <c r="C32" s="2451"/>
      <c r="D32" s="2451"/>
      <c r="E32" s="2451"/>
      <c r="F32" s="245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2">
        <f>+C33+C34</f>
        <v>0</v>
      </c>
      <c r="F34" s="245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A4" sqref="A4:R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2067</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25"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Irvington CCSD 11</v>
      </c>
      <c r="C1" s="2460"/>
      <c r="D1" s="2460"/>
      <c r="E1" s="2460"/>
      <c r="F1" s="2460"/>
      <c r="G1" s="2460"/>
      <c r="H1" s="2460"/>
      <c r="I1" s="2460"/>
      <c r="J1" s="1406"/>
    </row>
    <row r="2" spans="2:10" s="317" customFormat="1" ht="12.75" customHeight="1" x14ac:dyDescent="0.2">
      <c r="B2" s="2461">
        <f>'Single Audit Cover'!E7</f>
        <v>13095011004</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1593</v>
      </c>
      <c r="D43" s="2474"/>
      <c r="E43" s="2474"/>
      <c r="F43" s="2475"/>
      <c r="G43" s="2476">
        <f>SUM(G38:I42)</f>
        <v>0</v>
      </c>
      <c r="H43" s="2476"/>
      <c r="I43" s="2476"/>
    </row>
    <row r="44" spans="2:9" ht="12.75" customHeight="1" x14ac:dyDescent="0.2"/>
    <row r="45" spans="2:9" ht="12.75" customHeight="1" x14ac:dyDescent="0.2">
      <c r="B45" s="1419" t="s">
        <v>1841</v>
      </c>
      <c r="D45" s="2477">
        <v>0</v>
      </c>
      <c r="E45" s="247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9"/>
      <c r="F49" s="2479"/>
      <c r="G49" s="247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7"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Irvington CCSD 11</v>
      </c>
      <c r="C1" s="2459"/>
      <c r="D1" s="2459"/>
      <c r="E1" s="2459"/>
      <c r="F1" s="2459"/>
      <c r="G1" s="2459"/>
      <c r="H1" s="2459"/>
      <c r="I1" s="2459"/>
      <c r="J1" s="2459"/>
      <c r="K1" s="2459"/>
      <c r="L1" s="1371"/>
      <c r="M1" s="1371"/>
    </row>
    <row r="2" spans="1:13" ht="12" customHeight="1" x14ac:dyDescent="0.2">
      <c r="B2" s="2461">
        <f>'Single Audit Cover'!E7</f>
        <v>13095011004</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2010</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2119</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2115</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2120</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2121</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2116</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2117</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2095</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25" header="0.26" footer="0.31"/>
  <pageSetup firstPageNumber="41" orientation="portrait" useFirstPageNumber="1" r:id="rId1"/>
  <headerFooter scaleWithDoc="0">
    <oddFooter>&amp;LSee notes to financial statements.&amp;C44</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14" sqref="O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Irvington CCSD 11</v>
      </c>
      <c r="C1" s="2459"/>
      <c r="D1" s="2459"/>
      <c r="E1" s="2459"/>
      <c r="F1" s="2459"/>
      <c r="G1" s="2459"/>
      <c r="H1" s="2459"/>
      <c r="I1" s="2459"/>
      <c r="J1" s="2459"/>
      <c r="K1" s="2459"/>
      <c r="L1" s="1371"/>
      <c r="M1" s="1371"/>
    </row>
    <row r="2" spans="1:13" ht="12" customHeight="1" x14ac:dyDescent="0.2">
      <c r="B2" s="2461">
        <f>'Single Audit Cover'!E7</f>
        <v>13095011004</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943"/>
      <c r="M3" s="194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2106</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2118</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2107</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2108</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2109</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t="s">
        <v>2110</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t="s">
        <v>2111</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25" header="0.26" footer="0.31"/>
  <pageSetup firstPageNumber="41" orientation="portrait" useFirstPageNumber="1" r:id="rId1"/>
  <headerFooter scaleWithDoc="0">
    <oddFooter>&amp;LSee notes to financial statements.&amp;C45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Irvington CCSD 11</v>
      </c>
      <c r="C1" s="2486"/>
      <c r="D1" s="2486"/>
      <c r="E1" s="2486"/>
      <c r="F1" s="2486"/>
      <c r="G1" s="2486"/>
      <c r="H1" s="2486"/>
      <c r="I1" s="2486"/>
      <c r="J1" s="2486"/>
      <c r="K1" s="2486"/>
      <c r="L1" s="1449"/>
    </row>
    <row r="2" spans="1:12" ht="12.75" customHeight="1" x14ac:dyDescent="0.2">
      <c r="B2" s="2487">
        <f>'Single Audit Cover'!E7</f>
        <v>13095011004</v>
      </c>
      <c r="C2" s="2487"/>
      <c r="D2" s="2487"/>
      <c r="E2" s="2487"/>
      <c r="F2" s="2487"/>
      <c r="G2" s="2487"/>
      <c r="H2" s="2487"/>
      <c r="I2" s="2487"/>
      <c r="J2" s="2487"/>
      <c r="K2" s="2487"/>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98" zoomScaleNormal="98"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Irvington CCSD 11</v>
      </c>
      <c r="C1" s="2459"/>
      <c r="D1" s="2459"/>
      <c r="E1" s="1469"/>
    </row>
    <row r="2" spans="2:5" s="1279" customFormat="1" ht="12.75" customHeight="1" x14ac:dyDescent="0.2">
      <c r="B2" s="2461">
        <f>'Single Audit Cover'!E7</f>
        <v>13095011004</v>
      </c>
      <c r="C2" s="2461"/>
      <c r="D2" s="2461"/>
      <c r="E2" s="1470"/>
    </row>
    <row r="3" spans="2:5" ht="12.75" customHeight="1" x14ac:dyDescent="0.2">
      <c r="B3" s="2482" t="s">
        <v>1766</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2112</v>
      </c>
      <c r="C7" s="324" t="s">
        <v>2114</v>
      </c>
      <c r="D7" s="324" t="s">
        <v>2113</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25" header="0.26" footer="0.26"/>
  <pageSetup firstPageNumber="43" orientation="portrait" useFirstPageNumber="1" r:id="rId1"/>
  <headerFooter scaleWithDoc="0">
    <oddFooter>&amp;LSee notes to financial statements.&amp;C46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A4" sqref="A4:R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12377550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2.4598999999999999E-2</v>
      </c>
      <c r="E10" s="356" t="s">
        <v>1005</v>
      </c>
      <c r="F10" s="355">
        <v>3.0049999999999999E-3</v>
      </c>
      <c r="G10" s="356" t="s">
        <v>1005</v>
      </c>
      <c r="H10" s="355">
        <v>1.2340000000000001E-3</v>
      </c>
      <c r="I10" s="356" t="s">
        <v>1006</v>
      </c>
      <c r="J10" s="1732">
        <f>ROUND(D10+F10+H10,5)</f>
        <v>2.8840000000000001E-2</v>
      </c>
      <c r="K10" s="222"/>
      <c r="L10" s="355">
        <v>3.2600000000000001E-4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717265</v>
      </c>
      <c r="E16" s="356"/>
      <c r="F16" s="1733">
        <f>SUM('Acct Summary 7-8'!C17,'Acct Summary 7-8'!D17,'Acct Summary 7-8'!F17)</f>
        <v>742411</v>
      </c>
      <c r="G16" s="356"/>
      <c r="H16" s="1733">
        <f>SUM(D16-F16)</f>
        <v>-25146</v>
      </c>
      <c r="I16" s="222"/>
      <c r="J16" s="1733">
        <f>SUM('Acct Summary 7-8'!C81,'Acct Summary 7-8'!D81,'Acct Summary 7-8'!F81,'Acct Summary 7-8'!I81)</f>
        <v>215958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854050.95000000007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Irvington CCSD 11</v>
      </c>
      <c r="E7" s="391"/>
      <c r="G7" s="252"/>
      <c r="H7" s="387"/>
      <c r="I7" s="387"/>
      <c r="J7" s="387"/>
      <c r="K7" s="387"/>
      <c r="L7" s="329"/>
      <c r="M7" s="329"/>
      <c r="N7" s="329"/>
      <c r="O7" s="329"/>
      <c r="P7" s="329"/>
    </row>
    <row r="8" spans="1:18" ht="12.75" x14ac:dyDescent="0.2">
      <c r="A8" s="329"/>
      <c r="B8" s="329"/>
      <c r="C8" s="389" t="s">
        <v>1125</v>
      </c>
      <c r="D8" s="392">
        <f>COVER!A13</f>
        <v>13095011004</v>
      </c>
      <c r="E8" s="393"/>
      <c r="G8" s="329"/>
      <c r="H8" s="329"/>
      <c r="I8" s="329"/>
      <c r="J8" s="329"/>
      <c r="K8" s="329"/>
      <c r="L8" s="329"/>
      <c r="M8" s="329"/>
      <c r="N8" s="329"/>
      <c r="O8" s="329"/>
      <c r="P8" s="329"/>
    </row>
    <row r="9" spans="1:18" ht="12.75" x14ac:dyDescent="0.2">
      <c r="A9" s="329"/>
      <c r="B9" s="329"/>
      <c r="C9" s="389" t="s">
        <v>713</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215958</v>
      </c>
      <c r="I12" s="404"/>
      <c r="J12" s="404"/>
      <c r="K12" s="405">
        <f>TRUNC((H12/H13*100000),5)/100000</f>
        <v>0.30108537289999998</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717265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742411</v>
      </c>
      <c r="I17" s="404"/>
      <c r="J17" s="416"/>
      <c r="K17" s="405">
        <f>TRUNC((H17/H18*100000),5)/100000</f>
        <v>1.0350581723000001</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717265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5.7357631000000007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215958</v>
      </c>
      <c r="I24" s="422"/>
      <c r="J24" s="422"/>
      <c r="K24" s="423">
        <f>TRUNC(((H24/H25*100000)/100000),2)</f>
        <v>104.71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2062.2527799999998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303423.26069999998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854050.95000000007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24" activePane="bottomLeft" state="frozen"/>
      <selection activeCell="A4" sqref="A4:F4"/>
      <selection pane="bottomLeft" activeCell="J27" sqref="J27:J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42460</v>
      </c>
      <c r="D4" s="466">
        <v>31206</v>
      </c>
      <c r="E4" s="466"/>
      <c r="F4" s="466">
        <v>17880</v>
      </c>
      <c r="G4" s="466">
        <v>7016</v>
      </c>
      <c r="H4" s="466"/>
      <c r="I4" s="466"/>
      <c r="J4" s="467"/>
      <c r="K4" s="466">
        <v>7995</v>
      </c>
      <c r="L4" s="466"/>
      <c r="M4" s="468"/>
      <c r="N4" s="469"/>
    </row>
    <row r="5" spans="1:14" x14ac:dyDescent="0.2">
      <c r="A5" s="463" t="s">
        <v>992</v>
      </c>
      <c r="B5" s="470">
        <v>120</v>
      </c>
      <c r="C5" s="465">
        <v>124412</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166872</v>
      </c>
      <c r="D13" s="1737">
        <f t="shared" ref="D13:L13" si="0">SUM(D4:D12)</f>
        <v>31206</v>
      </c>
      <c r="E13" s="1737">
        <f t="shared" si="0"/>
        <v>0</v>
      </c>
      <c r="F13" s="1737">
        <f t="shared" si="0"/>
        <v>17880</v>
      </c>
      <c r="G13" s="1737">
        <f t="shared" si="0"/>
        <v>7016</v>
      </c>
      <c r="H13" s="1737">
        <f t="shared" si="0"/>
        <v>0</v>
      </c>
      <c r="I13" s="1737">
        <f t="shared" si="0"/>
        <v>0</v>
      </c>
      <c r="J13" s="1737">
        <f t="shared" si="0"/>
        <v>0</v>
      </c>
      <c r="K13" s="1737">
        <f t="shared" si="0"/>
        <v>7995</v>
      </c>
      <c r="L13" s="1737">
        <f t="shared" si="0"/>
        <v>0</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2300</v>
      </c>
      <c r="N16" s="484"/>
    </row>
    <row r="17" spans="1:14" s="485" customFormat="1" ht="12.75" customHeight="1" x14ac:dyDescent="0.2">
      <c r="A17" s="482" t="s">
        <v>1403</v>
      </c>
      <c r="B17" s="483">
        <v>230</v>
      </c>
      <c r="C17" s="477"/>
      <c r="D17" s="477"/>
      <c r="E17" s="477"/>
      <c r="F17" s="477"/>
      <c r="G17" s="477"/>
      <c r="H17" s="477"/>
      <c r="I17" s="477"/>
      <c r="J17" s="477"/>
      <c r="K17" s="477"/>
      <c r="L17" s="477"/>
      <c r="M17" s="467">
        <v>554892</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186283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743475</v>
      </c>
      <c r="N23" s="1688">
        <f>SUM(N21:N22)</f>
        <v>0</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v>5811</v>
      </c>
      <c r="H38" s="466"/>
      <c r="I38" s="466"/>
      <c r="J38" s="467"/>
      <c r="K38" s="466"/>
      <c r="L38" s="481"/>
      <c r="M38" s="497"/>
      <c r="N38" s="497"/>
    </row>
    <row r="39" spans="1:14" s="329" customFormat="1" ht="13.5" customHeight="1" x14ac:dyDescent="0.2">
      <c r="A39" s="496" t="s">
        <v>342</v>
      </c>
      <c r="B39" s="483">
        <v>730</v>
      </c>
      <c r="C39" s="466">
        <v>166872</v>
      </c>
      <c r="D39" s="466">
        <v>31206</v>
      </c>
      <c r="E39" s="466"/>
      <c r="F39" s="466">
        <v>17880</v>
      </c>
      <c r="G39" s="466">
        <f>7016-G38</f>
        <v>1205</v>
      </c>
      <c r="H39" s="466"/>
      <c r="I39" s="466"/>
      <c r="J39" s="467"/>
      <c r="K39" s="466">
        <v>7995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743475</v>
      </c>
      <c r="N40" s="497"/>
    </row>
    <row r="41" spans="1:14" ht="13.5" customHeight="1" thickBot="1" x14ac:dyDescent="0.25">
      <c r="A41" s="1736" t="s">
        <v>655</v>
      </c>
      <c r="B41" s="1706"/>
      <c r="C41" s="1688">
        <f>(SUM(C34,C37,C38,C39))</f>
        <v>166872</v>
      </c>
      <c r="D41" s="1688">
        <f t="shared" ref="D41:L41" si="2">SUM(D34,D37,D38:D39)</f>
        <v>31206</v>
      </c>
      <c r="E41" s="1688">
        <f t="shared" si="2"/>
        <v>0</v>
      </c>
      <c r="F41" s="1688">
        <f t="shared" si="2"/>
        <v>17880</v>
      </c>
      <c r="G41" s="1688">
        <f t="shared" si="2"/>
        <v>7016</v>
      </c>
      <c r="H41" s="1688">
        <f t="shared" si="2"/>
        <v>0</v>
      </c>
      <c r="I41" s="1688">
        <f t="shared" si="2"/>
        <v>0</v>
      </c>
      <c r="J41" s="1688">
        <f t="shared" si="2"/>
        <v>0</v>
      </c>
      <c r="K41" s="1688">
        <f t="shared" si="2"/>
        <v>7995</v>
      </c>
      <c r="L41" s="1688">
        <f t="shared" si="2"/>
        <v>0</v>
      </c>
      <c r="M41" s="1688">
        <f>SUM(M40)</f>
        <v>743475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D1" colorId="8" zoomScale="110" zoomScaleNormal="110" zoomScaleSheetLayoutView="100" workbookViewId="0">
      <pane ySplit="2" topLeftCell="A66" activePane="bottomLeft" state="frozen"/>
      <selection activeCell="J27" sqref="J27:J28"/>
      <selection pane="bottomLeft" activeCell="J27" sqref="J27:J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330333</v>
      </c>
      <c r="D4" s="1742">
        <f>'Revenues 9-14'!D109</f>
        <v>36527</v>
      </c>
      <c r="E4" s="1742">
        <f>'Revenues 9-14'!E109</f>
        <v>0</v>
      </c>
      <c r="F4" s="1742">
        <f>'Revenues 9-14'!F109</f>
        <v>14869</v>
      </c>
      <c r="G4" s="1742">
        <f>'Revenues 9-14'!G109</f>
        <v>29931</v>
      </c>
      <c r="H4" s="1742">
        <f>'Revenues 9-14'!H109</f>
        <v>0</v>
      </c>
      <c r="I4" s="1742">
        <f>'Revenues 9-14'!I109</f>
        <v>3932</v>
      </c>
      <c r="J4" s="1742">
        <f>'Revenues 9-14'!J109</f>
        <v>0</v>
      </c>
      <c r="K4" s="1742">
        <f>'Revenues 9-14'!K109</f>
        <v>5719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221305</v>
      </c>
      <c r="D6" s="1743">
        <f>'Revenues 9-14'!D170</f>
        <v>0</v>
      </c>
      <c r="E6" s="1743">
        <f>'Revenues 9-14'!E170</f>
        <v>0</v>
      </c>
      <c r="F6" s="1743">
        <f>'Revenues 9-14'!F170</f>
        <v>8247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102052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653690</v>
      </c>
      <c r="D8" s="1688">
        <f t="shared" ref="D8:K8" si="0">SUM(D4:D7)</f>
        <v>36527</v>
      </c>
      <c r="E8" s="1688">
        <f t="shared" si="0"/>
        <v>0</v>
      </c>
      <c r="F8" s="1688">
        <f t="shared" si="0"/>
        <v>23116</v>
      </c>
      <c r="G8" s="1688">
        <f t="shared" si="0"/>
        <v>29931</v>
      </c>
      <c r="H8" s="1688">
        <f t="shared" si="0"/>
        <v>0</v>
      </c>
      <c r="I8" s="1688">
        <f t="shared" si="0"/>
        <v>3932</v>
      </c>
      <c r="J8" s="1688">
        <f t="shared" si="0"/>
        <v>0</v>
      </c>
      <c r="K8" s="1688">
        <f t="shared" si="0"/>
        <v>5719</v>
      </c>
      <c r="L8" s="347"/>
    </row>
    <row r="9" spans="1:13" ht="15.75" thickTop="1" x14ac:dyDescent="0.2">
      <c r="A9" s="514" t="s">
        <v>1653</v>
      </c>
      <c r="B9" s="515">
        <v>3998</v>
      </c>
      <c r="C9" s="481">
        <v>256658</v>
      </c>
      <c r="D9" s="516"/>
      <c r="E9" s="481"/>
      <c r="F9" s="481"/>
      <c r="G9" s="517"/>
      <c r="H9" s="481"/>
      <c r="I9" s="509" t="s">
        <v>1169</v>
      </c>
      <c r="J9" s="478"/>
      <c r="K9" s="481"/>
      <c r="L9" s="347"/>
    </row>
    <row r="10" spans="1:13" s="519" customFormat="1" ht="13.5" thickBot="1" x14ac:dyDescent="0.25">
      <c r="A10" s="1736" t="s">
        <v>1173</v>
      </c>
      <c r="B10" s="1709"/>
      <c r="C10" s="1688">
        <f>SUM(C8:C9)</f>
        <v>910348</v>
      </c>
      <c r="D10" s="1688">
        <f t="shared" ref="D10:K10" si="1">SUM(D8:D9)</f>
        <v>36527</v>
      </c>
      <c r="E10" s="1688">
        <f t="shared" si="1"/>
        <v>0</v>
      </c>
      <c r="F10" s="1688">
        <f t="shared" si="1"/>
        <v>23116</v>
      </c>
      <c r="G10" s="1688">
        <f t="shared" si="1"/>
        <v>29931</v>
      </c>
      <c r="H10" s="1688">
        <f t="shared" si="1"/>
        <v>0</v>
      </c>
      <c r="I10" s="1688">
        <f t="shared" si="1"/>
        <v>3932</v>
      </c>
      <c r="J10" s="1688">
        <f t="shared" si="1"/>
        <v>0</v>
      </c>
      <c r="K10" s="1688">
        <f t="shared" si="1"/>
        <v>5719</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396721</v>
      </c>
      <c r="D12" s="520" t="s">
        <v>1169</v>
      </c>
      <c r="E12" s="468" t="s">
        <v>1169</v>
      </c>
      <c r="F12" s="468" t="s">
        <v>1169</v>
      </c>
      <c r="G12" s="1742">
        <f>'Expenditures 15-22'!K229</f>
        <v>8716</v>
      </c>
      <c r="H12" s="521"/>
      <c r="I12" s="468" t="s">
        <v>1169</v>
      </c>
      <c r="J12" s="468" t="s">
        <v>1169</v>
      </c>
      <c r="K12" s="521" t="s">
        <v>1169</v>
      </c>
      <c r="L12" s="347"/>
    </row>
    <row r="13" spans="1:13" ht="15.75" customHeight="1" x14ac:dyDescent="0.2">
      <c r="A13" s="1576" t="s">
        <v>457</v>
      </c>
      <c r="B13" s="1578">
        <v>2000</v>
      </c>
      <c r="C13" s="1743">
        <f>'Expenditures 15-22'!K74</f>
        <v>269298</v>
      </c>
      <c r="D13" s="1743">
        <f>'Expenditures 15-22'!K129</f>
        <v>31406</v>
      </c>
      <c r="E13" s="469" t="s">
        <v>1169</v>
      </c>
      <c r="F13" s="1743">
        <f>'Expenditures 15-22'!K184</f>
        <v>28051</v>
      </c>
      <c r="G13" s="1743">
        <f>'Expenditures 15-22'!K279</f>
        <v>17222</v>
      </c>
      <c r="H13" s="1743">
        <f>'Expenditures 15-22'!K303</f>
        <v>0</v>
      </c>
      <c r="I13" s="468" t="s">
        <v>1169</v>
      </c>
      <c r="J13" s="1743">
        <f>'Expenditures 15-22'!K330</f>
        <v>0</v>
      </c>
      <c r="K13" s="1747">
        <f>'Expenditures 15-22'!K352</f>
        <v>2567</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16935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682954</v>
      </c>
      <c r="D17" s="1688">
        <f t="shared" si="2"/>
        <v>31406</v>
      </c>
      <c r="E17" s="1688">
        <f t="shared" si="2"/>
        <v>0</v>
      </c>
      <c r="F17" s="1688">
        <f t="shared" si="2"/>
        <v>28051</v>
      </c>
      <c r="G17" s="1688">
        <f t="shared" si="2"/>
        <v>25938</v>
      </c>
      <c r="H17" s="1688">
        <f t="shared" si="2"/>
        <v>0</v>
      </c>
      <c r="I17" s="468"/>
      <c r="J17" s="1688">
        <f>SUM(J12:J16)</f>
        <v>0</v>
      </c>
      <c r="K17" s="1688">
        <f>SUM(K12:K16)</f>
        <v>2567</v>
      </c>
      <c r="L17" s="347"/>
    </row>
    <row r="18" spans="1:12" ht="15" customHeight="1" thickTop="1" x14ac:dyDescent="0.2">
      <c r="A18" s="1744" t="s">
        <v>1654</v>
      </c>
      <c r="B18" s="1745">
        <v>4180</v>
      </c>
      <c r="C18" s="1742">
        <f t="shared" ref="C18:H18" si="3">C9</f>
        <v>256658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939612</v>
      </c>
      <c r="D19" s="1688">
        <f t="shared" si="4"/>
        <v>31406</v>
      </c>
      <c r="E19" s="1688">
        <f t="shared" si="4"/>
        <v>0</v>
      </c>
      <c r="F19" s="1688">
        <f t="shared" si="4"/>
        <v>28051</v>
      </c>
      <c r="G19" s="1688">
        <f t="shared" si="4"/>
        <v>25938</v>
      </c>
      <c r="H19" s="1688">
        <f t="shared" si="4"/>
        <v>0</v>
      </c>
      <c r="I19" s="468"/>
      <c r="J19" s="1688">
        <f>SUM(J17:J18)</f>
        <v>0</v>
      </c>
      <c r="K19" s="1688">
        <f>SUM(K17:K18)</f>
        <v>2567</v>
      </c>
      <c r="L19" s="347"/>
    </row>
    <row r="20" spans="1:12" ht="16.5" thickTop="1" thickBot="1" x14ac:dyDescent="0.25">
      <c r="A20" s="2132" t="s">
        <v>1655</v>
      </c>
      <c r="B20" s="2133"/>
      <c r="C20" s="1746">
        <f>C8-C17</f>
        <v>-29264</v>
      </c>
      <c r="D20" s="1746">
        <f t="shared" ref="D20:K20" si="5">D8-D17</f>
        <v>5121</v>
      </c>
      <c r="E20" s="1746">
        <f t="shared" si="5"/>
        <v>0</v>
      </c>
      <c r="F20" s="1746">
        <f t="shared" si="5"/>
        <v>-4935</v>
      </c>
      <c r="G20" s="1746">
        <f t="shared" si="5"/>
        <v>3993</v>
      </c>
      <c r="H20" s="1746">
        <f t="shared" si="5"/>
        <v>0</v>
      </c>
      <c r="I20" s="1746">
        <f t="shared" si="5"/>
        <v>3932</v>
      </c>
      <c r="J20" s="1746">
        <f t="shared" si="5"/>
        <v>0</v>
      </c>
      <c r="K20" s="1746">
        <f t="shared" si="5"/>
        <v>3152</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3932</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3932</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3932</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0</v>
      </c>
      <c r="D76" s="1703">
        <f t="shared" si="7"/>
        <v>0</v>
      </c>
      <c r="E76" s="1703">
        <f t="shared" si="7"/>
        <v>0</v>
      </c>
      <c r="F76" s="1703">
        <f t="shared" si="7"/>
        <v>0</v>
      </c>
      <c r="G76" s="1703">
        <f t="shared" si="7"/>
        <v>0</v>
      </c>
      <c r="H76" s="1703">
        <f t="shared" si="7"/>
        <v>0</v>
      </c>
      <c r="I76" s="1703">
        <f t="shared" si="7"/>
        <v>3932</v>
      </c>
      <c r="J76" s="1703">
        <f t="shared" si="7"/>
        <v>0</v>
      </c>
      <c r="K76" s="1703">
        <f t="shared" si="7"/>
        <v>0</v>
      </c>
      <c r="L76" s="524"/>
    </row>
    <row r="77" spans="1:12" ht="14.25" thickTop="1" thickBot="1" x14ac:dyDescent="0.25">
      <c r="A77" s="2124" t="s">
        <v>1177</v>
      </c>
      <c r="B77" s="2125"/>
      <c r="C77" s="1703">
        <f t="shared" ref="C77:K77" si="8">C44-C76</f>
        <v>3932</v>
      </c>
      <c r="D77" s="1703">
        <f t="shared" si="8"/>
        <v>0</v>
      </c>
      <c r="E77" s="1703">
        <f t="shared" si="8"/>
        <v>0</v>
      </c>
      <c r="F77" s="1703">
        <f t="shared" si="8"/>
        <v>0</v>
      </c>
      <c r="G77" s="1703">
        <f t="shared" si="8"/>
        <v>0</v>
      </c>
      <c r="H77" s="1703">
        <f t="shared" si="8"/>
        <v>0</v>
      </c>
      <c r="I77" s="1703">
        <f t="shared" si="8"/>
        <v>-3932</v>
      </c>
      <c r="J77" s="1703">
        <f t="shared" si="8"/>
        <v>0</v>
      </c>
      <c r="K77" s="1703">
        <f t="shared" si="8"/>
        <v>0</v>
      </c>
      <c r="L77" s="347"/>
    </row>
    <row r="78" spans="1:12" ht="21.75" customHeight="1" thickTop="1" thickBot="1" x14ac:dyDescent="0.25">
      <c r="A78" s="2128" t="s">
        <v>597</v>
      </c>
      <c r="B78" s="2129"/>
      <c r="C78" s="1702">
        <f t="shared" ref="C78:K78" si="9">C20+C77</f>
        <v>-25332</v>
      </c>
      <c r="D78" s="1702">
        <f t="shared" si="9"/>
        <v>5121</v>
      </c>
      <c r="E78" s="1702">
        <f t="shared" si="9"/>
        <v>0</v>
      </c>
      <c r="F78" s="1702">
        <f t="shared" si="9"/>
        <v>-4935</v>
      </c>
      <c r="G78" s="1702">
        <f t="shared" si="9"/>
        <v>3993</v>
      </c>
      <c r="H78" s="1702">
        <f t="shared" si="9"/>
        <v>0</v>
      </c>
      <c r="I78" s="1702">
        <f t="shared" si="9"/>
        <v>0</v>
      </c>
      <c r="J78" s="1702">
        <f t="shared" si="9"/>
        <v>0</v>
      </c>
      <c r="K78" s="1702">
        <f t="shared" si="9"/>
        <v>3152</v>
      </c>
      <c r="L78" s="533"/>
    </row>
    <row r="79" spans="1:12" ht="13.5" thickTop="1" x14ac:dyDescent="0.2">
      <c r="A79" s="1494" t="s">
        <v>1949</v>
      </c>
      <c r="B79" s="534"/>
      <c r="C79" s="478">
        <v>192204</v>
      </c>
      <c r="D79" s="535">
        <v>26085</v>
      </c>
      <c r="E79" s="535">
        <v>0</v>
      </c>
      <c r="F79" s="535">
        <v>22815</v>
      </c>
      <c r="G79" s="535">
        <v>3023</v>
      </c>
      <c r="H79" s="535">
        <v>0</v>
      </c>
      <c r="I79" s="535">
        <v>0</v>
      </c>
      <c r="J79" s="535">
        <v>0</v>
      </c>
      <c r="K79" s="535">
        <v>4843</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1950</v>
      </c>
      <c r="B81" s="2127"/>
      <c r="C81" s="1688">
        <f>(SUM(C78:C80))</f>
        <v>166872</v>
      </c>
      <c r="D81" s="1688">
        <f>SUM(D78:D80)</f>
        <v>31206</v>
      </c>
      <c r="E81" s="1688">
        <f t="shared" ref="E81:K81" si="10">SUM(E78:E80)</f>
        <v>0</v>
      </c>
      <c r="F81" s="1688">
        <f t="shared" si="10"/>
        <v>17880</v>
      </c>
      <c r="G81" s="1688">
        <f t="shared" si="10"/>
        <v>7016</v>
      </c>
      <c r="H81" s="1688">
        <f t="shared" si="10"/>
        <v>0</v>
      </c>
      <c r="I81" s="1688">
        <f t="shared" si="10"/>
        <v>0</v>
      </c>
      <c r="J81" s="1688">
        <f t="shared" si="10"/>
        <v>0</v>
      </c>
      <c r="K81" s="1688">
        <f t="shared" si="10"/>
        <v>7995</v>
      </c>
      <c r="L81" s="347"/>
    </row>
    <row r="82" spans="1:12" ht="0.75" customHeight="1" thickTop="1" thickBot="1" x14ac:dyDescent="0.25">
      <c r="A82" s="536" t="s">
        <v>343</v>
      </c>
      <c r="B82" s="537"/>
      <c r="C82" s="538">
        <f>(C81-C79)</f>
        <v>-25332</v>
      </c>
      <c r="D82" s="538">
        <f t="shared" ref="D82:K82" si="11">(D81-D79)</f>
        <v>5121</v>
      </c>
      <c r="E82" s="538">
        <f t="shared" si="11"/>
        <v>0</v>
      </c>
      <c r="F82" s="538">
        <f t="shared" si="11"/>
        <v>-4935</v>
      </c>
      <c r="G82" s="538">
        <f t="shared" si="11"/>
        <v>3993</v>
      </c>
      <c r="H82" s="538">
        <f t="shared" si="11"/>
        <v>0</v>
      </c>
      <c r="I82" s="538">
        <f t="shared" si="11"/>
        <v>0</v>
      </c>
      <c r="J82" s="538">
        <f t="shared" si="11"/>
        <v>0</v>
      </c>
      <c r="K82" s="538">
        <f t="shared" si="11"/>
        <v>3152</v>
      </c>
    </row>
    <row r="83" spans="1:12" ht="14.25" hidden="1" thickTop="1" thickBot="1" x14ac:dyDescent="0.25">
      <c r="A83" s="539" t="s">
        <v>344</v>
      </c>
      <c r="B83" s="464"/>
      <c r="C83" s="540">
        <f>C82/C81</f>
        <v>-0.15180497626923631</v>
      </c>
      <c r="D83" s="540">
        <f t="shared" ref="D83:K83" si="12">D82/D81</f>
        <v>0.16410305710440301</v>
      </c>
      <c r="E83" s="540" t="e">
        <f t="shared" si="12"/>
        <v>#DIV/0!</v>
      </c>
      <c r="F83" s="540">
        <f t="shared" si="12"/>
        <v>-0.27600671140939598</v>
      </c>
      <c r="G83" s="540">
        <f t="shared" si="12"/>
        <v>0.56912770809578106</v>
      </c>
      <c r="H83" s="540" t="e">
        <f t="shared" si="12"/>
        <v>#DIV/0!</v>
      </c>
      <c r="I83" s="540" t="e">
        <f t="shared" si="12"/>
        <v>#DIV/0!</v>
      </c>
      <c r="J83" s="540" t="e">
        <f t="shared" si="12"/>
        <v>#DIV/0!</v>
      </c>
      <c r="K83" s="540">
        <f t="shared" si="12"/>
        <v>0.39424640400250155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0" workbookViewId="0">
      <pane ySplit="2" topLeftCell="A138" activePane="bottomLeft" state="frozen"/>
      <selection activeCell="J27" sqref="J27:J28"/>
      <selection pane="bottomLeft" activeCell="F153" sqref="F15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296298</v>
      </c>
      <c r="D5" s="481">
        <v>36527</v>
      </c>
      <c r="E5" s="466"/>
      <c r="F5" s="548">
        <v>14869</v>
      </c>
      <c r="G5" s="466">
        <v>3680</v>
      </c>
      <c r="H5" s="466"/>
      <c r="I5" s="466">
        <v>3932</v>
      </c>
      <c r="J5" s="467"/>
      <c r="K5" s="466">
        <v>5719</v>
      </c>
    </row>
    <row r="6" spans="1:12" ht="15" x14ac:dyDescent="0.2">
      <c r="A6" s="463" t="s">
        <v>1662</v>
      </c>
      <c r="B6" s="470">
        <v>1130</v>
      </c>
      <c r="C6" s="466"/>
      <c r="D6" s="466"/>
      <c r="E6" s="475"/>
      <c r="F6" s="475"/>
      <c r="G6" s="468"/>
      <c r="H6" s="468"/>
      <c r="I6" s="468"/>
      <c r="J6" s="468"/>
      <c r="K6" s="468"/>
    </row>
    <row r="7" spans="1:12" x14ac:dyDescent="0.2">
      <c r="A7" s="463" t="s">
        <v>110</v>
      </c>
      <c r="B7" s="549">
        <v>1140</v>
      </c>
      <c r="C7" s="466">
        <v>8579</v>
      </c>
      <c r="D7" s="466"/>
      <c r="E7" s="468"/>
      <c r="F7" s="467"/>
      <c r="G7" s="467"/>
      <c r="H7" s="467"/>
      <c r="I7" s="468"/>
      <c r="J7" s="468"/>
      <c r="K7" s="468"/>
    </row>
    <row r="8" spans="1:12" x14ac:dyDescent="0.2">
      <c r="A8" s="463" t="s">
        <v>413</v>
      </c>
      <c r="B8" s="470">
        <v>1150</v>
      </c>
      <c r="C8" s="475"/>
      <c r="D8" s="475"/>
      <c r="E8" s="477"/>
      <c r="F8" s="477"/>
      <c r="G8" s="481">
        <v>3680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304877</v>
      </c>
      <c r="D12" s="1707">
        <f t="shared" si="0"/>
        <v>36527</v>
      </c>
      <c r="E12" s="1707">
        <f t="shared" si="0"/>
        <v>0</v>
      </c>
      <c r="F12" s="1707">
        <f t="shared" si="0"/>
        <v>14869</v>
      </c>
      <c r="G12" s="1707">
        <f t="shared" si="0"/>
        <v>7360</v>
      </c>
      <c r="H12" s="1707">
        <f t="shared" si="0"/>
        <v>0</v>
      </c>
      <c r="I12" s="1707">
        <f t="shared" si="0"/>
        <v>3932</v>
      </c>
      <c r="J12" s="1707">
        <f t="shared" si="0"/>
        <v>0</v>
      </c>
      <c r="K12" s="1688">
        <f t="shared" si="0"/>
        <v>5719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22571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22571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2214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2214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91</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242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3218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3218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18732</v>
      </c>
      <c r="D107" s="466"/>
      <c r="E107" s="466"/>
      <c r="F107" s="466"/>
      <c r="G107" s="466"/>
      <c r="H107" s="466"/>
      <c r="I107" s="466"/>
      <c r="J107" s="467"/>
      <c r="K107" s="466"/>
    </row>
    <row r="108" spans="1:12" ht="12.75" customHeight="1" thickBot="1" x14ac:dyDescent="0.25">
      <c r="A108" s="1708" t="s">
        <v>487</v>
      </c>
      <c r="B108" s="1712"/>
      <c r="C108" s="1707">
        <f>SUM(C95:C107)</f>
        <v>18732</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330333</v>
      </c>
      <c r="D109" s="1715">
        <f t="shared" si="4"/>
        <v>36527</v>
      </c>
      <c r="E109" s="1715">
        <f t="shared" si="4"/>
        <v>0</v>
      </c>
      <c r="F109" s="1715">
        <f t="shared" si="4"/>
        <v>14869</v>
      </c>
      <c r="G109" s="1715">
        <f t="shared" si="4"/>
        <v>29931</v>
      </c>
      <c r="H109" s="1715">
        <f t="shared" si="4"/>
        <v>0</v>
      </c>
      <c r="I109" s="1715">
        <f t="shared" si="4"/>
        <v>3932</v>
      </c>
      <c r="J109" s="1715">
        <f t="shared" si="4"/>
        <v>0</v>
      </c>
      <c r="K109" s="1702">
        <f t="shared" si="4"/>
        <v>5719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220415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220415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890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4534</v>
      </c>
      <c r="G152" s="467"/>
      <c r="H152" s="468"/>
      <c r="I152" s="468"/>
      <c r="J152" s="468"/>
      <c r="K152" s="468"/>
    </row>
    <row r="153" spans="1:11" ht="12.75" customHeight="1" x14ac:dyDescent="0.2">
      <c r="A153" s="463" t="s">
        <v>1057</v>
      </c>
      <c r="B153" s="562">
        <v>3510</v>
      </c>
      <c r="C153" s="551"/>
      <c r="D153" s="466"/>
      <c r="E153" s="561"/>
      <c r="F153" s="466">
        <v>3713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8247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890</v>
      </c>
      <c r="D169" s="1722">
        <f t="shared" si="6"/>
        <v>0</v>
      </c>
      <c r="E169" s="1722">
        <f t="shared" si="6"/>
        <v>0</v>
      </c>
      <c r="F169" s="1722">
        <f t="shared" si="6"/>
        <v>8247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221305</v>
      </c>
      <c r="D170" s="1715">
        <f t="shared" si="7"/>
        <v>0</v>
      </c>
      <c r="E170" s="1715">
        <f t="shared" si="7"/>
        <v>0</v>
      </c>
      <c r="F170" s="1715">
        <f t="shared" si="7"/>
        <v>8247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9513</v>
      </c>
      <c r="D180" s="466"/>
      <c r="E180" s="468"/>
      <c r="F180" s="466"/>
      <c r="G180" s="466"/>
      <c r="H180" s="466"/>
      <c r="I180" s="468"/>
      <c r="J180" s="468"/>
      <c r="K180" s="466"/>
    </row>
    <row r="181" spans="1:11" ht="13.5" thickBot="1" x14ac:dyDescent="0.25">
      <c r="A181" s="2158" t="s">
        <v>785</v>
      </c>
      <c r="B181" s="2159"/>
      <c r="C181" s="1707">
        <f>SUM(C177:C180)</f>
        <v>9513</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30357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13424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3027</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46808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32602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32602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4377</v>
      </c>
      <c r="D213" s="466"/>
      <c r="E213" s="468"/>
      <c r="F213" s="466"/>
      <c r="G213" s="466"/>
      <c r="H213" s="468"/>
      <c r="I213" s="468"/>
      <c r="J213" s="468"/>
      <c r="K213" s="468"/>
    </row>
    <row r="214" spans="1:11" ht="12.75" customHeight="1" x14ac:dyDescent="0.2">
      <c r="A214" s="463" t="s">
        <v>1054</v>
      </c>
      <c r="B214" s="470">
        <v>4625</v>
      </c>
      <c r="C214" s="551">
        <v>185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4562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6181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2386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92539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102052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653690</v>
      </c>
      <c r="D268" s="1715">
        <f t="shared" si="12"/>
        <v>36527</v>
      </c>
      <c r="E268" s="1715">
        <f t="shared" si="12"/>
        <v>0</v>
      </c>
      <c r="F268" s="1715">
        <f t="shared" si="12"/>
        <v>23116</v>
      </c>
      <c r="G268" s="1715">
        <f t="shared" si="12"/>
        <v>29931</v>
      </c>
      <c r="H268" s="1715">
        <f t="shared" si="12"/>
        <v>0</v>
      </c>
      <c r="I268" s="1715">
        <f t="shared" si="12"/>
        <v>3932</v>
      </c>
      <c r="J268" s="1715">
        <f t="shared" si="12"/>
        <v>0</v>
      </c>
      <c r="K268" s="1702">
        <f t="shared" si="12"/>
        <v>5719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27" sqref="J27:J28"/>
      <selection pane="bottomLeft" activeCell="J27" sqref="J27:J2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270193</v>
      </c>
      <c r="D5" s="466">
        <v>60033</v>
      </c>
      <c r="E5" s="466">
        <v>10602</v>
      </c>
      <c r="F5" s="466">
        <v>1380</v>
      </c>
      <c r="G5" s="466"/>
      <c r="H5" s="466">
        <v>846</v>
      </c>
      <c r="I5" s="467"/>
      <c r="J5" s="467"/>
      <c r="K5" s="1671">
        <f>SUM(C5:J5)</f>
        <v>343054</v>
      </c>
      <c r="L5" s="466">
        <v>319346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16993</v>
      </c>
      <c r="D8" s="466">
        <v>3350</v>
      </c>
      <c r="E8" s="466"/>
      <c r="F8" s="466"/>
      <c r="G8" s="466"/>
      <c r="H8" s="466"/>
      <c r="I8" s="467"/>
      <c r="J8" s="467"/>
      <c r="K8" s="1671">
        <f t="shared" si="0"/>
        <v>20343</v>
      </c>
      <c r="L8" s="466">
        <v>48350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9359</v>
      </c>
      <c r="D10" s="466">
        <v>2</v>
      </c>
      <c r="E10" s="466">
        <v>4033</v>
      </c>
      <c r="F10" s="466">
        <v>14801</v>
      </c>
      <c r="G10" s="466">
        <v>616</v>
      </c>
      <c r="H10" s="466"/>
      <c r="I10" s="467"/>
      <c r="J10" s="467"/>
      <c r="K10" s="1671">
        <f t="shared" si="0"/>
        <v>28811</v>
      </c>
      <c r="L10" s="466">
        <v>43698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1500</v>
      </c>
      <c r="D14" s="466">
        <v>187</v>
      </c>
      <c r="E14" s="466">
        <v>2388</v>
      </c>
      <c r="F14" s="466">
        <v>108</v>
      </c>
      <c r="G14" s="466"/>
      <c r="H14" s="466">
        <v>330</v>
      </c>
      <c r="I14" s="467"/>
      <c r="J14" s="467"/>
      <c r="K14" s="1671">
        <f t="shared" si="0"/>
        <v>4513</v>
      </c>
      <c r="L14" s="466">
        <v>3085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298045</v>
      </c>
      <c r="D33" s="1670">
        <f t="shared" ref="D33:L33" si="1">SUM(D5:D32)</f>
        <v>63572</v>
      </c>
      <c r="E33" s="1670">
        <f t="shared" si="1"/>
        <v>17023</v>
      </c>
      <c r="F33" s="1670">
        <f t="shared" si="1"/>
        <v>16289</v>
      </c>
      <c r="G33" s="1670">
        <f t="shared" si="1"/>
        <v>616</v>
      </c>
      <c r="H33" s="1670">
        <f t="shared" si="1"/>
        <v>1176</v>
      </c>
      <c r="I33" s="1670">
        <f t="shared" si="1"/>
        <v>0</v>
      </c>
      <c r="J33" s="1670">
        <f t="shared" si="1"/>
        <v>0</v>
      </c>
      <c r="K33" s="1670">
        <f t="shared" si="1"/>
        <v>396721</v>
      </c>
      <c r="L33" s="1670">
        <f t="shared" si="1"/>
        <v>414479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v>200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112</v>
      </c>
      <c r="D41" s="466"/>
      <c r="E41" s="466"/>
      <c r="F41" s="466"/>
      <c r="G41" s="466"/>
      <c r="H41" s="466"/>
      <c r="I41" s="467"/>
      <c r="J41" s="467"/>
      <c r="K41" s="1671">
        <f t="shared" si="2"/>
        <v>112</v>
      </c>
      <c r="L41" s="466">
        <v>200</v>
      </c>
    </row>
    <row r="42" spans="1:14" ht="12.75" customHeight="1" thickBot="1" x14ac:dyDescent="0.25">
      <c r="A42" s="1668" t="s">
        <v>560</v>
      </c>
      <c r="B42" s="1669" t="s">
        <v>716</v>
      </c>
      <c r="C42" s="1670">
        <f>SUM(C36:C41)</f>
        <v>112</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112</v>
      </c>
      <c r="L42" s="1670">
        <f t="shared" si="3"/>
        <v>400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5695</v>
      </c>
      <c r="D44" s="481">
        <v>1</v>
      </c>
      <c r="E44" s="481">
        <v>27959</v>
      </c>
      <c r="F44" s="481"/>
      <c r="G44" s="481"/>
      <c r="H44" s="481"/>
      <c r="I44" s="467"/>
      <c r="J44" s="467"/>
      <c r="K44" s="1672">
        <f>SUM(C44:J44)</f>
        <v>33655</v>
      </c>
      <c r="L44" s="481">
        <v>19432</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5695</v>
      </c>
      <c r="D47" s="1670">
        <f t="shared" ref="D47:K47" si="4">SUM(D44:D46)</f>
        <v>1</v>
      </c>
      <c r="E47" s="1670">
        <f t="shared" si="4"/>
        <v>27959</v>
      </c>
      <c r="F47" s="1670">
        <f t="shared" si="4"/>
        <v>0</v>
      </c>
      <c r="G47" s="1670">
        <f t="shared" si="4"/>
        <v>0</v>
      </c>
      <c r="H47" s="1670">
        <f t="shared" si="4"/>
        <v>0</v>
      </c>
      <c r="I47" s="1670">
        <f t="shared" si="4"/>
        <v>0</v>
      </c>
      <c r="J47" s="1670">
        <f t="shared" si="4"/>
        <v>0</v>
      </c>
      <c r="K47" s="1670">
        <f t="shared" si="4"/>
        <v>33655</v>
      </c>
      <c r="L47" s="1670">
        <f>SUM(L44:L46)</f>
        <v>19432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600</v>
      </c>
      <c r="D49" s="481"/>
      <c r="E49" s="481">
        <v>35677</v>
      </c>
      <c r="F49" s="481"/>
      <c r="G49" s="481"/>
      <c r="H49" s="481">
        <v>797</v>
      </c>
      <c r="I49" s="467"/>
      <c r="J49" s="467"/>
      <c r="K49" s="1672">
        <f>SUM(C49:J49)</f>
        <v>37074</v>
      </c>
      <c r="L49" s="481">
        <v>26255</v>
      </c>
    </row>
    <row r="50" spans="1:14" x14ac:dyDescent="0.2">
      <c r="A50" s="1504" t="s">
        <v>818</v>
      </c>
      <c r="B50" s="614">
        <v>2320</v>
      </c>
      <c r="C50" s="466">
        <v>71876</v>
      </c>
      <c r="D50" s="466">
        <v>16495</v>
      </c>
      <c r="E50" s="466">
        <v>3186</v>
      </c>
      <c r="F50" s="466"/>
      <c r="G50" s="466"/>
      <c r="H50" s="466">
        <v>635</v>
      </c>
      <c r="I50" s="467"/>
      <c r="J50" s="467"/>
      <c r="K50" s="1672">
        <f>SUM(C50:J50)</f>
        <v>92192</v>
      </c>
      <c r="L50" s="466">
        <v>89967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72476</v>
      </c>
      <c r="D53" s="1670">
        <f t="shared" ref="D53:L53" si="5">SUM(D49:D52)</f>
        <v>16495</v>
      </c>
      <c r="E53" s="1670">
        <f t="shared" si="5"/>
        <v>38863</v>
      </c>
      <c r="F53" s="1670">
        <f t="shared" si="5"/>
        <v>0</v>
      </c>
      <c r="G53" s="1670">
        <f t="shared" si="5"/>
        <v>0</v>
      </c>
      <c r="H53" s="1670">
        <f t="shared" si="5"/>
        <v>1432</v>
      </c>
      <c r="I53" s="1670">
        <f t="shared" si="5"/>
        <v>0</v>
      </c>
      <c r="J53" s="1670">
        <f t="shared" si="5"/>
        <v>0</v>
      </c>
      <c r="K53" s="1670">
        <f t="shared" si="5"/>
        <v>129266</v>
      </c>
      <c r="L53" s="1670">
        <f t="shared" si="5"/>
        <v>116222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v>159</v>
      </c>
      <c r="G55" s="481"/>
      <c r="H55" s="481"/>
      <c r="I55" s="467"/>
      <c r="J55" s="467"/>
      <c r="K55" s="1672">
        <f>SUM(C55:J55)</f>
        <v>159</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159</v>
      </c>
      <c r="G57" s="1674">
        <f t="shared" si="6"/>
        <v>0</v>
      </c>
      <c r="H57" s="1674">
        <f t="shared" si="6"/>
        <v>0</v>
      </c>
      <c r="I57" s="1674">
        <f t="shared" si="6"/>
        <v>0</v>
      </c>
      <c r="J57" s="1674">
        <f t="shared" si="6"/>
        <v>0</v>
      </c>
      <c r="K57" s="1674">
        <f t="shared" si="6"/>
        <v>159</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25969</v>
      </c>
      <c r="D60" s="466">
        <v>12</v>
      </c>
      <c r="E60" s="466"/>
      <c r="F60" s="466"/>
      <c r="G60" s="466"/>
      <c r="H60" s="466"/>
      <c r="I60" s="467"/>
      <c r="J60" s="467"/>
      <c r="K60" s="1672">
        <f t="shared" si="7"/>
        <v>25981</v>
      </c>
      <c r="L60" s="466">
        <v>26145</v>
      </c>
      <c r="M60" s="609"/>
      <c r="N60" s="609"/>
    </row>
    <row r="61" spans="1:14" s="343" customFormat="1" x14ac:dyDescent="0.2">
      <c r="A61" s="1504" t="s">
        <v>197</v>
      </c>
      <c r="B61" s="614">
        <v>2540</v>
      </c>
      <c r="C61" s="466">
        <v>24292</v>
      </c>
      <c r="D61" s="466">
        <v>5402</v>
      </c>
      <c r="E61" s="466">
        <v>11377</v>
      </c>
      <c r="F61" s="466"/>
      <c r="G61" s="466"/>
      <c r="H61" s="466"/>
      <c r="I61" s="467"/>
      <c r="J61" s="467"/>
      <c r="K61" s="1672">
        <f t="shared" si="7"/>
        <v>41071</v>
      </c>
      <c r="L61" s="466">
        <v>42353</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13503</v>
      </c>
      <c r="D63" s="466">
        <v>12</v>
      </c>
      <c r="E63" s="466"/>
      <c r="F63" s="466">
        <v>25441</v>
      </c>
      <c r="G63" s="466"/>
      <c r="H63" s="466"/>
      <c r="I63" s="467"/>
      <c r="J63" s="467"/>
      <c r="K63" s="1672">
        <f t="shared" si="7"/>
        <v>38956</v>
      </c>
      <c r="L63" s="466">
        <v>37400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63764</v>
      </c>
      <c r="D65" s="1670">
        <f t="shared" ref="D65:L65" si="8">SUM(D59:D64)</f>
        <v>5426</v>
      </c>
      <c r="E65" s="1670">
        <f t="shared" si="8"/>
        <v>11377</v>
      </c>
      <c r="F65" s="1670">
        <f t="shared" si="8"/>
        <v>25441</v>
      </c>
      <c r="G65" s="1670">
        <f t="shared" si="8"/>
        <v>0</v>
      </c>
      <c r="H65" s="1670">
        <f t="shared" si="8"/>
        <v>0</v>
      </c>
      <c r="I65" s="1670">
        <f t="shared" si="8"/>
        <v>0</v>
      </c>
      <c r="J65" s="1670">
        <f t="shared" si="8"/>
        <v>0</v>
      </c>
      <c r="K65" s="1670">
        <f t="shared" si="8"/>
        <v>106008</v>
      </c>
      <c r="L65" s="1670">
        <f t="shared" si="8"/>
        <v>105898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98</v>
      </c>
      <c r="G73" s="573"/>
      <c r="H73" s="573"/>
      <c r="I73" s="531"/>
      <c r="J73" s="531"/>
      <c r="K73" s="1670">
        <f>SUM(C73:J73)</f>
        <v>98</v>
      </c>
      <c r="L73" s="576"/>
      <c r="M73" s="609"/>
      <c r="N73" s="609"/>
    </row>
    <row r="74" spans="1:14" ht="12.75" customHeight="1" thickTop="1" thickBot="1" x14ac:dyDescent="0.25">
      <c r="A74" s="1668" t="s">
        <v>811</v>
      </c>
      <c r="B74" s="1676">
        <v>2000</v>
      </c>
      <c r="C74" s="1677">
        <f>SUM(C42,C47,C53,C57,C65,C72,C73)</f>
        <v>142047</v>
      </c>
      <c r="D74" s="1677">
        <f t="shared" ref="D74:K74" si="10">SUM(D42,D47,D53,D57,D65,D72,D73)</f>
        <v>21922</v>
      </c>
      <c r="E74" s="1677">
        <f t="shared" si="10"/>
        <v>78199</v>
      </c>
      <c r="F74" s="1677">
        <f t="shared" si="10"/>
        <v>25698</v>
      </c>
      <c r="G74" s="1677">
        <f t="shared" si="10"/>
        <v>0</v>
      </c>
      <c r="H74" s="1677">
        <f t="shared" si="10"/>
        <v>1432</v>
      </c>
      <c r="I74" s="1677">
        <f t="shared" si="10"/>
        <v>0</v>
      </c>
      <c r="J74" s="1677">
        <f t="shared" si="10"/>
        <v>0</v>
      </c>
      <c r="K74" s="1677">
        <f t="shared" si="10"/>
        <v>269298</v>
      </c>
      <c r="L74" s="1677">
        <f>SUM(L42,L47,L53,L57,L65,L72,L73)</f>
        <v>241952</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16935</v>
      </c>
      <c r="I86" s="477"/>
      <c r="J86" s="477"/>
      <c r="K86" s="1677">
        <f t="shared" ref="K86:K98" si="12">H86</f>
        <v>16935</v>
      </c>
      <c r="L86" s="530">
        <v>24500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16935</v>
      </c>
      <c r="I92" s="477"/>
      <c r="J92" s="477"/>
      <c r="K92" s="1677">
        <f t="shared" si="12"/>
        <v>16935</v>
      </c>
      <c r="L92" s="1670">
        <f>SUM(L85:L91)</f>
        <v>24500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16935</v>
      </c>
      <c r="I102" s="477"/>
      <c r="J102" s="477"/>
      <c r="K102" s="1677">
        <f>SUM(K84,K92,K100,K101)</f>
        <v>16935</v>
      </c>
      <c r="L102" s="1677">
        <f>SUM(L84,L92,L100,L101)</f>
        <v>24500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440092</v>
      </c>
      <c r="D114" s="1670">
        <f t="shared" ref="D114:K114" si="13">SUM(D33,D74,D75,D102,D112,D113)</f>
        <v>85494</v>
      </c>
      <c r="E114" s="1670">
        <f t="shared" si="13"/>
        <v>95222</v>
      </c>
      <c r="F114" s="1670">
        <f t="shared" si="13"/>
        <v>41987</v>
      </c>
      <c r="G114" s="1670">
        <f t="shared" si="13"/>
        <v>616</v>
      </c>
      <c r="H114" s="1670">
        <f>SUM(H33,H74,H75,H102,H112,H113)</f>
        <v>19543</v>
      </c>
      <c r="I114" s="1670">
        <f t="shared" si="13"/>
        <v>0</v>
      </c>
      <c r="J114" s="1670">
        <f t="shared" si="13"/>
        <v>0</v>
      </c>
      <c r="K114" s="1670">
        <f t="shared" si="13"/>
        <v>682954</v>
      </c>
      <c r="L114" s="1670">
        <f>SUM(L33,L74,L75,L102,L112,L113)</f>
        <v>680931</v>
      </c>
    </row>
    <row r="115" spans="1:14" ht="13.5" thickTop="1" x14ac:dyDescent="0.2">
      <c r="A115" s="2162" t="s">
        <v>996</v>
      </c>
      <c r="B115" s="2163"/>
      <c r="C115" s="618"/>
      <c r="D115" s="618"/>
      <c r="E115" s="618"/>
      <c r="F115" s="618"/>
      <c r="G115" s="618"/>
      <c r="H115" s="618"/>
      <c r="I115" s="618"/>
      <c r="J115" s="618"/>
      <c r="K115" s="1684">
        <f>'Revenues 9-14'!C268-'Expenditures 15-22'!K114</f>
        <v>-29264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11326</v>
      </c>
      <c r="F124" s="466">
        <v>15580</v>
      </c>
      <c r="G124" s="466">
        <v>4500</v>
      </c>
      <c r="H124" s="466"/>
      <c r="I124" s="467"/>
      <c r="J124" s="467"/>
      <c r="K124" s="1670">
        <f>SUM(C124:J124)</f>
        <v>31406</v>
      </c>
      <c r="L124" s="466">
        <v>24400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11326</v>
      </c>
      <c r="F127" s="1670">
        <f t="shared" si="14"/>
        <v>15580</v>
      </c>
      <c r="G127" s="1670">
        <f t="shared" si="14"/>
        <v>4500</v>
      </c>
      <c r="H127" s="1670">
        <f t="shared" si="14"/>
        <v>0</v>
      </c>
      <c r="I127" s="1670">
        <f t="shared" si="14"/>
        <v>0</v>
      </c>
      <c r="J127" s="1670">
        <f t="shared" si="14"/>
        <v>0</v>
      </c>
      <c r="K127" s="1670">
        <f t="shared" si="14"/>
        <v>31406</v>
      </c>
      <c r="L127" s="1670">
        <f t="shared" si="14"/>
        <v>24400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11326</v>
      </c>
      <c r="F129" s="1677">
        <f t="shared" si="15"/>
        <v>15580</v>
      </c>
      <c r="G129" s="1677">
        <f t="shared" si="15"/>
        <v>4500</v>
      </c>
      <c r="H129" s="1677">
        <f t="shared" si="15"/>
        <v>0</v>
      </c>
      <c r="I129" s="1677">
        <f t="shared" si="15"/>
        <v>0</v>
      </c>
      <c r="J129" s="1677">
        <f t="shared" si="15"/>
        <v>0</v>
      </c>
      <c r="K129" s="1677">
        <f t="shared" si="15"/>
        <v>31406</v>
      </c>
      <c r="L129" s="1677">
        <f t="shared" si="15"/>
        <v>24400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9" t="s">
        <v>620</v>
      </c>
      <c r="B151" s="2159"/>
      <c r="C151" s="1670">
        <f>SUM(C129,C130,C139,C149,C150)</f>
        <v>0</v>
      </c>
      <c r="D151" s="1670">
        <f t="shared" ref="D151:K151" si="16">SUM(D129,D130,D139,D149,D150)</f>
        <v>0</v>
      </c>
      <c r="E151" s="1670">
        <f t="shared" si="16"/>
        <v>11326</v>
      </c>
      <c r="F151" s="1670">
        <f t="shared" si="16"/>
        <v>15580</v>
      </c>
      <c r="G151" s="1670">
        <f t="shared" si="16"/>
        <v>4500</v>
      </c>
      <c r="H151" s="1670">
        <f t="shared" si="16"/>
        <v>0</v>
      </c>
      <c r="I151" s="1670">
        <f t="shared" si="16"/>
        <v>0</v>
      </c>
      <c r="J151" s="1670">
        <f t="shared" si="16"/>
        <v>0</v>
      </c>
      <c r="K151" s="1670">
        <f t="shared" si="16"/>
        <v>31406</v>
      </c>
      <c r="L151" s="1670">
        <f>SUM(L129,L130,L139,L149,L150)</f>
        <v>24400</v>
      </c>
    </row>
    <row r="152" spans="1:14" ht="12.75" customHeight="1" thickTop="1" x14ac:dyDescent="0.2">
      <c r="A152" s="2182" t="s">
        <v>1178</v>
      </c>
      <c r="B152" s="2183"/>
      <c r="C152" s="618"/>
      <c r="D152" s="618"/>
      <c r="E152" s="618"/>
      <c r="F152" s="618"/>
      <c r="G152" s="618"/>
      <c r="H152" s="618"/>
      <c r="I152" s="618"/>
      <c r="J152" s="616"/>
      <c r="K152" s="1684">
        <f>'Revenues 9-14'!D268-'Expenditures 15-22'!K151</f>
        <v>5121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2" t="s">
        <v>996</v>
      </c>
      <c r="B175" s="2163"/>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16243</v>
      </c>
      <c r="D182" s="466">
        <v>2722</v>
      </c>
      <c r="E182" s="466">
        <v>672</v>
      </c>
      <c r="F182" s="466">
        <v>8414</v>
      </c>
      <c r="G182" s="466"/>
      <c r="H182" s="466"/>
      <c r="I182" s="467"/>
      <c r="J182" s="467"/>
      <c r="K182" s="1671">
        <f>SUM(C182:J182)</f>
        <v>28051</v>
      </c>
      <c r="L182" s="466">
        <v>19200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16243</v>
      </c>
      <c r="D184" s="1677">
        <f t="shared" ref="D184:J184" si="17">SUM(D180,D182,D183)</f>
        <v>2722</v>
      </c>
      <c r="E184" s="1677">
        <f t="shared" si="17"/>
        <v>672</v>
      </c>
      <c r="F184" s="1677">
        <f t="shared" si="17"/>
        <v>8414</v>
      </c>
      <c r="G184" s="1677">
        <f t="shared" si="17"/>
        <v>0</v>
      </c>
      <c r="H184" s="1677">
        <f t="shared" si="17"/>
        <v>0</v>
      </c>
      <c r="I184" s="1677">
        <f t="shared" si="17"/>
        <v>0</v>
      </c>
      <c r="J184" s="1677">
        <f t="shared" si="17"/>
        <v>0</v>
      </c>
      <c r="K184" s="1677">
        <f>SUM(K180,K182,K183)</f>
        <v>28051</v>
      </c>
      <c r="L184" s="1677">
        <f>SUM(L180, L182:L183)</f>
        <v>19200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16243</v>
      </c>
      <c r="D210" s="1670">
        <f>SUM(D184,D185)</f>
        <v>2722</v>
      </c>
      <c r="E210" s="1670">
        <f>SUM(E184,E185,E196)</f>
        <v>672</v>
      </c>
      <c r="F210" s="1670">
        <f>SUM(F184,F185)</f>
        <v>8414</v>
      </c>
      <c r="G210" s="1670">
        <f>SUM(G184,G185)</f>
        <v>0</v>
      </c>
      <c r="H210" s="1670">
        <f>SUM(H184,H185,H196,H208,H209)</f>
        <v>0</v>
      </c>
      <c r="I210" s="1670">
        <f>SUM(I184,I185)</f>
        <v>0</v>
      </c>
      <c r="J210" s="1670">
        <f>SUM(J184,J185)</f>
        <v>0</v>
      </c>
      <c r="K210" s="1671">
        <f>SUM(K184,K185,K196,K208,K209)</f>
        <v>28051</v>
      </c>
      <c r="L210" s="1670">
        <f>SUM(L184,L185,L196,L208,L209)</f>
        <v>19200</v>
      </c>
    </row>
    <row r="211" spans="1:14" ht="13.5" thickTop="1" x14ac:dyDescent="0.2">
      <c r="A211" s="2162" t="s">
        <v>996</v>
      </c>
      <c r="B211" s="2163"/>
      <c r="C211" s="618"/>
      <c r="D211" s="618"/>
      <c r="E211" s="618"/>
      <c r="F211" s="618"/>
      <c r="G211" s="618"/>
      <c r="H211" s="618"/>
      <c r="I211" s="616"/>
      <c r="J211" s="616"/>
      <c r="K211" s="1684">
        <f>'Revenues 9-14'!F268-'Expenditures 15-22'!K210</f>
        <v>-4935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4626</v>
      </c>
      <c r="E215" s="616"/>
      <c r="F215" s="616"/>
      <c r="G215" s="616"/>
      <c r="H215" s="616"/>
      <c r="I215" s="616"/>
      <c r="J215" s="616"/>
      <c r="K215" s="1671">
        <f>D215</f>
        <v>4626</v>
      </c>
      <c r="L215" s="466">
        <v>4450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1185</v>
      </c>
      <c r="E217" s="616"/>
      <c r="F217" s="616"/>
      <c r="G217" s="616"/>
      <c r="H217" s="616"/>
      <c r="I217" s="616"/>
      <c r="J217" s="616"/>
      <c r="K217" s="1671">
        <f t="shared" si="19"/>
        <v>1185</v>
      </c>
      <c r="L217" s="466">
        <v>3965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2881</v>
      </c>
      <c r="E219" s="616"/>
      <c r="F219" s="616"/>
      <c r="G219" s="616"/>
      <c r="H219" s="616"/>
      <c r="I219" s="616"/>
      <c r="J219" s="616"/>
      <c r="K219" s="1671">
        <f t="shared" si="19"/>
        <v>2881</v>
      </c>
      <c r="L219" s="466">
        <v>1790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24</v>
      </c>
      <c r="E223" s="616"/>
      <c r="F223" s="616"/>
      <c r="G223" s="616"/>
      <c r="H223" s="616"/>
      <c r="I223" s="616"/>
      <c r="J223" s="616"/>
      <c r="K223" s="1671">
        <f t="shared" si="19"/>
        <v>24</v>
      </c>
      <c r="L223" s="466">
        <v>40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8716</v>
      </c>
      <c r="E229" s="616"/>
      <c r="F229" s="616"/>
      <c r="G229" s="616"/>
      <c r="H229" s="616"/>
      <c r="I229" s="616"/>
      <c r="J229" s="616"/>
      <c r="K229" s="1670">
        <f>SUM(K215:K228)</f>
        <v>8716</v>
      </c>
      <c r="L229" s="1670">
        <f>SUM(L215:L228)</f>
        <v>10245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1190</v>
      </c>
      <c r="E240" s="616"/>
      <c r="F240" s="616"/>
      <c r="G240" s="616"/>
      <c r="H240" s="616"/>
      <c r="I240" s="616"/>
      <c r="J240" s="616"/>
      <c r="K240" s="1672">
        <f>D240</f>
        <v>1190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1190</v>
      </c>
      <c r="E243" s="616"/>
      <c r="F243" s="616"/>
      <c r="G243" s="616"/>
      <c r="H243" s="616"/>
      <c r="I243" s="616"/>
      <c r="J243" s="616"/>
      <c r="K243" s="1670">
        <f>SUM(K240:K242)</f>
        <v>1190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1238</v>
      </c>
      <c r="E246" s="616"/>
      <c r="F246" s="616"/>
      <c r="G246" s="616"/>
      <c r="H246" s="616"/>
      <c r="I246" s="616"/>
      <c r="J246" s="616"/>
      <c r="K246" s="1672">
        <f t="shared" ref="K246:K256" si="21">D246</f>
        <v>1238</v>
      </c>
      <c r="L246" s="466">
        <v>1250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1238</v>
      </c>
      <c r="E257" s="616"/>
      <c r="F257" s="616"/>
      <c r="G257" s="616"/>
      <c r="H257" s="616"/>
      <c r="I257" s="616"/>
      <c r="J257" s="616"/>
      <c r="K257" s="1670">
        <f>SUM(K245:K256)</f>
        <v>1238</v>
      </c>
      <c r="L257" s="1670">
        <f>SUM(L245:L256)</f>
        <v>1250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5417</v>
      </c>
      <c r="E264" s="616"/>
      <c r="F264" s="616"/>
      <c r="G264" s="616"/>
      <c r="H264" s="616"/>
      <c r="I264" s="616"/>
      <c r="J264" s="616"/>
      <c r="K264" s="1672">
        <f t="shared" ref="K264:K269" si="22">D264</f>
        <v>5417</v>
      </c>
      <c r="L264" s="466">
        <v>6000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5022</v>
      </c>
      <c r="E266" s="616"/>
      <c r="F266" s="616"/>
      <c r="G266" s="616"/>
      <c r="H266" s="616"/>
      <c r="I266" s="616"/>
      <c r="J266" s="616"/>
      <c r="K266" s="1672">
        <f t="shared" si="22"/>
        <v>5022</v>
      </c>
      <c r="L266" s="466">
        <v>5375</v>
      </c>
    </row>
    <row r="267" spans="1:14" x14ac:dyDescent="0.2">
      <c r="A267" s="1504" t="s">
        <v>953</v>
      </c>
      <c r="B267" s="614">
        <v>2550</v>
      </c>
      <c r="C267" s="616"/>
      <c r="D267" s="466">
        <v>1538</v>
      </c>
      <c r="E267" s="616"/>
      <c r="F267" s="616"/>
      <c r="G267" s="616"/>
      <c r="H267" s="616"/>
      <c r="I267" s="616"/>
      <c r="J267" s="616"/>
      <c r="K267" s="1672">
        <f t="shared" si="22"/>
        <v>1538</v>
      </c>
      <c r="L267" s="466"/>
    </row>
    <row r="268" spans="1:14" x14ac:dyDescent="0.2">
      <c r="A268" s="1504" t="s">
        <v>100</v>
      </c>
      <c r="B268" s="614">
        <v>2560</v>
      </c>
      <c r="C268" s="616"/>
      <c r="D268" s="466">
        <v>2817</v>
      </c>
      <c r="E268" s="616"/>
      <c r="F268" s="616"/>
      <c r="G268" s="616"/>
      <c r="H268" s="616"/>
      <c r="I268" s="616"/>
      <c r="J268" s="616"/>
      <c r="K268" s="1672">
        <f t="shared" si="22"/>
        <v>2817</v>
      </c>
      <c r="L268" s="466">
        <v>2955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14794</v>
      </c>
      <c r="E270" s="616"/>
      <c r="F270" s="616"/>
      <c r="G270" s="616"/>
      <c r="H270" s="616"/>
      <c r="I270" s="616"/>
      <c r="J270" s="616"/>
      <c r="K270" s="1670">
        <f>SUM(K263:K269)</f>
        <v>14794</v>
      </c>
      <c r="L270" s="1670">
        <f>SUM(L263:L269)</f>
        <v>14330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17222</v>
      </c>
      <c r="E279" s="616"/>
      <c r="F279" s="616"/>
      <c r="G279" s="616"/>
      <c r="H279" s="616"/>
      <c r="I279" s="616"/>
      <c r="J279" s="616"/>
      <c r="K279" s="1677">
        <f>SUM(K238,K243,K257,K261,K270,K277,K278)</f>
        <v>17222</v>
      </c>
      <c r="L279" s="1677">
        <f>SUM(L238,L243,L257,L261,L270,L277,L278)</f>
        <v>15580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70">
        <f>SUM(D229,D279,D280,D285)</f>
        <v>25938</v>
      </c>
      <c r="E295" s="616"/>
      <c r="F295" s="616"/>
      <c r="G295" s="616"/>
      <c r="H295" s="1670">
        <f>H293</f>
        <v>0</v>
      </c>
      <c r="I295" s="616"/>
      <c r="J295" s="616"/>
      <c r="K295" s="1670">
        <f>SUM(K229,K279,K280,K285,K293,K294)</f>
        <v>25938</v>
      </c>
      <c r="L295" s="1670">
        <f>SUM(L229,L279,L280,L285,L293,L294)</f>
        <v>25825</v>
      </c>
    </row>
    <row r="296" spans="1:14" ht="13.5" thickTop="1" x14ac:dyDescent="0.2">
      <c r="A296" s="2162" t="s">
        <v>996</v>
      </c>
      <c r="B296" s="2163"/>
      <c r="C296" s="616"/>
      <c r="D296" s="618"/>
      <c r="E296" s="616"/>
      <c r="F296" s="616"/>
      <c r="G296" s="616"/>
      <c r="H296" s="687"/>
      <c r="I296" s="616"/>
      <c r="J296" s="616"/>
      <c r="K296" s="1684">
        <f>'Revenues 9-14'!G268-'Expenditures 15-22'!K295</f>
        <v>3993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5" t="s">
        <v>996</v>
      </c>
      <c r="B343" s="2176"/>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2567</v>
      </c>
      <c r="F348" s="466"/>
      <c r="G348" s="466"/>
      <c r="H348" s="466"/>
      <c r="I348" s="467"/>
      <c r="J348" s="467"/>
      <c r="K348" s="1671">
        <f>SUM(C348:J348)</f>
        <v>2567</v>
      </c>
      <c r="L348" s="466">
        <v>1000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2567</v>
      </c>
      <c r="F350" s="1670">
        <f t="shared" si="26"/>
        <v>0</v>
      </c>
      <c r="G350" s="1670">
        <f t="shared" si="26"/>
        <v>0</v>
      </c>
      <c r="H350" s="1670">
        <f t="shared" si="26"/>
        <v>0</v>
      </c>
      <c r="I350" s="1670">
        <f t="shared" si="26"/>
        <v>0</v>
      </c>
      <c r="J350" s="1670">
        <f t="shared" si="26"/>
        <v>0</v>
      </c>
      <c r="K350" s="1670">
        <f t="shared" si="26"/>
        <v>2567</v>
      </c>
      <c r="L350" s="1670">
        <f t="shared" si="26"/>
        <v>1000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2567</v>
      </c>
      <c r="F352" s="1670">
        <f t="shared" si="27"/>
        <v>0</v>
      </c>
      <c r="G352" s="1670">
        <f t="shared" si="27"/>
        <v>0</v>
      </c>
      <c r="H352" s="1670">
        <f t="shared" si="27"/>
        <v>0</v>
      </c>
      <c r="I352" s="1670">
        <f t="shared" si="27"/>
        <v>0</v>
      </c>
      <c r="J352" s="1670">
        <f t="shared" si="27"/>
        <v>0</v>
      </c>
      <c r="K352" s="1670">
        <f t="shared" si="27"/>
        <v>2567</v>
      </c>
      <c r="L352" s="1670">
        <f t="shared" si="27"/>
        <v>1000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2567</v>
      </c>
      <c r="F367" s="1670">
        <f t="shared" si="28"/>
        <v>0</v>
      </c>
      <c r="G367" s="1670">
        <f t="shared" si="28"/>
        <v>0</v>
      </c>
      <c r="H367" s="1670">
        <f t="shared" si="28"/>
        <v>0</v>
      </c>
      <c r="I367" s="1670">
        <f t="shared" si="28"/>
        <v>0</v>
      </c>
      <c r="J367" s="1670">
        <f t="shared" si="28"/>
        <v>0</v>
      </c>
      <c r="K367" s="1670">
        <f t="shared" si="28"/>
        <v>2567</v>
      </c>
      <c r="L367" s="1670">
        <f t="shared" si="28"/>
        <v>1000</v>
      </c>
    </row>
    <row r="368" spans="1:14" ht="13.5" thickTop="1" x14ac:dyDescent="0.2">
      <c r="A368" s="2162" t="s">
        <v>996</v>
      </c>
      <c r="B368" s="2163"/>
      <c r="C368" s="654"/>
      <c r="D368" s="654"/>
      <c r="E368" s="626"/>
      <c r="F368" s="626"/>
      <c r="G368" s="626"/>
      <c r="H368" s="626"/>
      <c r="I368" s="626"/>
      <c r="J368" s="623"/>
      <c r="K368" s="1671">
        <f>'Revenues 9-14'!K268-'Expenditures 15-22'!K367</f>
        <v>3152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2006/documentManagement/types"/>
    <ds:schemaRef ds:uri="4d435f69-8686-490b-bd6d-b153bf22ab50"/>
    <ds:schemaRef ds:uri="http://schemas.microsoft.com/office/infopath/2007/PartnerControls"/>
    <ds:schemaRef ds:uri="http://schemas.openxmlformats.org/package/2006/metadata/core-properties"/>
    <ds:schemaRef ds:uri="http://www.w3.org/XML/1998/namespace"/>
    <ds:schemaRef ds:uri="d21dc803-237d-4c68-8692-8d731fd29118"/>
    <ds:schemaRef ds:uri="6ce3111e-7420-4802-b50a-75d4e9a0b980"/>
    <ds:schemaRef ds:uri="http://schemas.microsoft.com/sharepoint/v3"/>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2019-09-18T21:44:44Z</cp:lastPrinted>
  <dcterms:created xsi:type="dcterms:W3CDTF">2003-10-29T19:06:34Z</dcterms:created>
  <dcterms:modified xsi:type="dcterms:W3CDTF">2019-11-06T20:23:25Z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