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0BE71CE-8A96-417A-B550-43386079B441}"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6" i="181" l="1"/>
  <c r="F35" i="181"/>
  <c r="F34" i="181"/>
  <c r="F33" i="181"/>
  <c r="F32" i="181"/>
  <c r="F31"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G32" i="181"/>
  <c r="E32" i="181"/>
  <c r="G31" i="181"/>
  <c r="E31" i="181"/>
  <c r="G29" i="181"/>
  <c r="E29" i="181"/>
  <c r="G28" i="181"/>
  <c r="E28" i="181"/>
  <c r="E27" i="181"/>
  <c r="G27" i="181" s="1"/>
  <c r="G26" i="181"/>
  <c r="E26" i="181"/>
  <c r="G25" i="181"/>
  <c r="E25" i="181"/>
  <c r="G24" i="181"/>
  <c r="E24" i="181"/>
  <c r="G23" i="181"/>
  <c r="E23" i="181"/>
  <c r="E22" i="181"/>
  <c r="G22" i="181" s="1"/>
  <c r="G21" i="181"/>
  <c r="E21" i="181"/>
  <c r="G20" i="181"/>
  <c r="E20" i="181"/>
  <c r="G36" i="181"/>
  <c r="E36" i="181"/>
  <c r="E19" i="181"/>
  <c r="E18" i="181"/>
  <c r="F19" i="181" l="1"/>
  <c r="G19" i="181" s="1"/>
  <c r="F18" i="181"/>
  <c r="G18" i="181" s="1"/>
  <c r="D37" i="181"/>
  <c r="D80" i="36" l="1"/>
  <c r="B7797" i="106"/>
  <c r="E37" i="181"/>
  <c r="E17" i="181"/>
  <c r="F17" i="181" s="1"/>
  <c r="E16" i="181"/>
  <c r="F16" i="181" l="1"/>
  <c r="G16" i="181" s="1"/>
  <c r="G17"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G39" i="108"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E26" i="108"/>
  <c r="F26" i="108"/>
  <c r="G26" i="108"/>
  <c r="D27" i="108"/>
  <c r="E27" i="108"/>
  <c r="F27" i="108"/>
  <c r="G27" i="108"/>
  <c r="F31" i="108"/>
  <c r="F36" i="108"/>
  <c r="F37" i="108"/>
  <c r="G28" i="108"/>
  <c r="D31" i="108"/>
  <c r="D36" i="108"/>
  <c r="D37" i="108"/>
  <c r="E31" i="108"/>
  <c r="G31" i="108"/>
  <c r="E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33" i="118"/>
  <c r="J22" i="37"/>
  <c r="D24" i="37"/>
  <c r="B4270" i="106" s="1"/>
  <c r="D4270" i="106" s="1"/>
  <c r="L5" i="11"/>
  <c r="B2056" i="106" s="1"/>
  <c r="D2056" i="106" s="1"/>
  <c r="F52" i="34" l="1"/>
  <c r="D69" i="36"/>
  <c r="B6289" i="106"/>
  <c r="D6289" i="106" s="1"/>
  <c r="K76" i="4"/>
  <c r="B3586" i="106" s="1"/>
  <c r="D3586" i="106" s="1"/>
  <c r="H76" i="4"/>
  <c r="B3298" i="106" s="1"/>
  <c r="D3298" i="106" s="1"/>
  <c r="D22" i="37"/>
  <c r="C14" i="4"/>
  <c r="B2558" i="106" s="1"/>
  <c r="D2558" i="106" s="1"/>
  <c r="F36" i="34"/>
  <c r="D54" i="36"/>
  <c r="F42" i="34"/>
  <c r="C342" i="29"/>
  <c r="B7216" i="106" s="1"/>
  <c r="D7216" i="106" s="1"/>
  <c r="D6103" i="106"/>
  <c r="G15" i="145"/>
  <c r="F46" i="34"/>
  <c r="H365" i="29"/>
  <c r="B7242" i="106" s="1"/>
  <c r="D7242" i="106" s="1"/>
  <c r="B1124" i="106"/>
  <c r="D1124" i="106" s="1"/>
  <c r="F50" i="34"/>
  <c r="J77" i="4"/>
  <c r="B6262" i="106" s="1"/>
  <c r="D6262" i="106" s="1"/>
  <c r="C129" i="29"/>
  <c r="C151" i="29" s="1"/>
  <c r="B1226" i="106" s="1"/>
  <c r="D1226" i="106" s="1"/>
  <c r="G210" i="29"/>
  <c r="J41" i="3"/>
  <c r="B2724" i="106"/>
  <c r="D2724" i="106" s="1"/>
  <c r="L13" i="11"/>
  <c r="B2060" i="106" s="1"/>
  <c r="D2060" i="106" s="1"/>
  <c r="G38" i="108"/>
  <c r="E38" i="108"/>
  <c r="G30" i="108"/>
  <c r="E30" i="108"/>
  <c r="F28" i="108"/>
  <c r="F41" i="108" s="1"/>
  <c r="G43" i="108" s="1"/>
  <c r="E28" i="108"/>
  <c r="G29" i="108"/>
  <c r="K184" i="29"/>
  <c r="F13" i="4" s="1"/>
  <c r="B2596" i="106" s="1"/>
  <c r="D2596" i="106" s="1"/>
  <c r="E29" i="108"/>
  <c r="B3647" i="106"/>
  <c r="D3647"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B3621" i="106" s="1"/>
  <c r="D3621" i="106" s="1"/>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1" i="106"/>
  <c r="B1328" i="106"/>
  <c r="D1328" i="106" s="1"/>
  <c r="D7256" i="106"/>
  <c r="B5770" i="106"/>
  <c r="D5770" i="106" s="1"/>
  <c r="C367" i="29"/>
  <c r="B3622" i="106" s="1"/>
  <c r="D3622" i="106" s="1"/>
  <c r="K77" i="4"/>
  <c r="B3587" i="106" s="1"/>
  <c r="D3587" i="106" s="1"/>
  <c r="D7253" i="106"/>
  <c r="B1317" i="106"/>
  <c r="D1317" i="106" s="1"/>
  <c r="B1225" i="106"/>
  <c r="D1225" i="106" s="1"/>
  <c r="B1381" i="106"/>
  <c r="D1381" i="106" s="1"/>
  <c r="B1365" i="106"/>
  <c r="D1365" i="106" s="1"/>
  <c r="F65" i="34"/>
  <c r="L16" i="11"/>
  <c r="B2061" i="106" s="1"/>
  <c r="D2061" i="106" s="1"/>
  <c r="B2031" i="106"/>
  <c r="D2031" i="106" s="1"/>
  <c r="N23" i="3"/>
  <c r="B284" i="106" s="1"/>
  <c r="D284" i="106" s="1"/>
  <c r="L114" i="29"/>
  <c r="C114" i="29"/>
  <c r="B757" i="106" s="1"/>
  <c r="D757" i="106" s="1"/>
  <c r="D44" i="36"/>
  <c r="B5527" i="106"/>
  <c r="D5527" i="106" s="1"/>
  <c r="F174" i="34"/>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F8" i="4"/>
  <c r="F10" i="4" s="1"/>
  <c r="B4125" i="106" s="1"/>
  <c r="D4125" i="106"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<sst xmlns="http://schemas.openxmlformats.org/spreadsheetml/2006/main" count="5090" uniqueCount="2115">
  <si>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</si>
  <si>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</si>
  <si>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</si>
  <si>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</si>
  <si>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</si>
  <si>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</si>
  <si>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</si>
  <si>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</si>
  <si>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</si>
  <si>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</si>
  <si>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</si>
  <si>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</si>
  <si>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</si>
  <si>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</si>
  <si>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</si>
  <si>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</si>
  <si>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</si>
  <si>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</si>
  <si>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</si>
  <si>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</si>
  <si>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</si>
  <si>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</si>
  <si>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</si>
  <si>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</si>
  <si>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</si>
  <si>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</si>
  <si>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</si>
  <si>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</si>
  <si>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</si>
  <si>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</si>
  <si>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</si>
  <si>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</si>
  <si>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</si>
  <si>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</si>
  <si>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</si>
  <si>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</si>
  <si>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</si>
  <si>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</si>
  <si>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</si>
  <si>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</si>
  <si>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</si>
  <si>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</si>
  <si>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</si>
  <si>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</si>
  <si>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</si>
  <si>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</si>
  <si>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</si>
  <si>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</si>
  <si>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</si>
  <si>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</si>
  <si>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</si>
  <si>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</si>
  <si>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</si>
  <si>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</si>
  <si>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</si>
  <si>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</si>
  <si>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</si>
  <si>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</si>
  <si>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</si>
  <si>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</si>
  <si>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</si>
  <si>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</si>
  <si>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</si>
  <si>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</si>
  <si>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</si>
  <si>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</si>
  <si>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</si>
  <si>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</si>
  <si>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</si>
  <si>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</si>
  <si>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</si>
  <si>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</si>
  <si>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</si>
  <si>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</si>
  <si>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</si>
  <si>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</si>
  <si>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</si>
  <si>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</si>
  <si>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</si>
  <si>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</si>
  <si>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</si>
  <si>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</si>
  <si>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</si>
  <si>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</si>
  <si>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</si>
  <si>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</si>
  <si>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</si>
  <si>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</si>
  <si>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</si>
  <si>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</si>
  <si>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</si>
  <si>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</si>
  <si>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</si>
  <si>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</si>
  <si>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</si>
  <si>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</si>
  <si>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</si>
  <si>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</si>
  <si>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</si>
  <si>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</si>
  <si>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</si>
  <si>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</si>
  <si>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</si>
  <si>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</si>
  <si>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</si>
  <si>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</si>
  <si>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</si>
  <si>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</si>
  <si>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</si>
  <si>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</si>
  <si>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</si>
  <si>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</si>
  <si>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</si>
  <si>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</si>
  <si>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</si>
  <si>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</si>
  <si>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</si>
  <si>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</si>
  <si>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</si>
  <si>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</si>
  <si>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</si>
  <si>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</si>
  <si>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</si>
  <si>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</si>
  <si>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</si>
  <si>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</si>
  <si>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</si>
  <si>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</si>
  <si>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</si>
  <si>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</si>
  <si>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</si>
  <si>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</si>
  <si>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</si>
  <si>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</si>
  <si>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</si>
  <si>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</si>
  <si>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</si>
  <si>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</si>
  <si>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</si>
  <si>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</si>
  <si>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</si>
  <si>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</si>
  <si>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</si>
  <si>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</si>
  <si>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</si>
  <si>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</si>
  <si>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</si>
  <si>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</si>
  <si>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</si>
  <si>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</si>
  <si>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</si>
  <si>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</si>
  <si>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</si>
  <si>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</si>
  <si>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</si>
  <si>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</si>
  <si>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</si>
  <si>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</si>
  <si>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</si>
  <si>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</si>
  <si>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</si>
  <si>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</si>
  <si>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</si>
  <si>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</si>
  <si>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</si>
  <si>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</si>
  <si>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</si>
  <si>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</si>
  <si>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</si>
  <si>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</si>
  <si>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</si>
  <si>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</si>
  <si>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</si>
  <si>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</si>
  <si>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</si>
  <si>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</si>
  <si>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</si>
  <si>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</si>
  <si>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</si>
  <si>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</si>
  <si>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</si>
  <si>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</si>
  <si>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</si>
  <si>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</si>
  <si>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</si>
  <si>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</si>
  <si>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</si>
  <si>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</si>
  <si>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</si>
  <si>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</si>
  <si>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</si>
  <si>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</si>
  <si>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</si>
  <si>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</si>
  <si>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</si>
  <si>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</si>
  <si>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</si>
  <si>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</si>
  <si>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</si>
  <si>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</si>
  <si>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</si>
  <si>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</si>
  <si>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</si>
  <si>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</si>
  <si>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</si>
  <si>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</si>
  <si>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</si>
  <si>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</si>
  <si>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</si>
  <si>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</si>
  <si>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</si>
  <si>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</si>
  <si>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</si>
  <si>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</si>
  <si>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</si>
  <si>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</si>
  <si>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</si>
  <si>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</si>
  <si>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</si>
  <si>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</si>
  <si>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</si>
  <si>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</si>
  <si>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</si>
  <si>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</si>
  <si>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</si>
  <si>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</si>
  <si>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</si>
  <si>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</si>
  <si>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</si>
  <si>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</si>
  <si>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</si>
  <si>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</si>
  <si>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</si>
  <si>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</si>
  <si>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</si>
  <si>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</si>
  <si>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</si>
  <si>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</si>
  <si>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</si>
  <si>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</si>
  <si>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</si>
  <si>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</si>
  <si>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</si>
  <si>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</si>
  <si>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</si>
  <si>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</si>
  <si>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</si>
  <si>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</si>
  <si>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</si>
  <si>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</si>
  <si>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</si>
  <si>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</si>
  <si>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</si>
  <si>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</si>
  <si>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</si>
  <si>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</si>
  <si>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</si>
  <si>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</si>
  <si>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</si>
  <si>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</si>
  <si>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</si>
  <si>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</si>
  <si>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</si>
  <si>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</si>
  <si>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</si>
  <si>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</si>
  <si>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</si>
  <si>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</si>
  <si>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</si>
  <si>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</si>
  <si>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</si>
  <si>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</si>
  <si>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</si>
  <si>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</si>
  <si>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</si>
  <si>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</si>
  <si>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</si>
  <si>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</si>
  <si>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</si>
  <si>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</si>
  <si>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</si>
  <si>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</si>
  <si>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</si>
  <si>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</si>
  <si>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</si>
  <si>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</si>
  <si>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</si>
  <si>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</si>
  <si>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</si>
  <si>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</si>
  <si>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</si>
  <si>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</si>
  <si>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</si>
  <si>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</si>
  <si>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</si>
  <si>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</si>
  <si>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</si>
  <si>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</si>
  <si>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</si>
  <si>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</si>
  <si>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</si>
  <si>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</si>
  <si>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</si>
  <si>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</si>
  <si>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</si>
  <si>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</si>
  <si>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</si>
  <si>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</si>
  <si>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</si>
  <si>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</si>
  <si>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</si>
  <si>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</si>
  <si>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</si>
  <si>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</si>
  <si>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</si>
  <si>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</si>
  <si>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</si>
  <si>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</si>
  <si>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</si>
  <si>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</si>
  <si>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</si>
  <si>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</si>
  <si>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</si>
  <si>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</si>
  <si>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</si>
  <si>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</si>
  <si>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</si>
  <si>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</si>
  <si>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</si>
  <si>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</si>
  <si>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</si>
  <si>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</si>
  <si>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</si>
  <si>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</si>
  <si>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</si>
  <si>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</si>
  <si>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</si>
  <si>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</si>
  <si>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</si>
  <si>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</si>
  <si>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</si>
  <si>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</si>
  <si>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</si>
  <si>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</si>
  <si>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</si>
  <si>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</si>
  <si>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</si>
  <si>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</si>
  <si>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</si>
  <si>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</si>
  <si>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</si>
  <si>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</si>
  <si>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</si>
  <si>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</si>
  <si>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</si>
  <si>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</si>
  <si>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</si>
  <si>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</si>
  <si>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</si>
  <si>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</si>
  <si>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</si>
  <si>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</si>
  <si>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</si>
  <si>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</si>
  <si>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</si>
  <si>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</si>
  <si>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</si>
  <si>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</si>
  <si>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</si>
  <si>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</si>
  <si>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</si>
  <si>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</si>
  <si>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</si>
  <si>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</si>
  <si>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</si>
  <si>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</si>
  <si>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</si>
  <si>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</si>
  <si>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</si>
  <si>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</si>
  <si>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</si>
  <si>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</si>
  <si>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</si>
  <si>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</si>
  <si>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</si>
  <si>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</si>
  <si>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</si>
  <si>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</si>
  <si>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</si>
  <si>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</si>
  <si>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</si>
  <si>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</si>
  <si>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</si>
  <si>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</si>
  <si>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</si>
  <si>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</si>
  <si>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</si>
  <si>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</si>
  <si>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</si>
  <si>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</si>
  <si>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</si>
  <si>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</si>
  <si>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</si>
  <si>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</si>
  <si>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</si>
  <si>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</si>
  <si>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</si>
  <si>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</si>
  <si>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</si>
  <si>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</si>
  <si>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</si>
  <si>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</si>
  <si>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</si>
  <si>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</si>
  <si>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</si>
  <si>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</si>
  <si>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</si>
  <si>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</si>
  <si>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</si>
  <si>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</si>
  <si>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</si>
  <si>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</si>
  <si>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</si>
  <si>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</si>
  <si>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</si>
  <si>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</si>
  <si>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</si>
  <si>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</si>
  <si>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</si>
  <si>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</si>
  <si>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</si>
  <si>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</si>
  <si>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</si>
  <si>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</si>
  <si>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</si>
  <si>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</si>
  <si>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</si>
  <si>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</si>
  <si>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</si>
  <si>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</si>
  <si>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</si>
  <si>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</si>
  <si>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</si>
  <si>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</si>
  <si>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</si>
  <si>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</si>
  <si>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</si>
  <si>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</si>
  <si>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</si>
  <si>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</si>
  <si>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</si>
  <si>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</si>
  <si>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</si>
  <si>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</si>
  <si>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</si>
  <si>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</si>
  <si>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</si>
  <si>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</si>
  <si>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</si>
  <si>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</si>
  <si>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</si>
  <si>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</si>
  <si>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</si>
  <si>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</si>
  <si>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</si>
  <si>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</si>
  <si>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</si>
  <si>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</si>
  <si>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</si>
  <si>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</si>
  <si>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</si>
  <si>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</si>
  <si>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</si>
  <si>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</si>
  <si>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</si>
  <si>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</si>
  <si>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</si>
  <si>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</si>
  <si>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</si>
  <si>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</si>
  <si>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</si>
  <si>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</si>
  <si>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</si>
  <si>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</si>
  <si>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</si>
  <si>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</si>
  <si>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</si>
  <si>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</si>
  <si>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</si>
  <si>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</si>
  <si>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</si>
  <si>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</si>
  <si>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</si>
  <si>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</si>
  <si>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</si>
  <si>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</si>
  <si>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</si>
  <si>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</si>
  <si>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</si>
  <si>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</si>
  <si>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</si>
  <si>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</si>
  <si>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</si>
  <si>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</si>
  <si>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</si>
  <si>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</si>
  <si>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</si>
  <si>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</si>
  <si>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</si>
  <si>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</si>
  <si>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</si>
  <si>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</si>
  <si>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</si>
  <si>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</si>
  <si>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</si>
  <si>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</si>
  <si>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</si>
  <si>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</si>
  <si>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</si>
  <si>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</si>
  <si>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</si>
  <si>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</si>
  <si>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</si>
  <si>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</si>
  <si>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</si>
  <si>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</si>
  <si>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</si>
  <si>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</si>
  <si>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</si>
  <si>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</si>
  <si>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</si>
  <si>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</si>
  <si>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</si>
  <si>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</si>
  <si>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</si>
  <si>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</si>
  <si>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</si>
  <si>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</si>
  <si>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</si>
  <si>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</si>
  <si>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</si>
  <si>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</si>
  <si>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</si>
  <si>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</si>
  <si>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</si>
  <si>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</si>
  <si>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</si>
  <si>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</si>
  <si>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</si>
  <si>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</si>
  <si>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</si>
  <si>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</si>
  <si>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</si>
  <si>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</si>
  <si>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</si>
  <si>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</si>
  <si>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</si>
  <si>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</si>
  <si>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</si>
  <si>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</si>
  <si>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</si>
  <si>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</si>
  <si>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</si>
  <si>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</si>
  <si>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</si>
  <si>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</si>
  <si>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</si>
  <si>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</si>
  <si>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</si>
  <si>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</si>
  <si>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</si>
  <si>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</si>
  <si>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</si>
  <si>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</si>
  <si>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</si>
  <si>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</si>
  <si>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</si>
  <si>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</si>
  <si>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</si>
  <si>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</si>
  <si>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</si>
  <si>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</si>
  <si>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</si>
  <si>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</si>
  <si>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</si>
  <si>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</si>
  <si>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</si>
  <si>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</si>
  <si>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</si>
  <si>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</si>
  <si>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</si>
  <si>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</si>
  <si>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</si>
  <si>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</si>
  <si>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</si>
  <si>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</si>
  <si>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</si>
  <si>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</si>
  <si>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</si>
  <si>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</si>
  <si>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</si>
  <si>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</si>
  <si>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</si>
  <si>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</si>
  <si>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</si>
  <si>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</si>
  <si>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</si>
  <si>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</si>
  <si>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</si>
  <si>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</si>
  <si>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</si>
  <si>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</si>
  <si>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</si>
  <si>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</si>
  <si>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</si>
  <si>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</si>
  <si>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</si>
  <si>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</si>
  <si>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</si>
  <si>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</si>
  <si>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</si>
  <si>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</si>
  <si>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</si>
  <si>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</si>
  <si>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</si>
  <si>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</si>
  <si>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</si>
  <si>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</si>
  <si>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</si>
  <si>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</si>
  <si>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</si>
  <si>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</si>
  <si>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</si>
  <si>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</si>
  <si>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</si>
  <si>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</si>
  <si>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</si>
  <si>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</si>
  <si>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</si>
  <si>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</si>
  <si>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</si>
  <si>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</si>
  <si>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</si>
  <si>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</si>
  <si>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</si>
  <si>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</si>
  <si>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</si>
  <si>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</si>
  <si>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</si>
  <si>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</si>
  <si>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</si>
  <si>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</si>
  <si>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</si>
  <si>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</si>
  <si>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</si>
  <si>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</si>
  <si>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</si>
  <si>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</si>
  <si>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</si>
  <si>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</si>
  <si>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</si>
  <si>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</si>
  <si>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</si>
  <si>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</si>
  <si>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</si>
  <si>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</si>
  <si>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</si>
  <si>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</si>
  <si>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</si>
  <si>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</si>
  <si>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</si>
  <si>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</si>
  <si>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</si>
  <si>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</si>
  <si>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</si>
  <si>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</si>
  <si>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</si>
  <si>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</si>
  <si>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</si>
  <si>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</si>
  <si>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</si>
  <si>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</si>
  <si>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</si>
  <si>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</si>
  <si>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</si>
  <si>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</si>
  <si>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</si>
  <si>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</si>
  <si>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</si>
  <si>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</si>
  <si>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</si>
  <si>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</si>
  <si>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</si>
  <si>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</si>
  <si>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</si>
  <si>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</si>
  <si>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</si>
  <si>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</si>
  <si>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</si>
  <si>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</si>
  <si>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</si>
  <si>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</si>
  <si>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</si>
  <si>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</si>
  <si>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</si>
  <si>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</si>
  <si>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</si>
  <si>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</si>
  <si>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</si>
  <si>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</si>
  <si>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</si>
  <si>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</si>
  <si>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</si>
  <si>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</si>
  <si>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</si>
  <si>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</si>
  <si>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</si>
  <si>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</si>
  <si>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</si>
  <si>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</si>
  <si>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</si>
  <si>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</si>
  <si>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</si>
  <si>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</si>
  <si>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</si>
  <si>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</si>
  <si>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</si>
  <si>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</si>
  <si>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</si>
  <si>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</si>
  <si>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</si>
  <si>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</si>
  <si>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</si>
  <si>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</si>
  <si>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</si>
  <si>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</si>
  <si>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</si>
  <si>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</si>
  <si>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</si>
  <si>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</si>
  <si>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</si>
  <si>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</si>
  <si>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</si>
  <si>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</si>
  <si>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</si>
  <si>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</si>
  <si>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</si>
  <si>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</si>
  <si>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</si>
  <si>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</si>
  <si>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</si>
  <si>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</si>
  <si>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</si>
  <si>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</si>
  <si>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</si>
  <si>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</si>
  <si>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</si>
  <si>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</si>
  <si>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</si>
  <si>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</si>
  <si>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</si>
  <si>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</si>
  <si>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</si>
  <si>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</si>
  <si>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</si>
  <si>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</si>
  <si>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</si>
  <si>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</si>
  <si>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</si>
  <si>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</si>
  <si>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</si>
  <si>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</si>
  <si>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</si>
  <si>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</si>
  <si>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</si>
  <si>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</si>
  <si>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</si>
  <si>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</si>
  <si>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</si>
  <si>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</si>
  <si>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</si>
  <si>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</si>
  <si>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</si>
  <si>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</si>
  <si>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</si>
  <si>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</si>
  <si>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</si>
  <si>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</si>
  <si>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</si>
  <si>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</si>
  <si>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</si>
  <si>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</si>
  <si>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</si>
  <si>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</si>
  <si>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</si>
  <si>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</si>
  <si>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</si>
  <si>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</si>
  <si>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</si>
  <si>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</si>
  <si>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</si>
  <si>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</si>
  <si>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</si>
  <si>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</si>
  <si>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</si>
  <si>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</si>
  <si>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</si>
  <si>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</si>
  <si>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</si>
  <si>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</si>
  <si>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</si>
  <si>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</si>
  <si>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</si>
  <si>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</si>
  <si>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</si>
  <si>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</si>
  <si>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</si>
  <si>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</si>
  <si>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</si>
  <si>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</si>
  <si>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</si>
  <si>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</si>
  <si>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</si>
  <si>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</si>
  <si>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</si>
  <si>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</si>
  <si>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</si>
  <si>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</si>
  <si>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</si>
  <si>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</si>
  <si>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</si>
  <si>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</si>
  <si>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</si>
  <si>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</si>
  <si>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</si>
  <si>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</si>
  <si>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</si>
  <si>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</si>
  <si>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</si>
  <si>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</si>
  <si>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</si>
  <si>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</si>
  <si>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</si>
  <si>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</si>
  <si>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</si>
  <si>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</si>
  <si>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</si>
  <si>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</si>
  <si>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</si>
  <si>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</si>
  <si>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</si>
  <si>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</si>
  <si>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</si>
  <si>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</si>
  <si>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</si>
  <si>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</si>
  <si>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</si>
  <si>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</si>
  <si>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</si>
  <si>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</si>
  <si>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</si>
  <si>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</si>
  <si>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</si>
  <si>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</si>
  <si>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</si>
  <si>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</si>
  <si>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</si>
  <si>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</si>
  <si>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</si>
  <si>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</si>
  <si>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</si>
  <si>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</si>
  <si>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</si>
  <si>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</si>
  <si>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</si>
  <si>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</si>
  <si>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</si>
  <si>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</si>
  <si>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</si>
  <si>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</si>
  <si>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</si>
  <si>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</si>
  <si>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</si>
  <si>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</si>
  <si>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</si>
  <si>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</si>
  <si>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</si>
  <si>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</si>
  <si>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</si>
  <si>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</si>
  <si>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</si>
  <si>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</si>
  <si>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</si>
  <si>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</si>
  <si>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</si>
  <si>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</si>
  <si>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</si>
  <si>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</si>
  <si>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</si>
  <si>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</si>
  <si>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</si>
  <si>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</si>
  <si>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</si>
  <si>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</si>
  <si>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</si>
  <si>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</si>
  <si>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</si>
  <si>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</si>
  <si>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</si>
  <si>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</si>
  <si>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</si>
  <si>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</si>
  <si>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</si>
  <si>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</si>
  <si>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</si>
  <si>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</si>
  <si>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</si>
  <si>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</si>
  <si>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</si>
  <si>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</si>
  <si>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</si>
  <si>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</si>
  <si>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</si>
  <si>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</si>
  <si>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</si>
  <si>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</si>
  <si>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</si>
  <si>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</si>
  <si>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</si>
  <si>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</si>
  <si>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</si>
  <si>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</si>
  <si>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</si>
  <si>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</si>
  <si>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</si>
  <si>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</si>
  <si>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</si>
  <si>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</si>
  <si>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</si>
  <si>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</si>
  <si>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</si>
  <si>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</si>
  <si>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</si>
  <si>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</si>
  <si>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</si>
  <si>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</si>
  <si>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</si>
  <si>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</si>
  <si>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</si>
  <si>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</si>
  <si>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</si>
  <si>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</si>
  <si>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</si>
  <si>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</si>
  <si>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</si>
  <si>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</si>
  <si>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</si>
  <si>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</si>
  <si>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</si>
  <si>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</si>
  <si>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</si>
  <si>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</si>
  <si>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</si>
  <si>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</si>
  <si>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</si>
  <si>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</si>
  <si>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</si>
  <si>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</si>
  <si>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</si>
  <si>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</si>
  <si>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</si>
  <si>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</si>
  <si>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</si>
  <si>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</si>
  <si>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</si>
  <si>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</si>
  <si>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</si>
  <si>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</si>
  <si>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</si>
  <si>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</si>
  <si>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</si>
  <si>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</si>
  <si>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</si>
  <si>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</si>
  <si>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</si>
  <si>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</si>
  <si>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</si>
  <si>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</si>
  <si>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</si>
  <si>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</si>
  <si>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</si>
  <si>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</si>
  <si>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</si>
  <si>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</si>
  <si>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</si>
  <si>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</si>
  <si>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</si>
  <si>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</si>
  <si>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</si>
  <si>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</si>
  <si>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</si>
  <si>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</si>
  <si>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</si>
  <si>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</si>
  <si>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</si>
  <si>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</si>
  <si>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</si>
  <si>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</si>
  <si>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</si>
  <si>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</si>
  <si>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</si>
  <si>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</si>
  <si>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</si>
  <si>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</si>
  <si>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</si>
  <si>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</si>
  <si>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</si>
  <si>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</si>
  <si>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</si>
  <si>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</si>
  <si>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</si>
  <si>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</si>
  <si>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</si>
  <si>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</si>
  <si>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</si>
  <si>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</si>
  <si>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</si>
  <si>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</si>
  <si>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</si>
  <si>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</si>
  <si>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</si>
  <si>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</si>
  <si>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</si>
  <si>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</si>
  <si>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</si>
  <si>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</si>
  <si>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</si>
  <si>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</si>
  <si>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</si>
  <si>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</si>
  <si>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</si>
  <si>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</si>
  <si>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</si>
  <si>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</si>
  <si>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</si>
  <si>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</si>
  <si>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</si>
  <si>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</si>
  <si>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</si>
  <si>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</si>
  <si>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</si>
  <si>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</si>
  <si>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</si>
  <si>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</si>
  <si>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</si>
  <si>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</si>
  <si>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</si>
  <si>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</si>
  <si>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</si>
  <si>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</si>
  <si>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</si>
  <si>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</si>
  <si>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</si>
  <si>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</si>
  <si>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</si>
  <si>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</si>
  <si>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</si>
  <si>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</si>
  <si>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</si>
  <si>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</si>
  <si>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</si>
  <si>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</si>
  <si>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</si>
  <si>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</si>
  <si>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</si>
  <si>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</si>
  <si>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</si>
  <si>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</si>
  <si>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</si>
  <si>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</si>
  <si>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</si>
  <si>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</si>
  <si>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</si>
  <si>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</si>
  <si>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</si>
  <si>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</si>
  <si>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</si>
  <si>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</si>
  <si>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</si>
  <si>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</si>
  <si>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</si>
  <si>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</si>
  <si>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</si>
  <si>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</si>
  <si>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</si>
  <si>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</si>
  <si>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</si>
  <si>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</si>
  <si>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</si>
  <si>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</si>
  <si>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</si>
  <si>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</si>
  <si>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</si>
  <si>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</si>
  <si>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</si>
  <si>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</si>
  <si>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</si>
  <si>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</si>
  <si>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</si>
  <si>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</si>
  <si>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</si>
  <si>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</si>
  <si>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</si>
  <si>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</si>
  <si>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</si>
  <si>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</si>
  <si>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</si>
  <si>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</si>
  <si>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</si>
  <si>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</si>
  <si>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</si>
  <si>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</si>
  <si>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</si>
  <si>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</si>
  <si>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</si>
  <si>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</si>
  <si>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</si>
  <si>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</si>
  <si>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</si>
  <si>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</si>
  <si>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</si>
  <si>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</si>
  <si>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</si>
  <si>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</si>
  <si>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</si>
  <si>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</si>
  <si>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</si>
  <si>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</si>
  <si>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</si>
  <si>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</si>
  <si>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</si>
  <si>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</si>
  <si>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</si>
  <si>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</si>
  <si>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</si>
  <si>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</si>
  <si>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</si>
  <si>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</si>
  <si>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</si>
  <si>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</si>
  <si>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</si>
  <si>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</si>
  <si>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</si>
  <si>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</si>
  <si>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</si>
  <si>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</si>
  <si>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</si>
  <si>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</si>
  <si>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</si>
  <si>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</si>
  <si>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</si>
  <si>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</si>
  <si>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</si>
  <si>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</si>
  <si>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</si>
  <si>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</si>
  <si>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</si>
  <si>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</si>
  <si>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</si>
  <si>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</si>
  <si>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</si>
  <si>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</si>
  <si>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</si>
  <si>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</si>
  <si>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</si>
  <si>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</si>
  <si>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</si>
  <si>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</si>
  <si>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</si>
  <si>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</si>
  <si>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</si>
  <si>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</si>
  <si>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</si>
  <si>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</si>
  <si>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</si>
  <si>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</si>
  <si>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</si>
  <si>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</si>
  <si>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</si>
  <si>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</si>
  <si>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</si>
  <si>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</si>
  <si>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</si>
  <si>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</si>
  <si>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</si>
  <si>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</si>
  <si>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</si>
  <si>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</si>
  <si>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</si>
  <si>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</si>
  <si>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</si>
  <si>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</si>
  <si>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</si>
  <si>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</si>
  <si>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</si>
  <si>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</si>
  <si>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</si>
  <si>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</si>
  <si>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</si>
  <si>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</si>
  <si>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</si>
  <si>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</si>
  <si>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</si>
  <si>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</si>
  <si>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</si>
  <si>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</si>
  <si>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</si>
  <si>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</si>
  <si>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</si>
  <si>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</si>
  <si>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</si>
  <si>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</si>
  <si>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</si>
  <si>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</si>
  <si>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</si>
  <si>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</si>
  <si>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</si>
  <si>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</si>
  <si>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</si>
  <si>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</si>
  <si>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</si>
  <si>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</si>
  <si>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</si>
  <si>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</si>
  <si>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</si>
  <si>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</si>
  <si>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</si>
  <si>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</si>
  <si>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</si>
  <si>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</si>
  <si>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</si>
  <si>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</si>
  <si>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</si>
  <si>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</si>
  <si>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</si>
  <si>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</si>
  <si>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</si>
  <si>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</si>
  <si>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</si>
  <si>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</si>
  <si>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</si>
  <si>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</si>
  <si>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</si>
  <si>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</si>
  <si>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</si>
  <si>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</si>
  <si>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</si>
  <si>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</si>
  <si>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</si>
  <si>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</si>
  <si>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</si>
  <si>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</si>
  <si>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</si>
  <si>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</si>
  <si>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</si>
  <si>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</si>
  <si>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</si>
  <si>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</si>
  <si>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</si>
  <si>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</si>
  <si>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</si>
  <si>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</si>
  <si>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</si>
  <si>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</si>
  <si>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</si>
  <si>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</si>
  <si>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</si>
  <si>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</si>
  <si>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</si>
  <si>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</si>
  <si>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</si>
  <si>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</si>
  <si>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</si>
  <si>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</si>
  <si>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</si>
  <si>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</si>
  <si>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</si>
  <si>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</si>
  <si>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</si>
  <si>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</si>
  <si>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</si>
  <si>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</si>
  <si>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</si>
  <si>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</si>
  <si>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</si>
  <si>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</si>
  <si>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</si>
  <si>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</si>
  <si>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</si>
  <si>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</si>
  <si>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</si>
  <si>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</si>
  <si>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</si>
  <si>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</si>
  <si>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</si>
  <si>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</si>
  <si>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</si>
  <si>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</si>
  <si>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</si>
  <si>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</si>
  <si>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</si>
  <si>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</si>
  <si>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</si>
  <si>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</si>
  <si>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</si>
  <si>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</si>
  <si>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</si>
  <si>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</si>
  <si>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</si>
  <si>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</si>
  <si>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</si>
  <si>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</si>
  <si>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</si>
  <si>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</si>
  <si>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</si>
  <si>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</si>
  <si>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</si>
  <si>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</si>
  <si>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</si>
  <si>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</si>
  <si>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</si>
  <si>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</si>
  <si>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</si>
  <si>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</si>
  <si>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</si>
  <si>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</si>
  <si>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</si>
  <si>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</si>
  <si>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</si>
  <si>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</si>
  <si>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</si>
  <si>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</si>
  <si>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</si>
  <si>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</si>
  <si>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</si>
  <si>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</si>
  <si>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</si>
  <si>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</si>
  <si>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</si>
  <si>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</si>
  <si>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</si>
  <si>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</si>
  <si>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</si>
  <si>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</si>
  <si>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</si>
  <si>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</si>
  <si>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</si>
  <si>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</si>
  <si>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</si>
  <si>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</si>
  <si>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</si>
  <si>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</si>
  <si>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</si>
  <si>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</si>
  <si>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</si>
  <si>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</si>
  <si>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</si>
  <si>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</si>
  <si>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</si>
  <si>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</si>
  <si>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</si>
  <si>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</si>
  <si>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</si>
  <si>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</si>
  <si>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</si>
  <si>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</si>
  <si>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</si>
  <si>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</si>
  <si>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</si>
  <si>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</si>
  <si>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</si>
  <si>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</si>
  <si>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</si>
  <si>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</si>
  <si>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</si>
  <si>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</si>
  <si>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</si>
  <si>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</si>
  <si>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</si>
  <si>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</si>
  <si>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</si>
  <si>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</si>
  <si>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</si>
  <si>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</si>
  <si>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</si>
  <si>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</si>
  <si>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</si>
  <si>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</si>
  <si>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</si>
  <si>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</si>
  <si>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</si>
  <si>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</si>
  <si>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</si>
  <si>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</si>
  <si>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</si>
  <si>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</si>
  <si>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</si>
  <si>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</si>
  <si>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</si>
  <si>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</si>
  <si>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</si>
  <si>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</si>
  <si>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</si>
  <si>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</si>
  <si>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</si>
  <si>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</si>
  <si>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</si>
  <si>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</si>
  <si>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</si>
  <si>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</si>
  <si>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</si>
  <si>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</si>
  <si>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</si>
  <si>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</si>
  <si>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</si>
  <si>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</si>
  <si>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</si>
  <si>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</si>
  <si>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</si>
  <si>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</si>
  <si>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</si>
  <si>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</si>
  <si>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</si>
  <si>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</si>
  <si>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</si>
  <si>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</si>
  <si>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</si>
  <si>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</si>
  <si>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</si>
  <si>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</si>
  <si>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</si>
  <si>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</si>
  <si>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</si>
  <si>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</si>
  <si>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</si>
  <si>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</si>
  <si>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</si>
  <si>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</si>
  <si>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</si>
  <si>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</si>
  <si>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</si>
  <si>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</si>
  <si>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</si>
  <si>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</si>
  <si>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</si>
  <si>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</si>
  <si>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</si>
  <si>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</si>
  <si>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</si>
  <si>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</si>
  <si>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</si>
  <si>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</si>
  <si>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</si>
  <si>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</si>
  <si>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</si>
  <si>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</si>
  <si>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</si>
  <si>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</si>
  <si>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</si>
  <si>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</si>
  <si>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</si>
  <si>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</si>
  <si>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</si>
  <si>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</si>
  <si>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</si>
  <si>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</si>
  <si>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</si>
  <si>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</si>
  <si>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</si>
  <si>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</si>
  <si>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</si>
  <si>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</si>
  <si>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</si>
  <si>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</si>
  <si>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</si>
  <si>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</si>
  <si>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</si>
  <si>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</si>
  <si>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</si>
  <si>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</si>
  <si>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</si>
  <si>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</si>
  <si>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</si>
  <si>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</si>
  <si>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</si>
  <si>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</si>
  <si>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</si>
  <si>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</si>
  <si>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</si>
  <si>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</si>
  <si>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</si>
  <si>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</si>
  <si>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</si>
  <si>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</si>
  <si>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</si>
  <si>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</si>
  <si>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</si>
  <si>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</si>
  <si>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</si>
  <si>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</si>
  <si>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</si>
  <si>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</si>
  <si>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</si>
  <si>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</si>
  <si>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</si>
  <si>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</si>
  <si>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</si>
  <si>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</si>
  <si>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</si>
  <si>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</si>
  <si>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</si>
  <si>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</si>
  <si>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</si>
  <si>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</si>
  <si>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</si>
  <si>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</si>
  <si>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</si>
  <si>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</si>
  <si>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</si>
  <si>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</si>
  <si>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</si>
  <si>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</si>
  <si>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</si>
  <si>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</si>
  <si>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</si>
  <si>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</si>
  <si>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</si>
  <si>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</si>
  <si>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</si>
  <si>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</si>
  <si>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</si>
  <si>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</si>
  <si>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</si>
  <si>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</si>
  <si>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</si>
  <si>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</si>
  <si>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</si>
  <si>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</si>
  <si>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</si>
  <si>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</si>
  <si>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</si>
  <si>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</si>
  <si>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</si>
  <si>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</si>
  <si>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</si>
  <si>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</si>
  <si>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</si>
  <si>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</si>
  <si>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</si>
  <si>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</si>
  <si>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</si>
  <si>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</si>
  <si>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</si>
  <si>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</si>
  <si>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</si>
  <si>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</si>
  <si>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</si>
  <si>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</si>
  <si>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</si>
  <si>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</si>
  <si>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</si>
  <si>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</si>
  <si>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</si>
  <si>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</si>
  <si>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</si>
  <si>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</si>
  <si>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</si>
  <si>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</si>
  <si>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</si>
  <si>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</si>
  <si>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</si>
  <si>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</si>
  <si>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</si>
  <si>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</si>
  <si>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</si>
  <si>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</si>
  <si>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</si>
  <si>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</si>
  <si>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</si>
  <si>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</si>
  <si>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</si>
  <si>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</si>
  <si>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</si>
  <si>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</si>
  <si>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</si>
  <si>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</si>
  <si>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</si>
  <si>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</si>
  <si>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</si>
  <si>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</si>
  <si>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</si>
  <si>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</si>
  <si>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</si>
  <si>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</si>
  <si>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</si>
  <si>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</si>
  <si>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</si>
  <si>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</si>
  <si>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</si>
  <si>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</si>
  <si>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</si>
  <si>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</si>
  <si>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</si>
  <si>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</si>
  <si>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</si>
  <si>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</si>
  <si>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</si>
  <si>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</si>
  <si>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</si>
  <si>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</si>
  <si>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</si>
  <si>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</si>
  <si>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</si>
  <si>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</si>
  <si>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</si>
  <si>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</si>
  <si>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</si>
  <si>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</si>
  <si>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</si>
  <si>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</si>
  <si>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</si>
  <si>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</si>
  <si>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</si>
  <si>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</si>
  <si>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</si>
  <si>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</si>
  <si>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</si>
  <si>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</si>
  <si>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</si>
  <si>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</si>
  <si>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</si>
  <si>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</si>
  <si>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</si>
  <si>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</si>
  <si>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</si>
  <si>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</si>
  <si>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</si>
  <si>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</si>
  <si>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</si>
  <si>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</si>
  <si>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</si>
  <si>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</si>
  <si>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</si>
  <si>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</si>
  <si>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</si>
  <si>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</si>
  <si>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</si>
  <si>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</si>
  <si>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</si>
  <si>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</si>
  <si>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</si>
  <si>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</si>
  <si>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</si>
  <si>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</si>
  <si>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</si>
  <si>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</si>
  <si>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</si>
  <si>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</si>
  <si>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</si>
  <si>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</si>
  <si>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</si>
  <si>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</si>
  <si>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</si>
  <si>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</si>
  <si>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</si>
  <si>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</si>
  <si>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</si>
  <si>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</si>
  <si>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</si>
  <si>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</si>
  <si>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</si>
  <si>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</si>
  <si>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</si>
  <si>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</si>
  <si>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</si>
  <si>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</si>
  <si>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</si>
  <si>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</si>
  <si>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</si>
  <si>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</si>
  <si>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</si>
  <si>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</si>
  <si>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</si>
  <si>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</si>
  <si>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</si>
  <si>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</si>
  <si>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</si>
  <si>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</si>
  <si>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</si>
  <si>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</si>
  <si>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</si>
  <si>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</si>
  <si>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</si>
  <si>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</si>
  <si>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</si>
  <si>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</si>
  <si>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</si>
  <si>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</si>
  <si>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</si>
  <si>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</si>
  <si>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</si>
  <si>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</si>
  <si>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</si>
  <si>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</si>
  <si>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</si>
  <si>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</si>
  <si>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</si>
  <si>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</si>
  <si>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</si>
  <si>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</si>
  <si>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</si>
  <si>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</si>
  <si>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</si>
  <si>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</si>
  <si>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</si>
  <si>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</si>
  <si>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</si>
  <si>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</si>
  <si>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</si>
  <si>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</si>
  <si>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</si>
  <si>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</si>
  <si>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</si>
  <si>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</si>
  <si>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</si>
  <si>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</si>
  <si>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</si>
  <si>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</si>
  <si>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</si>
  <si>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</si>
  <si>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</si>
  <si>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</si>
  <si>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</si>
  <si>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</si>
  <si>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</si>
  <si>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</si>
  <si>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</si>
  <si>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</si>
  <si>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</si>
  <si>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</si>
  <si>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</si>
  <si>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</si>
  <si>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</si>
  <si>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</si>
  <si>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</si>
  <si>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</si>
  <si>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</si>
  <si>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</si>
  <si>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</si>
  <si>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</si>
  <si>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</si>
  <si>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</si>
  <si>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</si>
  <si>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</si>
  <si>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</si>
  <si>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</si>
  <si>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</si>
  <si>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</si>
  <si>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</si>
  <si>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</si>
  <si>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</si>
  <si>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</si>
  <si>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</si>
  <si>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</si>
  <si>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</si>
  <si>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</si>
  <si>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</si>
  <si>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</si>
  <si>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</si>
  <si>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</si>
  <si>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</si>
  <si>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</si>
  <si>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</si>
  <si>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</si>
  <si>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</si>
  <si>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</si>
  <si>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</si>
  <si>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</si>
  <si>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</si>
  <si>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</si>
  <si>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</si>
  <si>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</si>
  <si>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</si>
  <si>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</si>
  <si>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</si>
  <si>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</si>
  <si>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</si>
  <si>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</si>
  <si>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</si>
  <si>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</si>
  <si>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</si>
  <si>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</si>
  <si>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</si>
  <si>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</si>
  <si>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</si>
  <si>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</si>
  <si>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</si>
  <si>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</si>
  <si>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</si>
  <si>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</si>
  <si>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</si>
  <si>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</si>
  <si>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</si>
  <si>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</si>
  <si>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</si>
  <si>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</si>
  <si>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</si>
  <si>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</si>
  <si>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</si>
  <si>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</si>
  <si>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</si>
  <si>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</si>
  <si>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</si>
  <si>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</si>
  <si>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</si>
  <si>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</si>
  <si>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</si>
  <si>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</si>
  <si>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</si>
  <si>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</si>
  <si>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</si>
  <si>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</si>
  <si>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</si>
  <si>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</si>
  <si>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</si>
  <si>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</si>
  <si>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</si>
  <si>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</si>
  <si>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</si>
  <si>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</si>
  <si>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</si>
  <si>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</si>
  <si>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</si>
  <si>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</si>
  <si>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</si>
  <si>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</si>
  <si>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</si>
  <si>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</si>
  <si>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</si>
  <si>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</si>
  <si>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</si>
  <si>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</si>
  <si>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</si>
  <si>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</si>
  <si>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</si>
  <si>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</si>
  <si>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</si>
  <si>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</si>
  <si>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</si>
  <si>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</si>
  <si>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</si>
  <si>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</si>
  <si>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</si>
  <si>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</si>
  <si>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</si>
  <si>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</si>
  <si>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</si>
  <si>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</si>
  <si>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</si>
  <si>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</si>
  <si>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</si>
  <si>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</si>
  <si>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</si>
  <si>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</si>
  <si>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</si>
  <si>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</si>
  <si>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</si>
  <si>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</si>
  <si>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</si>
  <si>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</si>
  <si>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</si>
  <si>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</si>
  <si>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</si>
  <si>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</si>
  <si>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</si>
  <si>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</si>
  <si>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</si>
  <si>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</si>
  <si>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</si>
  <si>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</si>
  <si>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</si>
  <si>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</si>
  <si>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</si>
  <si>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</si>
  <si>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</si>
  <si>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</si>
  <si>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</si>
  <si>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</si>
  <si>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</si>
  <si>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</si>
  <si>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</si>
  <si>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</si>
  <si>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</si>
  <si>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</si>
  <si>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</si>
  <si>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</si>
  <si>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</si>
  <si>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</si>
  <si>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</si>
  <si>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</si>
  <si>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</si>
  <si>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</si>
  <si>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</si>
  <si>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</si>
  <si>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</si>
  <si>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</si>
  <si>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</si>
  <si>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</si>
  <si>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</si>
  <si>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</si>
  <si>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</si>
  <si>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</si>
  <si>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</si>
  <si>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</si>
  <si>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</si>
  <si>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</si>
  <si>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</si>
  <si>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</si>
  <si>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</si>
  <si>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</si>
  <si>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</si>
  <si>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</si>
  <si>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</si>
  <si>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</si>
  <si>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</si>
  <si>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</si>
  <si>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</si>
  <si>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</si>
  <si>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</si>
  <si>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</si>
  <si>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</si>
  <si>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</si>
  <si>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</si>
  <si>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</si>
  <si>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</si>
  <si>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</si>
  <si>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</si>
  <si>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</si>
  <si>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</si>
  <si>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</si>
  <si>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</si>
  <si>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</si>
  <si>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</si>
  <si>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</si>
  <si>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</si>
  <si>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</si>
  <si>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</si>
  <si>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</si>
  <si>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</si>
  <si>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</si>
  <si>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</si>
  <si>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</si>
  <si>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</si>
  <si>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</si>
  <si>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</si>
  <si>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</si>
  <si>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</si>
  <si>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</si>
  <si>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</si>
  <si>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</si>
  <si>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</si>
  <si>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</si>
  <si>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</si>
  <si>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</si>
  <si>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</si>
  <si>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</si>
  <si>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</si>
  <si>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</si>
  <si>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</si>
  <si>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</si>
  <si>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</si>
  <si>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</si>
  <si>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</si>
  <si>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</si>
  <si>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</si>
  <si>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</si>
  <si>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</si>
  <si>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</si>
  <si>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</si>
  <si>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</si>
  <si>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</si>
  <si>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</si>
  <si>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</si>
  <si>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</si>
  <si>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</si>
  <si>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</si>
  <si>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</si>
  <si>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</si>
  <si>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</si>
  <si>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</si>
  <si>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</si>
  <si>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</si>
  <si>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</si>
  <si>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</si>
  <si>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</si>
  <si>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</si>
  <si>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</si>
  <si>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</si>
  <si>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</si>
  <si>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</si>
  <si>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</si>
  <si>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</si>
  <si>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</si>
  <si>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</si>
  <si>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</si>
  <si>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</si>
  <si>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</si>
  <si>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</si>
  <si>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</si>
  <si>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</si>
  <si>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</si>
  <si>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</si>
  <si>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</si>
  <si>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</si>
  <si>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</si>
  <si>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</si>
  <si>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</si>
  <si>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</si>
  <si>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</si>
  <si>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</si>
  <si>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</si>
  <si>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</si>
  <si>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</si>
  <si>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</si>
  <si>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</si>
  <si>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</si>
  <si>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</si>
  <si>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</si>
  <si>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</si>
  <si>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</si>
  <si>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</si>
  <si>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</si>
  <si>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</si>
  <si>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</si>
  <si>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</si>
  <si>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</si>
  <si>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</si>
  <si>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</si>
  <si>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</si>
  <si>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</si>
  <si>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</si>
  <si>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</si>
  <si>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</si>
  <si>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</si>
  <si>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</si>
  <si>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</si>
  <si>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</si>
  <si>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</si>
  <si>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</si>
  <si>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</si>
  <si>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</si>
  <si>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</si>
  <si>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</si>
  <si>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Marion</t>
  </si>
  <si>
    <t>1200 N. Broadway</t>
  </si>
  <si>
    <t>Salem</t>
  </si>
  <si>
    <t>X</t>
  </si>
  <si>
    <t>Brad Detering</t>
  </si>
  <si>
    <t>618-548-0727</t>
  </si>
  <si>
    <t>618-548-8021</t>
  </si>
  <si>
    <t>Leymone Hardcastle &amp; Co., Ltd.</t>
  </si>
  <si>
    <t>Sara E. Hanks, CPA</t>
  </si>
  <si>
    <t>200 West Main Street</t>
  </si>
  <si>
    <t>IL</t>
  </si>
  <si>
    <t>618-548-1002</t>
  </si>
  <si>
    <t>618-548-1018</t>
  </si>
  <si>
    <t>060-001832</t>
  </si>
  <si>
    <t>1/1/19999</t>
  </si>
  <si>
    <t>2001 Issue</t>
  </si>
  <si>
    <t>Lease Agreement</t>
  </si>
  <si>
    <t>Buses (6 Total)</t>
  </si>
  <si>
    <t>2018 Bond Issue</t>
  </si>
  <si>
    <t>Various</t>
  </si>
  <si>
    <t>Printer/Copier/Meter Leases</t>
  </si>
  <si>
    <t>Bus lease loan</t>
  </si>
  <si>
    <t>n/a</t>
  </si>
  <si>
    <t>Kaskaskia Special Education District</t>
  </si>
  <si>
    <t>Marion Clinton Washington Counties CTES</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</si>
  <si>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</si>
  <si>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</si>
  <si>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</si>
  <si>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</si>
  <si>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</si>
  <si>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</si>
  <si>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</si>
  <si>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Account #1719 - Education Fund - other district admissions ($5,455)</t>
  </si>
  <si>
    <t>Account #1790 - Education Fund - PE locks &amp; uniforms ($2,238)</t>
  </si>
  <si>
    <t>Account #1999 - Education Fund - ERATE ($2,520), Advertising ($4,000),  Annual P-card rebate ($1,836), Band uniform reimbursement ($2,500)</t>
  </si>
  <si>
    <t>ICARE ($4,024), other miscellaneous revenue ($768)</t>
  </si>
  <si>
    <t>Various other revenue ($475)</t>
  </si>
  <si>
    <t>Account #1999 - O&amp;M Fund - Advertising ($3,000), Insurance claim on truck ($1,513), Illinois Public Risk Fund Safety ($2,406),</t>
  </si>
  <si>
    <t>Account #1999 - Transportation Fund - monthly mileage reimbursement ($436)</t>
  </si>
  <si>
    <t>Account #3999 - Education Fund - Annual State Fund Library Grant ($750), Other State Programs ($3,494)</t>
  </si>
  <si>
    <t>10-2190 (100) - Other Support Services - Salaries ($35,985)</t>
  </si>
  <si>
    <t>10-2190 (200) - Other Support Services - Benefits ($537)</t>
  </si>
  <si>
    <t>10-2190 (400) - Other Support Services - Supplies ($3,938)</t>
  </si>
  <si>
    <t>10-2190 (600) - Other Support Services - Other Objects ($1,905)</t>
  </si>
  <si>
    <t>10-2900 (400) - Other Support Services - Title I - Supplies ($68)</t>
  </si>
  <si>
    <t>30-5400 (600) - Fees ($750)</t>
  </si>
  <si>
    <t>50-2190 (200) - Other Support Services - Benefits ($684)</t>
  </si>
  <si>
    <t>Schedule of Long-Term Debt - Any Differences ($27,804) - removed operating leases/printer/copier from long-term debt schedule</t>
  </si>
  <si>
    <t>ERROR - on Long-Term Debt Schedule is due to bus lease payments made from the Transportation Fund ($78,516)</t>
  </si>
  <si>
    <t>ERROR on Current Year Payment on Contracts for Indirect Cost Rate Computation - none to report per District</t>
  </si>
  <si>
    <t>Total Federal Expenditures for 7/1/18-6/30/19</t>
  </si>
  <si>
    <t>Salem CHSD 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</si>
</sst>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95250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405</v>
      </c>
      <c r="J1" s="1982"/>
      <c r="K1" s="1982"/>
      <c r="L1" s="1982"/>
      <c r="M1" s="1982"/>
      <c r="N1" s="1982"/>
      <c r="O1" s="1982"/>
      <c r="P1" s="1982"/>
      <c r="Q1" s="1982"/>
      <c r="R1" s="1982"/>
      <c r="S1" s="1982"/>
    </row>
    <row r="2" spans="1:28" ht="12" customHeight="1" x14ac:dyDescent="0.2">
      <c r="A2" s="47" t="s">
        <v>1992</v>
      </c>
      <c r="D2" s="48"/>
      <c r="I2" s="1983" t="s">
        <v>979</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2066</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2066</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13058600016</v>
      </c>
      <c r="B13" s="2017"/>
      <c r="C13" s="2017"/>
      <c r="D13" s="2017"/>
      <c r="E13" s="2017"/>
      <c r="F13" s="2017"/>
      <c r="G13" s="2017"/>
      <c r="H13" s="2018"/>
      <c r="I13" s="31"/>
      <c r="J13" s="30"/>
      <c r="K13" s="28"/>
      <c r="L13" s="30"/>
      <c r="M13" s="30"/>
      <c r="N13" s="30"/>
      <c r="O13" s="30"/>
      <c r="P13" s="30"/>
      <c r="Q13" s="30"/>
      <c r="R13" s="30"/>
      <c r="S13" s="30"/>
      <c r="T13" s="2021" t="s">
        <v>2070</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2063</v>
      </c>
      <c r="B15" s="2019"/>
      <c r="C15" s="2019"/>
      <c r="D15" s="2019"/>
      <c r="E15" s="2019"/>
      <c r="F15" s="2019"/>
      <c r="G15" s="2019"/>
      <c r="H15" s="2020"/>
      <c r="T15" s="2025" t="s">
        <v>2071</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2114</v>
      </c>
      <c r="B17" s="1976"/>
      <c r="C17" s="1976"/>
      <c r="D17" s="1976"/>
      <c r="E17" s="1976"/>
      <c r="F17" s="1976"/>
      <c r="G17" s="1976"/>
      <c r="H17" s="2001"/>
      <c r="T17" s="2032" t="s">
        <v>2072</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2064</v>
      </c>
      <c r="B19" s="1961"/>
      <c r="C19" s="1961"/>
      <c r="D19" s="1961"/>
      <c r="E19" s="1961"/>
      <c r="F19" s="1961"/>
      <c r="G19" s="1961"/>
      <c r="H19" s="1941"/>
      <c r="I19" s="30"/>
      <c r="J19" s="99"/>
      <c r="K19" s="40"/>
      <c r="L19" s="38"/>
      <c r="M19" s="112" t="s">
        <v>315</v>
      </c>
      <c r="P19" s="27"/>
      <c r="Q19" s="27"/>
      <c r="R19" s="27"/>
      <c r="S19" s="31"/>
      <c r="T19" s="2015" t="s">
        <v>2065</v>
      </c>
      <c r="U19" s="1940"/>
      <c r="V19" s="1940"/>
      <c r="W19" s="1941"/>
      <c r="X19" s="2030" t="s">
        <v>2073</v>
      </c>
      <c r="Y19" s="2031"/>
      <c r="Z19" s="2028">
        <v>62881</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2065</v>
      </c>
      <c r="B21" s="1940"/>
      <c r="C21" s="1940"/>
      <c r="D21" s="1940"/>
      <c r="E21" s="1940"/>
      <c r="F21" s="1940"/>
      <c r="G21" s="1940"/>
      <c r="H21" s="1941"/>
      <c r="I21" s="1995" t="s">
        <v>678</v>
      </c>
      <c r="J21" s="1990"/>
      <c r="K21" s="1990"/>
      <c r="L21" s="1990"/>
      <c r="M21" s="1990"/>
      <c r="N21" s="1990"/>
      <c r="O21" s="1990"/>
      <c r="P21" s="1990"/>
      <c r="Q21" s="1990"/>
      <c r="R21" s="1990"/>
      <c r="S21" s="1996"/>
      <c r="T21" s="2039" t="s">
        <v>2074</v>
      </c>
      <c r="U21" s="2040"/>
      <c r="V21" s="2040"/>
      <c r="W21" s="2040"/>
      <c r="X21" s="2045" t="s">
        <v>2075</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2076</v>
      </c>
      <c r="U23" s="2038"/>
      <c r="V23" s="2038"/>
      <c r="W23" s="2038"/>
      <c r="X23" s="2042"/>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62881</v>
      </c>
      <c r="B25" s="1940"/>
      <c r="C25" s="1940"/>
      <c r="D25" s="1940"/>
      <c r="E25" s="1940"/>
      <c r="F25" s="1940"/>
      <c r="G25" s="1940"/>
      <c r="H25" s="1941"/>
      <c r="I25" s="113"/>
      <c r="J25" s="1964"/>
      <c r="K25" s="1964"/>
      <c r="L25" s="1964"/>
      <c r="M25" s="1964"/>
      <c r="N25" s="1964"/>
      <c r="O25" s="1964"/>
      <c r="P25" s="1964"/>
      <c r="Q25" s="1964"/>
      <c r="R25" s="1964"/>
      <c r="S25" s="1965"/>
      <c r="T25" s="2035"/>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2067</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2068</v>
      </c>
      <c r="B42" s="1959"/>
      <c r="C42" s="1960"/>
      <c r="D42" s="1958" t="s">
        <v>2069</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31" top="0.75" bottom="0.52" header="0.19" footer="0.17"/>
  <pageSetup scale="75" orientation="landscape" r:id="rId3"/>
  <headerFooter alignWithMargins="0">
    <oddFooter>&amp;C- 6 -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colorId="8" zoomScaleNormal="110" workbookViewId="0">
      <selection activeCell="D1" sqref="D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1" t="s">
        <v>1802</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8">
        <f>'Revenues 9-14'!C5</f>
        <v>2231710</v>
      </c>
      <c r="C4" s="1524"/>
      <c r="D4" s="1751">
        <f>B4-C4</f>
        <v>2231710</v>
      </c>
      <c r="E4" s="1524">
        <v>2333656</v>
      </c>
      <c r="F4" s="1751">
        <f>E4-C4</f>
        <v>2333656</v>
      </c>
    </row>
    <row r="5" spans="1:6" ht="13.7" customHeight="1" x14ac:dyDescent="0.2">
      <c r="A5" s="715" t="s">
        <v>870</v>
      </c>
      <c r="B5" s="1749">
        <f>'Revenues 9-14'!D5</f>
        <v>378929</v>
      </c>
      <c r="C5" s="585"/>
      <c r="D5" s="1752">
        <f t="shared" ref="D5:D18" si="0">B5-C5</f>
        <v>378929</v>
      </c>
      <c r="E5" s="585">
        <v>379854</v>
      </c>
      <c r="F5" s="1752">
        <f>E5-C5</f>
        <v>379854</v>
      </c>
    </row>
    <row r="6" spans="1:6" ht="13.7" customHeight="1" x14ac:dyDescent="0.2">
      <c r="A6" s="715" t="s">
        <v>411</v>
      </c>
      <c r="B6" s="1749">
        <f>'Revenues 9-14'!E5</f>
        <v>479889</v>
      </c>
      <c r="C6" s="585"/>
      <c r="D6" s="1752">
        <f t="shared" si="0"/>
        <v>479889</v>
      </c>
      <c r="E6" s="585">
        <v>562649</v>
      </c>
      <c r="F6" s="1752">
        <f t="shared" ref="F6:F18" si="1">E6-C6</f>
        <v>562649</v>
      </c>
    </row>
    <row r="7" spans="1:6" ht="13.7" customHeight="1" x14ac:dyDescent="0.2">
      <c r="A7" s="715" t="s">
        <v>155</v>
      </c>
      <c r="B7" s="1749">
        <f>'Revenues 9-14'!F5</f>
        <v>246052</v>
      </c>
      <c r="C7" s="585"/>
      <c r="D7" s="1752">
        <f t="shared" si="0"/>
        <v>246052</v>
      </c>
      <c r="E7" s="585">
        <v>246660</v>
      </c>
      <c r="F7" s="1752">
        <f t="shared" si="1"/>
        <v>246660</v>
      </c>
    </row>
    <row r="8" spans="1:6" ht="13.7" customHeight="1" x14ac:dyDescent="0.2">
      <c r="A8" s="715" t="s">
        <v>1179</v>
      </c>
      <c r="B8" s="1749">
        <f>'Revenues 9-14'!G5</f>
        <v>98446</v>
      </c>
      <c r="C8" s="585"/>
      <c r="D8" s="1752">
        <f t="shared" si="0"/>
        <v>98446</v>
      </c>
      <c r="E8" s="585">
        <v>98691</v>
      </c>
      <c r="F8" s="1752">
        <f t="shared" si="1"/>
        <v>98691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83664</v>
      </c>
      <c r="C10" s="585"/>
      <c r="D10" s="1752">
        <f t="shared" si="0"/>
        <v>83664</v>
      </c>
      <c r="E10" s="585">
        <v>83896</v>
      </c>
      <c r="F10" s="1752">
        <f t="shared" si="1"/>
        <v>83896</v>
      </c>
    </row>
    <row r="11" spans="1:6" x14ac:dyDescent="0.2">
      <c r="A11" s="715" t="s">
        <v>409</v>
      </c>
      <c r="B11" s="1749">
        <f>'Revenues 9-14'!J5</f>
        <v>137806</v>
      </c>
      <c r="C11" s="585"/>
      <c r="D11" s="1752">
        <f t="shared" si="0"/>
        <v>137806</v>
      </c>
      <c r="E11" s="585">
        <v>148008</v>
      </c>
      <c r="F11" s="1752">
        <f t="shared" si="1"/>
        <v>148008</v>
      </c>
    </row>
    <row r="12" spans="1:6" ht="13.7" customHeight="1" x14ac:dyDescent="0.2">
      <c r="A12" s="715" t="s">
        <v>157</v>
      </c>
      <c r="B12" s="1749">
        <f>'Revenues 9-14'!K5</f>
        <v>49233</v>
      </c>
      <c r="C12" s="585"/>
      <c r="D12" s="1752">
        <f t="shared" si="0"/>
        <v>49233</v>
      </c>
      <c r="E12" s="585">
        <v>49355</v>
      </c>
      <c r="F12" s="1752">
        <f t="shared" si="1"/>
        <v>49355</v>
      </c>
    </row>
    <row r="13" spans="1:6" ht="13.7" customHeight="1" x14ac:dyDescent="0.2">
      <c r="A13" s="715" t="s">
        <v>936</v>
      </c>
      <c r="B13" s="1749">
        <f>SUM('Revenues 9-14'!C6:D6)</f>
        <v>19707</v>
      </c>
      <c r="C13" s="585"/>
      <c r="D13" s="1752">
        <f t="shared" si="0"/>
        <v>19707</v>
      </c>
      <c r="E13" s="585">
        <v>19746</v>
      </c>
      <c r="F13" s="1752">
        <f t="shared" si="1"/>
        <v>19746</v>
      </c>
    </row>
    <row r="14" spans="1:6" ht="13.7" customHeight="1" x14ac:dyDescent="0.2">
      <c r="A14" s="715" t="s">
        <v>410</v>
      </c>
      <c r="B14" s="1749">
        <f>SUM('Revenues 9-14'!C7:D7,'Revenues 9-14'!F7:H7)</f>
        <v>29541</v>
      </c>
      <c r="C14" s="585"/>
      <c r="D14" s="1752">
        <f t="shared" si="0"/>
        <v>29541</v>
      </c>
      <c r="E14" s="585">
        <v>29628</v>
      </c>
      <c r="F14" s="1752">
        <f t="shared" si="1"/>
        <v>29628</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123024</v>
      </c>
      <c r="C16" s="585"/>
      <c r="D16" s="1752">
        <f t="shared" si="0"/>
        <v>123024</v>
      </c>
      <c r="E16" s="585">
        <v>123330</v>
      </c>
      <c r="F16" s="1752">
        <f t="shared" si="1"/>
        <v>123330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3878001</v>
      </c>
      <c r="C19" s="1750">
        <f>SUM(C4:C18)</f>
        <v>0</v>
      </c>
      <c r="D19" s="1750">
        <f>SUM(D4:D18)</f>
        <v>3878001</v>
      </c>
      <c r="E19" s="1750">
        <f>SUM(E4:E18)</f>
        <v>4075473</v>
      </c>
      <c r="F19" s="1750">
        <f>SUM(F4:F18)</f>
        <v>4075473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48" right="0.15" top="1.65" bottom="0.52" header="0.88" footer="0.24"/>
  <pageSetup firstPageNumber="23" orientation="landscape" useFirstPageNumber="1" r:id="rId1"/>
  <headerFooter alignWithMargins="0">
    <oddHeader>&amp;CSalem Community High School District #600</oddHeader>
    <oddFooter>&amp;L&amp;9See accompanying notes to the financial statements.
&amp;C- 29 -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31" colorId="8"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3" t="s">
        <v>1955</v>
      </c>
      <c r="D2" s="723" t="s">
        <v>1956</v>
      </c>
      <c r="E2" s="723" t="s">
        <v>1957</v>
      </c>
      <c r="F2" s="1883" t="s">
        <v>1958</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4">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4" t="s">
        <v>631</v>
      </c>
      <c r="B15" s="2195"/>
      <c r="C15" s="1754">
        <f>SUM(C6:C14)</f>
        <v>0</v>
      </c>
      <c r="D15" s="1754">
        <f>SUM(D6:D14)</f>
        <v>0</v>
      </c>
      <c r="E15" s="1754">
        <f>SUM(E6:E14)</f>
        <v>0</v>
      </c>
      <c r="F15" s="1754">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4">
        <f>SUM(C17+D17)-E17</f>
        <v>0</v>
      </c>
    </row>
    <row r="18" spans="1:11" ht="12.75" customHeight="1" thickTop="1" thickBot="1" x14ac:dyDescent="0.25">
      <c r="A18" s="2189" t="s">
        <v>6</v>
      </c>
      <c r="B18" s="2190"/>
      <c r="C18" s="726"/>
      <c r="D18" s="585"/>
      <c r="E18" s="726"/>
      <c r="F18" s="1754">
        <f>SUM(C18+D18)-E18</f>
        <v>0</v>
      </c>
    </row>
    <row r="19" spans="1:11" ht="12.75" customHeight="1" thickTop="1" thickBot="1" x14ac:dyDescent="0.25">
      <c r="A19" s="2189" t="s">
        <v>388</v>
      </c>
      <c r="B19" s="2190"/>
      <c r="C19" s="726"/>
      <c r="D19" s="585"/>
      <c r="E19" s="726"/>
      <c r="F19" s="1754">
        <f>SUM(C19+D19)-E19</f>
        <v>0</v>
      </c>
    </row>
    <row r="20" spans="1:11" ht="12.75" customHeight="1" thickTop="1" thickBot="1" x14ac:dyDescent="0.25">
      <c r="A20" s="2189" t="s">
        <v>448</v>
      </c>
      <c r="B20" s="2190"/>
      <c r="C20" s="726"/>
      <c r="D20" s="585"/>
      <c r="E20" s="726"/>
      <c r="F20" s="1754">
        <f>SUM(C20+D20)-E20</f>
        <v>0</v>
      </c>
    </row>
    <row r="21" spans="1:11" ht="14.25" thickTop="1" thickBot="1" x14ac:dyDescent="0.25">
      <c r="A21" s="2194" t="s">
        <v>632</v>
      </c>
      <c r="B21" s="2195"/>
      <c r="C21" s="1754">
        <f>SUM(C17:C20)</f>
        <v>0</v>
      </c>
      <c r="D21" s="1754">
        <f>SUM(D17:D20)</f>
        <v>0</v>
      </c>
      <c r="E21" s="1754">
        <f>SUM(E17:E20)</f>
        <v>0</v>
      </c>
      <c r="F21" s="1754">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4">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4">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4">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4" t="s">
        <v>583</v>
      </c>
      <c r="D30" s="1884" t="s">
        <v>1673</v>
      </c>
      <c r="E30" s="1884" t="s">
        <v>1959</v>
      </c>
      <c r="F30" s="1884" t="s">
        <v>1960</v>
      </c>
      <c r="G30" s="1884" t="s">
        <v>1910</v>
      </c>
      <c r="H30" s="1884" t="s">
        <v>1961</v>
      </c>
      <c r="I30" s="1884" t="s">
        <v>1962</v>
      </c>
      <c r="J30" s="1885" t="s">
        <v>2</v>
      </c>
      <c r="K30" s="731"/>
    </row>
    <row r="31" spans="1:11" ht="12" customHeight="1" x14ac:dyDescent="0.2">
      <c r="A31" s="732" t="s">
        <v>2078</v>
      </c>
      <c r="B31" s="733"/>
      <c r="C31" s="734">
        <v>2576131</v>
      </c>
      <c r="D31" s="735">
        <v>4</v>
      </c>
      <c r="E31" s="734">
        <v>415265</v>
      </c>
      <c r="F31" s="734"/>
      <c r="G31" s="734"/>
      <c r="H31" s="734">
        <v>147773</v>
      </c>
      <c r="I31" s="1755">
        <f>((E31+F31)-H31)+G31</f>
        <v>267492</v>
      </c>
      <c r="J31" s="734">
        <v>154514</v>
      </c>
      <c r="K31" s="736"/>
    </row>
    <row r="32" spans="1:11" ht="12" customHeight="1" x14ac:dyDescent="0.2">
      <c r="A32" s="732" t="s">
        <v>2079</v>
      </c>
      <c r="B32" s="733" t="s">
        <v>2082</v>
      </c>
      <c r="C32" s="734"/>
      <c r="D32" s="735">
        <v>7</v>
      </c>
      <c r="E32" s="734">
        <v>27804</v>
      </c>
      <c r="F32" s="734"/>
      <c r="G32" s="734">
        <v>-27804</v>
      </c>
      <c r="H32" s="734"/>
      <c r="I32" s="1755">
        <f>((E32+F32)-H32)+G32</f>
        <v>0</v>
      </c>
      <c r="J32" s="734">
        <v>0</v>
      </c>
      <c r="K32" s="736"/>
    </row>
    <row r="33" spans="1:11" ht="12" customHeight="1" x14ac:dyDescent="0.2">
      <c r="A33" s="732" t="s">
        <v>2080</v>
      </c>
      <c r="B33" s="733">
        <v>42585</v>
      </c>
      <c r="C33" s="734">
        <v>399972</v>
      </c>
      <c r="D33" s="735">
        <v>8</v>
      </c>
      <c r="E33" s="734">
        <v>240767</v>
      </c>
      <c r="F33" s="734"/>
      <c r="G33" s="734"/>
      <c r="H33" s="734">
        <v>78516</v>
      </c>
      <c r="I33" s="1755">
        <f t="shared" ref="I33:I48" si="1">((E33+F33)-H33)+G33</f>
        <v>162251</v>
      </c>
      <c r="J33" s="734">
        <v>162251</v>
      </c>
      <c r="K33" s="736"/>
    </row>
    <row r="34" spans="1:11" ht="12" customHeight="1" x14ac:dyDescent="0.2">
      <c r="A34" s="732" t="s">
        <v>2081</v>
      </c>
      <c r="B34" s="733">
        <v>43263</v>
      </c>
      <c r="C34" s="734">
        <v>1726200</v>
      </c>
      <c r="D34" s="735">
        <v>1</v>
      </c>
      <c r="E34" s="734">
        <v>1726200</v>
      </c>
      <c r="F34" s="734"/>
      <c r="G34" s="734"/>
      <c r="H34" s="734"/>
      <c r="I34" s="1755">
        <f t="shared" si="1"/>
        <v>1726200</v>
      </c>
      <c r="J34" s="734">
        <v>1726200</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4702303</v>
      </c>
      <c r="D49" s="745"/>
      <c r="E49" s="1755">
        <f t="shared" ref="E49:J49" si="2">SUM(E31:E48)</f>
        <v>2410036</v>
      </c>
      <c r="F49" s="1755">
        <f t="shared" si="2"/>
        <v>0</v>
      </c>
      <c r="G49" s="1755">
        <f t="shared" si="2"/>
        <v>-27804</v>
      </c>
      <c r="H49" s="1755">
        <f t="shared" si="2"/>
        <v>226289</v>
      </c>
      <c r="I49" s="1755">
        <f t="shared" si="2"/>
        <v>2155943</v>
      </c>
      <c r="J49" s="1755">
        <f t="shared" si="2"/>
        <v>2042965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2083</v>
      </c>
      <c r="G52" s="2186"/>
      <c r="H52" s="736"/>
      <c r="I52" s="736"/>
      <c r="J52" s="746"/>
    </row>
    <row r="53" spans="1:11" ht="11.25" customHeight="1" x14ac:dyDescent="0.2">
      <c r="A53" s="750" t="s">
        <v>913</v>
      </c>
      <c r="B53" s="751" t="s">
        <v>951</v>
      </c>
      <c r="C53" s="746"/>
      <c r="D53" s="737"/>
      <c r="E53" s="749" t="s">
        <v>497</v>
      </c>
      <c r="F53" s="2187" t="s">
        <v>2084</v>
      </c>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1" right="0.3" top="0.46" bottom="0.44" header="0.26" footer="0.22"/>
  <pageSetup scale="72" firstPageNumber="24" fitToHeight="0" orientation="landscape" useFirstPageNumber="1" r:id="rId1"/>
  <headerFooter alignWithMargins="0">
    <oddHeader>&amp;CSalem Community High School District #600</oddHeader>
    <oddFooter>&amp;L&amp;9See accompanying notes to the financial statements.
&amp;C- 30 -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B136" colorId="8"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29541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7400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34051</v>
      </c>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6"/>
      <c r="G12" s="1757">
        <f>SUM(G5:G11)</f>
        <v>0</v>
      </c>
      <c r="H12" s="1757">
        <f>SUM(H5:H11)</f>
        <v>29541</v>
      </c>
      <c r="I12" s="1757">
        <f>SUM(I5:I11)</f>
        <v>0</v>
      </c>
      <c r="J12" s="1757">
        <f>SUM(J5:J11)</f>
        <v>0</v>
      </c>
      <c r="K12" s="1757">
        <f>SUM(K5:K11)</f>
        <v>41451</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29541</v>
      </c>
      <c r="I14" s="771"/>
      <c r="J14" s="773"/>
      <c r="K14" s="765">
        <v>41451</v>
      </c>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8"/>
      <c r="G21" s="792"/>
      <c r="H21" s="796"/>
      <c r="I21" s="796"/>
      <c r="J21" s="1759">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0"/>
      <c r="G23" s="1757">
        <f>SUM(G14:G16,G21,G22)</f>
        <v>0</v>
      </c>
      <c r="H23" s="1757">
        <f>SUM(H14:H16,H21,H22)</f>
        <v>29541</v>
      </c>
      <c r="I23" s="1757">
        <f>SUM(I14:I16,I21,I22)</f>
        <v>0</v>
      </c>
      <c r="J23" s="1757">
        <f>SUM(J14:J16,J21,J22)</f>
        <v>0</v>
      </c>
      <c r="K23" s="1757">
        <f>SUM(K14:K16,K21,K22)</f>
        <v>41451</v>
      </c>
    </row>
    <row r="24" spans="1:11" ht="14.25" thickTop="1" thickBot="1" x14ac:dyDescent="0.25">
      <c r="A24" s="2246" t="s">
        <v>1964</v>
      </c>
      <c r="B24" s="2245"/>
      <c r="C24" s="2245"/>
      <c r="D24" s="2245"/>
      <c r="E24" s="2245"/>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55000000000000004" right="0.3" top="0.75" bottom="0.52" header="0.24" footer="0.26"/>
  <pageSetup scale="83" firstPageNumber="25" orientation="landscape" useFirstPageNumber="1" r:id="rId1"/>
  <headerFooter>
    <oddHeader xml:space="preserve">&amp;C&amp;"Arial,Bold"Salem Community High School District #600
Schedule of Restricted Local Tax Levies and Selected Revenues Sources 
Schedule of Tort Immunity Expenditures </oddHeader>
    <oddFooter>&amp;L&amp;9See accompanying notes to the financial statements.&amp;C- 31 -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8" colorId="8"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103413</v>
      </c>
      <c r="D5" s="841"/>
      <c r="E5" s="841"/>
      <c r="F5" s="1759">
        <f>(C5+D5)-E5</f>
        <v>103413</v>
      </c>
      <c r="G5" s="837"/>
      <c r="H5" s="842"/>
      <c r="I5" s="842"/>
      <c r="J5" s="842"/>
      <c r="K5" s="793"/>
      <c r="L5" s="1768">
        <f>F5-K5</f>
        <v>103413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10540390</v>
      </c>
      <c r="D8" s="844">
        <v>2575000</v>
      </c>
      <c r="E8" s="844"/>
      <c r="F8" s="1759">
        <f>(C8+D8)-E8</f>
        <v>13115390</v>
      </c>
      <c r="G8" s="843">
        <v>50</v>
      </c>
      <c r="H8" s="765">
        <v>5878970</v>
      </c>
      <c r="I8" s="765">
        <v>228580</v>
      </c>
      <c r="J8" s="765"/>
      <c r="K8" s="1768">
        <f>(H8+I8)-J8</f>
        <v>6107550</v>
      </c>
      <c r="L8" s="1768">
        <f>F8-K8</f>
        <v>7007840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1120512</v>
      </c>
      <c r="D10" s="846">
        <v>25745</v>
      </c>
      <c r="E10" s="846"/>
      <c r="F10" s="1763">
        <f>(C10+D10)-E10</f>
        <v>1146257</v>
      </c>
      <c r="G10" s="843">
        <v>20</v>
      </c>
      <c r="H10" s="847">
        <v>866852</v>
      </c>
      <c r="I10" s="847">
        <v>17945</v>
      </c>
      <c r="J10" s="847"/>
      <c r="K10" s="1768">
        <f>(H10+I10)-J10</f>
        <v>884797</v>
      </c>
      <c r="L10" s="1768">
        <f>F10-K10</f>
        <v>261460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960516</v>
      </c>
      <c r="D12" s="844">
        <v>131766</v>
      </c>
      <c r="E12" s="844">
        <v>112756</v>
      </c>
      <c r="F12" s="1759">
        <f>(C12+D12)-E12</f>
        <v>979526</v>
      </c>
      <c r="G12" s="843">
        <v>10</v>
      </c>
      <c r="H12" s="765">
        <v>726565</v>
      </c>
      <c r="I12" s="765">
        <v>76111</v>
      </c>
      <c r="J12" s="765">
        <v>112756</v>
      </c>
      <c r="K12" s="1768">
        <f>(H12+I12)-J12</f>
        <v>689920</v>
      </c>
      <c r="L12" s="1768">
        <f>F12-K12</f>
        <v>289606</v>
      </c>
    </row>
    <row r="13" spans="1:14" ht="14.25" thickTop="1" thickBot="1" x14ac:dyDescent="0.25">
      <c r="A13" s="848" t="s">
        <v>1122</v>
      </c>
      <c r="B13" s="840">
        <v>252</v>
      </c>
      <c r="C13" s="844">
        <v>845247</v>
      </c>
      <c r="D13" s="844"/>
      <c r="E13" s="844"/>
      <c r="F13" s="1759">
        <f>(C13+D13)-E13</f>
        <v>845247</v>
      </c>
      <c r="G13" s="843">
        <v>5</v>
      </c>
      <c r="H13" s="765">
        <v>480099</v>
      </c>
      <c r="I13" s="765">
        <v>96795</v>
      </c>
      <c r="J13" s="765"/>
      <c r="K13" s="1768">
        <f>(H13+I13)-J13</f>
        <v>576894</v>
      </c>
      <c r="L13" s="1768">
        <f>F13-K13</f>
        <v>268353</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13570078</v>
      </c>
      <c r="D16" s="1759">
        <f>SUM(D3,D5:D6,D8:D10,D12:D15)</f>
        <v>2732511</v>
      </c>
      <c r="E16" s="1759">
        <f>SUM(E3,E5:E6,E8:E10,E12:E15)</f>
        <v>112756</v>
      </c>
      <c r="F16" s="1759">
        <f>SUM(F3,F5:F6,F8:F10,F12:F15)</f>
        <v>16189833</v>
      </c>
      <c r="G16" s="843"/>
      <c r="H16" s="1759">
        <f>SUM(H3,H6,H8:H10,H12:H14,)</f>
        <v>7952486</v>
      </c>
      <c r="I16" s="1759">
        <f>SUM(I3,I6,I8:I10,I12:I14,)</f>
        <v>419431</v>
      </c>
      <c r="J16" s="1759">
        <f>SUM(J3,J6,J8:J10,J12:J14,)</f>
        <v>112756</v>
      </c>
      <c r="K16" s="1759">
        <f>(H16+I16)-J16</f>
        <v>8259161</v>
      </c>
      <c r="L16" s="1759">
        <f>F16-K16</f>
        <v>7930672</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419431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4" right="0.17" top="1.1000000000000001" bottom="0.66" header="0.67" footer="0.28000000000000003"/>
  <pageSetup scale="80" firstPageNumber="26" orientation="landscape" useFirstPageNumber="1" r:id="rId1"/>
  <headerFooter alignWithMargins="0">
    <oddHeader>&amp;CSalem Community High School District #600</oddHeader>
    <oddFooter>&amp;L&amp;9See accompanying notes to the financial statements.
&amp;C- 32 -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4"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6030715</v>
      </c>
      <c r="G8" s="865"/>
    </row>
    <row r="9" spans="1:7" x14ac:dyDescent="0.2">
      <c r="A9" s="869" t="s">
        <v>460</v>
      </c>
      <c r="B9" s="870" t="s">
        <v>1876</v>
      </c>
      <c r="C9" s="871"/>
      <c r="D9" s="869" t="s">
        <v>501</v>
      </c>
      <c r="E9" s="868"/>
      <c r="F9" s="1908">
        <f>'Expenditures 15-22'!K151</f>
        <v>2970873</v>
      </c>
      <c r="G9" s="872"/>
    </row>
    <row r="10" spans="1:7" x14ac:dyDescent="0.2">
      <c r="A10" s="869" t="s">
        <v>499</v>
      </c>
      <c r="B10" s="870" t="s">
        <v>1877</v>
      </c>
      <c r="C10" s="871"/>
      <c r="D10" s="869" t="s">
        <v>501</v>
      </c>
      <c r="E10" s="868"/>
      <c r="F10" s="1908">
        <f>'Expenditures 15-22'!K174</f>
        <v>475750</v>
      </c>
      <c r="G10" s="872"/>
    </row>
    <row r="11" spans="1:7" x14ac:dyDescent="0.2">
      <c r="A11" s="869" t="s">
        <v>461</v>
      </c>
      <c r="B11" s="870" t="s">
        <v>1878</v>
      </c>
      <c r="C11" s="871"/>
      <c r="D11" s="869" t="s">
        <v>501</v>
      </c>
      <c r="E11" s="868"/>
      <c r="F11" s="1908">
        <f>'Expenditures 15-22'!K210</f>
        <v>332141</v>
      </c>
      <c r="G11" s="872"/>
    </row>
    <row r="12" spans="1:7" x14ac:dyDescent="0.2">
      <c r="A12" s="869" t="s">
        <v>462</v>
      </c>
      <c r="B12" s="870" t="s">
        <v>1879</v>
      </c>
      <c r="C12" s="871"/>
      <c r="D12" s="869" t="s">
        <v>501</v>
      </c>
      <c r="E12" s="868"/>
      <c r="F12" s="1908">
        <f>'Expenditures 15-22'!K295</f>
        <v>250423</v>
      </c>
      <c r="G12" s="872"/>
    </row>
    <row r="13" spans="1:7" x14ac:dyDescent="0.2">
      <c r="A13" s="869" t="s">
        <v>106</v>
      </c>
      <c r="B13" s="870" t="s">
        <v>1880</v>
      </c>
      <c r="C13" s="871"/>
      <c r="D13" s="869" t="s">
        <v>501</v>
      </c>
      <c r="E13" s="868"/>
      <c r="F13" s="1908">
        <f>'Expenditures 15-22'!K342</f>
        <v>138237</v>
      </c>
      <c r="G13" s="873"/>
    </row>
    <row r="14" spans="1:7" ht="12" customHeight="1" thickBot="1" x14ac:dyDescent="0.25">
      <c r="A14" s="1769"/>
      <c r="B14" s="1770"/>
      <c r="C14" s="1771"/>
      <c r="D14" s="1772" t="s">
        <v>501</v>
      </c>
      <c r="E14" s="1773" t="s">
        <v>958</v>
      </c>
      <c r="F14" s="1774">
        <f>SUM(F8:F13)</f>
        <v>10198139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3">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2001</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7375</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352047</v>
      </c>
      <c r="G53" s="865"/>
    </row>
    <row r="54" spans="1:7" x14ac:dyDescent="0.2">
      <c r="A54" s="869" t="s">
        <v>459</v>
      </c>
      <c r="B54" s="869" t="s">
        <v>1476</v>
      </c>
      <c r="C54" s="889" t="s">
        <v>982</v>
      </c>
      <c r="D54" s="885" t="s">
        <v>1095</v>
      </c>
      <c r="E54" s="868"/>
      <c r="F54" s="1912">
        <f>'Expenditures 15-22'!G114</f>
        <v>48431</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2617998</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147773</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78516</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96</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3252236</v>
      </c>
      <c r="G76" s="865"/>
    </row>
    <row r="77" spans="1:8" s="893" customFormat="1" ht="12" customHeight="1" thickTop="1" thickBot="1" x14ac:dyDescent="0.25">
      <c r="A77" s="1778"/>
      <c r="B77" s="1775"/>
      <c r="C77" s="1771"/>
      <c r="D77" s="1776" t="s">
        <v>1899</v>
      </c>
      <c r="E77" s="1773"/>
      <c r="F77" s="1779">
        <f>(F14-F76)</f>
        <v>6945903</v>
      </c>
      <c r="G77" s="869"/>
    </row>
    <row r="78" spans="1:8" s="893" customFormat="1" ht="12" customHeight="1" thickTop="1" x14ac:dyDescent="0.2">
      <c r="A78" s="1780"/>
      <c r="B78" s="1775"/>
      <c r="C78" s="1771"/>
      <c r="D78" s="1776" t="s">
        <v>2061</v>
      </c>
      <c r="E78" s="1773"/>
      <c r="F78" s="898">
        <v>578</v>
      </c>
      <c r="G78" s="899"/>
      <c r="H78" s="869"/>
    </row>
    <row r="79" spans="1:8" s="893" customFormat="1" ht="12" customHeight="1" thickBot="1" x14ac:dyDescent="0.25">
      <c r="A79" s="1781"/>
      <c r="B79" s="1775"/>
      <c r="C79" s="1771"/>
      <c r="D79" s="1776" t="s">
        <v>1900</v>
      </c>
      <c r="E79" s="1773" t="s">
        <v>958</v>
      </c>
      <c r="F79" s="1782">
        <f>IF(F78&gt;0,F77/F78," Complete Line 78")</f>
        <v>12017.13321799308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180209</v>
      </c>
      <c r="G94" s="912"/>
    </row>
    <row r="95" spans="1:7" x14ac:dyDescent="0.2">
      <c r="A95" s="908" t="s">
        <v>140</v>
      </c>
      <c r="B95" s="908" t="s">
        <v>175</v>
      </c>
      <c r="C95" s="910">
        <v>1700</v>
      </c>
      <c r="D95" s="918" t="str">
        <f>'Revenues 9-14'!A82</f>
        <v>Total District/School Activity Income</v>
      </c>
      <c r="E95" s="906"/>
      <c r="F95" s="1788">
        <f>SUM('Revenues 9-14'!C82,'Revenues 9-14'!D82)</f>
        <v>79949</v>
      </c>
      <c r="G95" s="912"/>
    </row>
    <row r="96" spans="1:7" x14ac:dyDescent="0.2">
      <c r="A96" s="908" t="s">
        <v>459</v>
      </c>
      <c r="B96" s="908" t="s">
        <v>176</v>
      </c>
      <c r="C96" s="910">
        <f>'Revenues 9-14'!B84</f>
        <v>1811</v>
      </c>
      <c r="D96" s="911" t="str">
        <f>'Revenues 9-14'!A84</f>
        <v>Rentals - Regular Textbooks</v>
      </c>
      <c r="E96" s="906"/>
      <c r="F96" s="1788">
        <f>'Revenues 9-14'!C84</f>
        <v>44857</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2002</v>
      </c>
      <c r="C105" s="913">
        <v>3100</v>
      </c>
      <c r="D105" s="919" t="str">
        <f>'Revenues 9-14'!A132</f>
        <v>Total Special Education</v>
      </c>
      <c r="E105" s="906"/>
      <c r="F105" s="1788">
        <f>SUM('Revenues 9-14'!C132:D132,'Revenues 9-14'!F132)</f>
        <v>266305</v>
      </c>
      <c r="G105" s="912"/>
    </row>
    <row r="106" spans="1:7" x14ac:dyDescent="0.2">
      <c r="A106" s="908" t="s">
        <v>673</v>
      </c>
      <c r="B106" s="908" t="s">
        <v>2003</v>
      </c>
      <c r="C106" s="920">
        <v>3200</v>
      </c>
      <c r="D106" s="911" t="str">
        <f>'Revenues 9-14'!A141</f>
        <v>Total Career and Technical Education</v>
      </c>
      <c r="E106" s="906"/>
      <c r="F106" s="1788">
        <f>SUM('Revenues 9-14'!C141,'Revenues 9-14'!D141,'Revenues 9-14'!G141)</f>
        <v>10114</v>
      </c>
      <c r="G106" s="912"/>
    </row>
    <row r="107" spans="1:7" x14ac:dyDescent="0.2">
      <c r="A107" s="921" t="s">
        <v>664</v>
      </c>
      <c r="B107" s="908" t="s">
        <v>2004</v>
      </c>
      <c r="C107" s="920">
        <v>3300</v>
      </c>
      <c r="D107" s="911" t="str">
        <f>'Revenues 9-14'!A145</f>
        <v>Total Bilingual Ed</v>
      </c>
      <c r="E107" s="906"/>
      <c r="F107" s="1788">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8">
        <f>'Revenues 9-14'!C146</f>
        <v>2570</v>
      </c>
      <c r="G108" s="912"/>
    </row>
    <row r="109" spans="1:7" x14ac:dyDescent="0.2">
      <c r="A109" s="908" t="s">
        <v>673</v>
      </c>
      <c r="B109" s="908" t="s">
        <v>2006</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8">
        <f>SUM('Revenues 9-14'!C148,'Revenues 9-14'!D148)</f>
        <v>34051</v>
      </c>
      <c r="G110" s="912"/>
    </row>
    <row r="111" spans="1:7" x14ac:dyDescent="0.2">
      <c r="A111" s="908" t="s">
        <v>668</v>
      </c>
      <c r="B111" s="908" t="s">
        <v>2008</v>
      </c>
      <c r="C111" s="922">
        <v>3500</v>
      </c>
      <c r="D111" s="911" t="str">
        <f>'Revenues 9-14'!A155</f>
        <v>Total Transportation</v>
      </c>
      <c r="E111" s="906"/>
      <c r="F111" s="1788">
        <f>SUM('Revenues 9-14'!C155,'Revenues 9-14'!D155,'Revenues 9-14'!F155,'Revenues 9-14'!G155)</f>
        <v>111251</v>
      </c>
      <c r="G111" s="912"/>
    </row>
    <row r="112" spans="1:7" x14ac:dyDescent="0.2">
      <c r="A112" s="908" t="s">
        <v>459</v>
      </c>
      <c r="B112" s="908" t="s">
        <v>2009</v>
      </c>
      <c r="C112" s="920">
        <f>'Revenues 9-14'!B156</f>
        <v>3610</v>
      </c>
      <c r="D112" s="911" t="str">
        <f>'Revenues 9-14'!A156</f>
        <v>Learning Improvement - Change Grants</v>
      </c>
      <c r="E112" s="906"/>
      <c r="F112" s="1788">
        <f>'Revenues 9-14'!C156</f>
        <v>0</v>
      </c>
      <c r="G112" s="912"/>
    </row>
    <row r="113" spans="1:7" x14ac:dyDescent="0.2">
      <c r="A113" s="908" t="s">
        <v>668</v>
      </c>
      <c r="B113" s="908" t="s">
        <v>2010</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6">
        <f>SUM('Revenues 9-14'!C163:G163)</f>
        <v>0</v>
      </c>
      <c r="G118" s="912"/>
    </row>
    <row r="119" spans="1:7" x14ac:dyDescent="0.2">
      <c r="A119" s="923" t="s">
        <v>504</v>
      </c>
      <c r="B119" s="923" t="s">
        <v>2016</v>
      </c>
      <c r="C119" s="924">
        <f>'Revenues 9-14'!B164</f>
        <v>3815</v>
      </c>
      <c r="D119" s="925" t="str">
        <f>'Revenues 9-14'!A164</f>
        <v>State Charter Schools</v>
      </c>
      <c r="E119" s="906"/>
      <c r="F119" s="1906">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8">
        <f>'Revenues 9-14'!D167</f>
        <v>0</v>
      </c>
      <c r="G120" s="930"/>
    </row>
    <row r="121" spans="1:7" x14ac:dyDescent="0.2">
      <c r="A121" s="927" t="s">
        <v>500</v>
      </c>
      <c r="B121" s="927" t="s">
        <v>2018</v>
      </c>
      <c r="C121" s="928">
        <f>'Revenues 9-14'!B168</f>
        <v>3999</v>
      </c>
      <c r="D121" s="929" t="s">
        <v>543</v>
      </c>
      <c r="E121" s="931"/>
      <c r="F121" s="1788">
        <f>SUM('Revenues 9-14'!C168:G168,'Revenues 9-14'!J168)</f>
        <v>4244</v>
      </c>
      <c r="G121" s="930"/>
    </row>
    <row r="122" spans="1:7" x14ac:dyDescent="0.2">
      <c r="A122" s="927" t="s">
        <v>459</v>
      </c>
      <c r="B122" s="927" t="s">
        <v>2019</v>
      </c>
      <c r="C122" s="932">
        <f>'Revenues 9-14'!B177</f>
        <v>4045</v>
      </c>
      <c r="D122" s="929" t="str">
        <f>'Revenues 9-14'!A177 &amp; " (Subtract)"</f>
        <v>Head Start (Subtract)</v>
      </c>
      <c r="E122" s="906"/>
      <c r="F122" s="1788">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2021</v>
      </c>
      <c r="C124" s="932">
        <v>4100</v>
      </c>
      <c r="D124" s="933" t="str">
        <f>'Revenues 9-14'!A188</f>
        <v>Total Title V</v>
      </c>
      <c r="E124" s="906"/>
      <c r="F124" s="1788">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8">
        <f>SUM('Revenues 9-14'!C198,'Revenues 9-14'!G198)</f>
        <v>158284</v>
      </c>
      <c r="G125" s="930"/>
    </row>
    <row r="126" spans="1:7" x14ac:dyDescent="0.2">
      <c r="A126" s="927" t="s">
        <v>668</v>
      </c>
      <c r="B126" s="927" t="s">
        <v>2023</v>
      </c>
      <c r="C126" s="932">
        <v>4300</v>
      </c>
      <c r="D126" s="933" t="str">
        <f>'Revenues 9-14'!A204</f>
        <v>Total Title I</v>
      </c>
      <c r="E126" s="906"/>
      <c r="F126" s="1788">
        <f>SUM('Revenues 9-14'!C204,'Revenues 9-14'!D204,'Revenues 9-14'!F204,'Revenues 9-14'!G204)</f>
        <v>201618</v>
      </c>
      <c r="G126" s="930"/>
    </row>
    <row r="127" spans="1:7" x14ac:dyDescent="0.2">
      <c r="A127" s="927" t="s">
        <v>668</v>
      </c>
      <c r="B127" s="927" t="s">
        <v>2024</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8">
        <f>SUM('Revenues 9-14'!C213:D213,'Revenues 9-14'!F213:G213)</f>
        <v>38904</v>
      </c>
      <c r="G128" s="930"/>
    </row>
    <row r="129" spans="1:7" x14ac:dyDescent="0.2">
      <c r="A129" s="927" t="s">
        <v>668</v>
      </c>
      <c r="B129" s="927" t="s">
        <v>2026</v>
      </c>
      <c r="C129" s="932">
        <f>'Revenues 9-14'!B214</f>
        <v>4625</v>
      </c>
      <c r="D129" s="933" t="str">
        <f>'Revenues 9-14'!A214</f>
        <v>Fed - Spec Education - IDEA - Room &amp; Board</v>
      </c>
      <c r="E129" s="906"/>
      <c r="F129" s="1788">
        <f>SUM('Revenues 9-14'!C214,'Revenues 9-14'!D214,'Revenues 9-14'!F214,'Revenues 9-14'!G214)</f>
        <v>37801</v>
      </c>
      <c r="G129" s="930"/>
    </row>
    <row r="130" spans="1:7" x14ac:dyDescent="0.2">
      <c r="A130" s="927" t="s">
        <v>668</v>
      </c>
      <c r="B130" s="927" t="s">
        <v>2027</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2028</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8">
        <v>0</v>
      </c>
      <c r="G138" s="905"/>
    </row>
    <row r="139" spans="1:7" s="867" customFormat="1" hidden="1" x14ac:dyDescent="0.2">
      <c r="A139" s="934" t="s">
        <v>206</v>
      </c>
      <c r="B139" s="934" t="s">
        <v>2035</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2043</v>
      </c>
      <c r="C157" s="940" t="s">
        <v>841</v>
      </c>
      <c r="D157" s="941" t="s">
        <v>777</v>
      </c>
      <c r="E157" s="942"/>
      <c r="F157" s="1788">
        <f>SUM(F133:F156)</f>
        <v>0</v>
      </c>
      <c r="G157" s="905"/>
    </row>
    <row r="158" spans="1:7" s="867" customFormat="1" x14ac:dyDescent="0.2">
      <c r="A158" s="938" t="s">
        <v>459</v>
      </c>
      <c r="B158" s="939" t="s">
        <v>2044</v>
      </c>
      <c r="C158" s="940" t="s">
        <v>1427</v>
      </c>
      <c r="D158" s="941" t="s">
        <v>1428</v>
      </c>
      <c r="E158" s="942"/>
      <c r="F158" s="1788">
        <f>SUM('Revenues 9-14'!C253)</f>
        <v>0</v>
      </c>
      <c r="G158" s="905"/>
    </row>
    <row r="159" spans="1:7" s="867" customFormat="1" x14ac:dyDescent="0.2">
      <c r="A159" s="938" t="s">
        <v>500</v>
      </c>
      <c r="B159" s="939" t="s">
        <v>2045</v>
      </c>
      <c r="C159" s="940" t="s">
        <v>1466</v>
      </c>
      <c r="D159" s="941" t="s">
        <v>1467</v>
      </c>
      <c r="E159" s="942"/>
      <c r="F159" s="1788">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6">
        <f>SUM('Revenues 9-14'!C259,'Revenues 9-14'!D259,'Revenues 9-14'!F259,'Revenues 9-14'!G259)</f>
        <v>27472</v>
      </c>
      <c r="G164" s="930"/>
    </row>
    <row r="165" spans="1:7" x14ac:dyDescent="0.2">
      <c r="A165" s="927" t="s">
        <v>668</v>
      </c>
      <c r="B165" s="927" t="s">
        <v>2051</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8">
        <f>SUM('Revenues 9-14'!C263:D263,'Revenues 9-14'!F263:G263)</f>
        <v>11180</v>
      </c>
      <c r="G168" s="947">
        <v>6320</v>
      </c>
    </row>
    <row r="169" spans="1:7" x14ac:dyDescent="0.2">
      <c r="A169" s="927" t="s">
        <v>668</v>
      </c>
      <c r="B169" s="927" t="s">
        <v>2053</v>
      </c>
      <c r="C169" s="932">
        <f>'Revenues 9-14'!B264</f>
        <v>4992</v>
      </c>
      <c r="D169" s="933" t="str">
        <f>'Revenues 9-14'!A264</f>
        <v>Medicaid Matching Funds - Fee-for-Service Program</v>
      </c>
      <c r="E169" s="906"/>
      <c r="F169" s="1788">
        <f>SUM('Revenues 9-14'!C264:D264,'Revenues 9-14'!F264:G264)</f>
        <v>91723</v>
      </c>
      <c r="G169" s="947"/>
    </row>
    <row r="170" spans="1:7" x14ac:dyDescent="0.2">
      <c r="A170" s="948" t="s">
        <v>668</v>
      </c>
      <c r="B170" s="944" t="s">
        <v>2054</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1919</v>
      </c>
      <c r="C171" s="1919">
        <v>3100</v>
      </c>
      <c r="D171" s="1920" t="s">
        <v>1921</v>
      </c>
      <c r="E171" s="906"/>
      <c r="F171" s="1905">
        <v>243157</v>
      </c>
      <c r="G171" s="927"/>
    </row>
    <row r="172" spans="1:7" x14ac:dyDescent="0.2">
      <c r="A172" s="1917" t="s">
        <v>664</v>
      </c>
      <c r="B172" s="1918" t="s">
        <v>1919</v>
      </c>
      <c r="C172" s="1919">
        <v>3300</v>
      </c>
      <c r="D172" s="1920" t="s">
        <v>1922</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2055</v>
      </c>
      <c r="E174" s="1786" t="s">
        <v>958</v>
      </c>
      <c r="F174" s="1787">
        <f>SUM(F84:F132,F157:F172)</f>
        <v>1543689</v>
      </c>
    </row>
    <row r="175" spans="1:7" ht="12" customHeight="1" x14ac:dyDescent="0.2">
      <c r="A175" s="1769"/>
      <c r="B175" s="1783"/>
      <c r="C175" s="1784"/>
      <c r="D175" s="1785" t="s">
        <v>2056</v>
      </c>
      <c r="E175" s="1786"/>
      <c r="F175" s="1788">
        <f>'PCTC-OEPP 27-28'!F77-F174</f>
        <v>5402214</v>
      </c>
    </row>
    <row r="176" spans="1:7" ht="12" customHeight="1" x14ac:dyDescent="0.2">
      <c r="A176" s="1769"/>
      <c r="B176" s="1783"/>
      <c r="C176" s="1784"/>
      <c r="D176" s="1785" t="s">
        <v>1817</v>
      </c>
      <c r="E176" s="1786"/>
      <c r="F176" s="1788">
        <f>'Cap Outlay Deprec 26'!I18</f>
        <v>419431</v>
      </c>
    </row>
    <row r="177" spans="1:7" ht="12" customHeight="1" x14ac:dyDescent="0.2">
      <c r="A177" s="1769"/>
      <c r="B177" s="1783"/>
      <c r="C177" s="1784"/>
      <c r="D177" s="1785" t="s">
        <v>2057</v>
      </c>
      <c r="E177" s="1786"/>
      <c r="F177" s="1788">
        <f>F175+F176</f>
        <v>5821645</v>
      </c>
    </row>
    <row r="178" spans="1:7" ht="12" customHeight="1" x14ac:dyDescent="0.2">
      <c r="A178" s="1769"/>
      <c r="B178" s="1789"/>
      <c r="C178" s="1784"/>
      <c r="D178" s="1785" t="str">
        <f>D78</f>
        <v>9 Month ADA from District Average Daily Attendance/Prior General State Aid Inquiry 2018-2019</v>
      </c>
      <c r="E178" s="1786"/>
      <c r="F178" s="1790">
        <f>'PCTC-OEPP 27-28'!F78</f>
        <v>578</v>
      </c>
      <c r="G178" s="930"/>
    </row>
    <row r="179" spans="1:7" ht="12" customHeight="1" thickBot="1" x14ac:dyDescent="0.25">
      <c r="A179" s="1769"/>
      <c r="B179" s="1789"/>
      <c r="C179" s="1784"/>
      <c r="D179" s="1785" t="s">
        <v>2058</v>
      </c>
      <c r="E179" s="1786" t="s">
        <v>1545</v>
      </c>
      <c r="F179" s="1791">
        <f>F177/F178</f>
        <v>10072.050173010381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1" bottom="0.65" header="0.69" footer="0.38"/>
  <pageSetup scale="70" firstPageNumber="33" orientation="portrait" useFirstPageNumber="1" r:id="rId2"/>
  <headerFooter alignWithMargins="0">
    <oddHeader>&amp;CSalem Community High School District #600</oddHeader>
    <oddFooter>&amp;L&amp;9See accompanying notes to the financial statements.&amp;C-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7"/>
  <sheetViews>
    <sheetView showGridLines="0" topLeftCell="A14" zoomScaleNormal="100" workbookViewId="0">
      <selection activeCell="A31" sqref="A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0" t="s">
        <v>1833</v>
      </c>
      <c r="B14" s="1661"/>
      <c r="C14" s="1661"/>
      <c r="D14" s="1661"/>
      <c r="E14" s="1661"/>
      <c r="F14" s="1661"/>
      <c r="G14" s="1662"/>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5" t="s">
        <v>2085</v>
      </c>
      <c r="B17" s="1936" t="s">
        <v>2085</v>
      </c>
      <c r="C17" s="1937" t="s">
        <v>2085</v>
      </c>
      <c r="D17" s="1938" t="s">
        <v>2085</v>
      </c>
      <c r="E17" s="1540">
        <f t="shared" ref="E17:E37" si="0">IF(D17&lt;=25000,D17,IF(D17&gt;25000,25000,0))</f>
        <v>25000</v>
      </c>
      <c r="F17" s="1931">
        <f t="shared" ref="F17:F1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7"/>
    </row>
    <row r="18" spans="1:8" x14ac:dyDescent="0.25">
      <c r="A18" s="1653"/>
      <c r="B18" s="1933"/>
      <c r="C18" s="1655"/>
      <c r="D18" s="1843"/>
      <c r="E18" s="1540">
        <f t="shared" ref="E18:E36" si="2">IF(D18&lt;=25000,D18,IF(D18&gt;25000,25000,0))</f>
        <v>0</v>
      </c>
      <c r="F18" s="1931">
        <f t="shared" si="1"/>
        <v>0</v>
      </c>
      <c r="G18" s="1792">
        <f t="shared" ref="G18:G36" si="3">IF(F18=0,0,D18-F18)</f>
        <v>0</v>
      </c>
    </row>
    <row r="19" spans="1:8" x14ac:dyDescent="0.25">
      <c r="A19" s="1653"/>
      <c r="B19" s="1933"/>
      <c r="C19" s="1655"/>
      <c r="D19" s="1843"/>
      <c r="E19" s="1540">
        <f t="shared" si="2"/>
        <v>0</v>
      </c>
      <c r="F19" s="1931">
        <f t="shared" si="1"/>
        <v>0</v>
      </c>
      <c r="G19" s="1792">
        <f t="shared" si="3"/>
        <v>0</v>
      </c>
    </row>
    <row r="20" spans="1:8" x14ac:dyDescent="0.25">
      <c r="A20" s="1653"/>
      <c r="B20" s="1666"/>
      <c r="C20" s="1654"/>
      <c r="D20" s="1843"/>
      <c r="E20" s="1540">
        <f t="shared" ref="E20" si="4">IF(D20&lt;=25000,D20,IF(D20&gt;25000,25000,0))</f>
        <v>0</v>
      </c>
      <c r="F20" s="1931">
        <f t="shared" ref="F20:F36" si="5">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0</v>
      </c>
      <c r="G20" s="1792">
        <f t="shared" ref="G20" si="6">IF(F20=0,0,D20-F20)</f>
        <v>0</v>
      </c>
    </row>
    <row r="21" spans="1:8" x14ac:dyDescent="0.25">
      <c r="A21" s="1653"/>
      <c r="B21" s="1666"/>
      <c r="C21" s="1654"/>
      <c r="D21" s="1843"/>
      <c r="E21" s="1540">
        <f t="shared" ref="E21:E29" si="7">IF(D21&lt;=25000,D21,IF(D21&gt;25000,25000,0))</f>
        <v>0</v>
      </c>
      <c r="F21" s="1931">
        <f t="shared" si="5"/>
        <v>0</v>
      </c>
      <c r="G21" s="1792">
        <f t="shared" ref="G21:G29" si="8">IF(F21=0,0,D21-F21)</f>
        <v>0</v>
      </c>
    </row>
    <row r="22" spans="1:8" x14ac:dyDescent="0.25">
      <c r="A22" s="1653"/>
      <c r="B22" s="1666"/>
      <c r="C22" s="1654"/>
      <c r="D22" s="1843"/>
      <c r="E22" s="1540">
        <f t="shared" si="7"/>
        <v>0</v>
      </c>
      <c r="F22" s="1931">
        <f t="shared" si="5"/>
        <v>0</v>
      </c>
      <c r="G22" s="1792">
        <f t="shared" si="8"/>
        <v>0</v>
      </c>
    </row>
    <row r="23" spans="1:8" x14ac:dyDescent="0.25">
      <c r="A23" s="1653"/>
      <c r="B23" s="1666"/>
      <c r="C23" s="1654"/>
      <c r="D23" s="1843"/>
      <c r="E23" s="1540">
        <f t="shared" si="7"/>
        <v>0</v>
      </c>
      <c r="F23" s="1931">
        <f t="shared" si="5"/>
        <v>0</v>
      </c>
      <c r="G23" s="1792">
        <f t="shared" si="8"/>
        <v>0</v>
      </c>
    </row>
    <row r="24" spans="1:8" x14ac:dyDescent="0.25">
      <c r="A24" s="1653"/>
      <c r="B24" s="1666"/>
      <c r="C24" s="1654"/>
      <c r="D24" s="1843"/>
      <c r="E24" s="1540">
        <f t="shared" si="7"/>
        <v>0</v>
      </c>
      <c r="F24" s="1931">
        <f t="shared" si="5"/>
        <v>0</v>
      </c>
      <c r="G24" s="1792">
        <f t="shared" si="8"/>
        <v>0</v>
      </c>
    </row>
    <row r="25" spans="1:8" x14ac:dyDescent="0.25">
      <c r="A25" s="1653"/>
      <c r="B25" s="1666"/>
      <c r="C25" s="1654"/>
      <c r="D25" s="1843"/>
      <c r="E25" s="1540">
        <f t="shared" si="7"/>
        <v>0</v>
      </c>
      <c r="F25" s="1931">
        <f t="shared" si="5"/>
        <v>0</v>
      </c>
      <c r="G25" s="1792">
        <f t="shared" si="8"/>
        <v>0</v>
      </c>
    </row>
    <row r="26" spans="1:8" x14ac:dyDescent="0.25">
      <c r="A26" s="1653"/>
      <c r="B26" s="1836"/>
      <c r="C26" s="1654"/>
      <c r="D26" s="1843"/>
      <c r="E26" s="1540">
        <f t="shared" si="7"/>
        <v>0</v>
      </c>
      <c r="F26" s="1931">
        <f t="shared" si="5"/>
        <v>0</v>
      </c>
      <c r="G26" s="1792">
        <f t="shared" si="8"/>
        <v>0</v>
      </c>
    </row>
    <row r="27" spans="1:8" x14ac:dyDescent="0.25">
      <c r="A27" s="1653"/>
      <c r="B27" s="1836"/>
      <c r="C27" s="1654"/>
      <c r="D27" s="1843"/>
      <c r="E27" s="1540">
        <f t="shared" si="7"/>
        <v>0</v>
      </c>
      <c r="F27" s="1931">
        <f t="shared" si="5"/>
        <v>0</v>
      </c>
      <c r="G27" s="1792">
        <f t="shared" si="8"/>
        <v>0</v>
      </c>
    </row>
    <row r="28" spans="1:8" x14ac:dyDescent="0.25">
      <c r="A28" s="1653"/>
      <c r="B28" s="1666"/>
      <c r="C28" s="1654"/>
      <c r="D28" s="1843"/>
      <c r="E28" s="1540">
        <f t="shared" si="7"/>
        <v>0</v>
      </c>
      <c r="F28" s="1931">
        <f t="shared" si="5"/>
        <v>0</v>
      </c>
      <c r="G28" s="1792">
        <f t="shared" si="8"/>
        <v>0</v>
      </c>
    </row>
    <row r="29" spans="1:8" x14ac:dyDescent="0.25">
      <c r="A29" s="1653"/>
      <c r="B29" s="1666"/>
      <c r="C29" s="1654"/>
      <c r="D29" s="1843"/>
      <c r="E29" s="1540">
        <f t="shared" si="7"/>
        <v>0</v>
      </c>
      <c r="F29" s="1931">
        <f t="shared" si="5"/>
        <v>0</v>
      </c>
      <c r="G29" s="1792">
        <f t="shared" si="8"/>
        <v>0</v>
      </c>
    </row>
    <row r="30" spans="1:8" x14ac:dyDescent="0.25">
      <c r="A30" s="1653"/>
      <c r="B30" s="1666"/>
      <c r="C30" s="1654"/>
      <c r="D30" s="1843"/>
      <c r="E30" s="1540"/>
      <c r="F30" s="1931"/>
      <c r="G30" s="1792"/>
    </row>
    <row r="31" spans="1:8" x14ac:dyDescent="0.25">
      <c r="A31" s="1653"/>
      <c r="B31" s="1666"/>
      <c r="C31" s="1654"/>
      <c r="D31" s="1843"/>
      <c r="E31" s="1540">
        <f t="shared" ref="E31:E35" si="9">IF(D31&lt;=25000,D31,IF(D31&gt;25000,25000,0))</f>
        <v>0</v>
      </c>
      <c r="F31" s="1931">
        <f t="shared" si="5"/>
        <v>0</v>
      </c>
      <c r="G31" s="1792">
        <f t="shared" ref="G31:G35" si="10">IF(F31=0,0,D31-F31)</f>
        <v>0</v>
      </c>
    </row>
    <row r="32" spans="1:8" x14ac:dyDescent="0.25">
      <c r="A32" s="1653"/>
      <c r="B32" s="1666"/>
      <c r="C32" s="1654"/>
      <c r="D32" s="1843"/>
      <c r="E32" s="1540">
        <f t="shared" si="9"/>
        <v>0</v>
      </c>
      <c r="F32" s="1931">
        <f t="shared" si="5"/>
        <v>0</v>
      </c>
      <c r="G32" s="1792">
        <f t="shared" si="10"/>
        <v>0</v>
      </c>
    </row>
    <row r="33" spans="1:7" x14ac:dyDescent="0.25">
      <c r="A33" s="1653"/>
      <c r="B33" s="1666"/>
      <c r="C33" s="1654"/>
      <c r="D33" s="1843"/>
      <c r="E33" s="1540">
        <f t="shared" si="9"/>
        <v>0</v>
      </c>
      <c r="F33" s="1931">
        <f t="shared" si="5"/>
        <v>0</v>
      </c>
      <c r="G33" s="1792">
        <f t="shared" si="10"/>
        <v>0</v>
      </c>
    </row>
    <row r="34" spans="1:7" x14ac:dyDescent="0.25">
      <c r="A34" s="1653"/>
      <c r="B34" s="1666"/>
      <c r="C34" s="1654"/>
      <c r="D34" s="1843"/>
      <c r="E34" s="1540">
        <f t="shared" si="9"/>
        <v>0</v>
      </c>
      <c r="F34" s="1931">
        <f t="shared" si="5"/>
        <v>0</v>
      </c>
      <c r="G34" s="1792">
        <f t="shared" si="10"/>
        <v>0</v>
      </c>
    </row>
    <row r="35" spans="1:7" x14ac:dyDescent="0.25">
      <c r="A35" s="1653"/>
      <c r="B35" s="1666"/>
      <c r="C35" s="1654"/>
      <c r="D35" s="1843"/>
      <c r="E35" s="1540">
        <f t="shared" si="9"/>
        <v>0</v>
      </c>
      <c r="F35" s="1931">
        <f t="shared" si="5"/>
        <v>0</v>
      </c>
      <c r="G35" s="1792">
        <f t="shared" si="10"/>
        <v>0</v>
      </c>
    </row>
    <row r="36" spans="1:7" x14ac:dyDescent="0.25">
      <c r="A36" s="1653"/>
      <c r="B36" s="1665"/>
      <c r="C36" s="1654"/>
      <c r="D36" s="1843"/>
      <c r="E36" s="1540">
        <f t="shared" si="2"/>
        <v>0</v>
      </c>
      <c r="F36" s="1931">
        <f t="shared" si="5"/>
        <v>0</v>
      </c>
      <c r="G36" s="1792">
        <f t="shared" si="3"/>
        <v>0</v>
      </c>
    </row>
    <row r="37" spans="1:7" x14ac:dyDescent="0.25">
      <c r="A37" s="1795" t="s">
        <v>156</v>
      </c>
      <c r="B37" s="1796"/>
      <c r="C37" s="1797"/>
      <c r="D37" s="1793">
        <f>SUM(D17:D36)</f>
        <v>0</v>
      </c>
      <c r="E37" s="1541">
        <f t="shared" si="0"/>
        <v>0</v>
      </c>
      <c r="F37" s="1932">
        <f>SUM(F17:F36)</f>
        <v>0</v>
      </c>
      <c r="G37" s="1794">
        <f>SUM(G17:G36)</f>
        <v>0</v>
      </c>
    </row>
  </sheetData>
  <sheetProtection selectLockedCells="1"/>
  <mergeCells count="6">
    <mergeCell ref="A13:G13"/>
    <mergeCell ref="A4:G5"/>
    <mergeCell ref="A11:G11"/>
    <mergeCell ref="A7:G7"/>
    <mergeCell ref="A8:G8"/>
    <mergeCell ref="A9:G9"/>
  </mergeCells>
  <pageMargins left="0.53" right="0.2" top="0.5" bottom="0" header="0.3" footer="0.22"/>
  <pageSetup scale="78" firstPageNumber="35" fitToHeight="0" orientation="landscape" useFirstPageNumber="1" r:id="rId1"/>
  <headerFooter>
    <oddHeader>&amp;CSalem Community High School District #600</oddHeader>
    <oddFooter>&amp;L&amp;9See accompanying notes to the financial statements.&amp;C-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colorId="8"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160239</v>
      </c>
      <c r="F10" s="974"/>
      <c r="G10" s="975"/>
      <c r="H10" s="162"/>
      <c r="I10" s="162"/>
    </row>
    <row r="11" spans="1:9" s="668" customFormat="1" ht="22.5" customHeight="1" x14ac:dyDescent="0.2">
      <c r="A11" s="2285" t="s">
        <v>1976</v>
      </c>
      <c r="B11" s="2286"/>
      <c r="C11" s="2286"/>
      <c r="D11" s="2287"/>
      <c r="E11" s="977">
        <v>26395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3966235</v>
      </c>
      <c r="F19" s="1798"/>
      <c r="G19" s="1800">
        <f>'Expenditures 15-22'!K33-SUM('Expenditures 15-22'!G33,'Expenditures 15-22'!I33)+'Expenditures 15-22'!D229</f>
        <v>3966235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348837</v>
      </c>
      <c r="F21" s="1801"/>
      <c r="G21" s="1804">
        <f>'Expenditures 15-22'!K42-SUM('Expenditures 15-22'!G42,'Expenditures 15-22'!I42)+'Expenditures 15-22'!K120-SUM('Expenditures 15-22'!G120,'Expenditures 15-22'!I120)+'Expenditures 15-22'!K180-SUM('Expenditures 15-22'!G180,'Expenditures 15-22'!I180)+'Expenditures 15-22'!D238</f>
        <v>348837</v>
      </c>
      <c r="H21" s="987"/>
      <c r="I21" s="162"/>
    </row>
    <row r="22" spans="1:9" s="668" customFormat="1" ht="12" customHeight="1" x14ac:dyDescent="0.2">
      <c r="A22" s="994" t="s">
        <v>564</v>
      </c>
      <c r="B22" s="995"/>
      <c r="C22" s="993">
        <v>2200</v>
      </c>
      <c r="D22" s="1801"/>
      <c r="E22" s="1803">
        <f>'Expenditures 15-22'!K47-SUM('Expenditures 15-22'!G47,'Expenditures 15-22'!I47)+'Expenditures 15-22'!D243</f>
        <v>114562</v>
      </c>
      <c r="F22" s="1801"/>
      <c r="G22" s="1804">
        <f>'Expenditures 15-22'!K47-SUM('Expenditures 15-22'!G47,'Expenditures 15-22'!I47)+'Expenditures 15-22'!D243</f>
        <v>114562</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379191</v>
      </c>
      <c r="F23" s="1801"/>
      <c r="G23" s="1803">
        <f>'Expenditures 15-22'!K53-SUM('Expenditures 15-22'!G53,'Expenditures 15-22'!I53)+'Expenditures 15-22'!D257+'Expenditures 15-22'!K330-SUM('Expenditures 15-22'!G330,'Expenditures 15-22'!I330)</f>
        <v>379191</v>
      </c>
      <c r="H23" s="987"/>
      <c r="I23" s="162"/>
    </row>
    <row r="24" spans="1:9" s="668" customFormat="1" ht="12" customHeight="1" x14ac:dyDescent="0.2">
      <c r="A24" s="994" t="s">
        <v>566</v>
      </c>
      <c r="B24" s="995"/>
      <c r="C24" s="993">
        <v>2400</v>
      </c>
      <c r="D24" s="1801"/>
      <c r="E24" s="1803">
        <f>'Expenditures 15-22'!K57-SUM('Expenditures 15-22'!G57,'Expenditures 15-22'!I57)+'Expenditures 15-22'!D261</f>
        <v>276813</v>
      </c>
      <c r="F24" s="1801"/>
      <c r="G24" s="1804">
        <f>'Expenditures 15-22'!K57-SUM('Expenditures 15-22'!G57,'Expenditures 15-22'!I57)+'Expenditures 15-22'!D261</f>
        <v>276813</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43977</v>
      </c>
      <c r="E27" s="1803">
        <f>E8</f>
        <v>0</v>
      </c>
      <c r="F27" s="1803">
        <f>'Expenditures 15-22'!K60-SUM('Expenditures 15-22'!G60,'Expenditures 15-22'!I60)+'Expenditures 15-22'!D264-E8</f>
        <v>43977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865513</v>
      </c>
      <c r="F28" s="1805">
        <f>'Expenditures 15-22'!K61-SUM('Expenditures 15-22'!G61,'Expenditures 15-22'!I61)+'Expenditures 15-22'!K124-SUM('Expenditures 15-22'!G124,'Expenditures 15-22'!I124)+'Expenditures 15-22'!D266-E9</f>
        <v>865513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269669</v>
      </c>
      <c r="F29" s="1801"/>
      <c r="G29" s="1804">
        <f>'Expenditures 15-22'!K62-SUM('Expenditures 15-22'!G62,'Expenditures 15-22'!I62)+'Expenditures 15-22'!K125-SUM('Expenditures 15-22'!G125,'Expenditures 15-22'!I125)+'Expenditures 15-22'!K182-SUM('Expenditures 15-22'!G182,'Expenditures 15-22'!I182)+'Expenditures 15-22'!D267</f>
        <v>269669</v>
      </c>
      <c r="H29" s="985"/>
    </row>
    <row r="30" spans="1:9" ht="12" customHeight="1" x14ac:dyDescent="0.2">
      <c r="A30" s="994" t="s">
        <v>100</v>
      </c>
      <c r="B30" s="997"/>
      <c r="C30" s="993">
        <v>2560</v>
      </c>
      <c r="D30" s="1801"/>
      <c r="E30" s="1803">
        <f>'Expenditures 15-22'!K63-SUM('Expenditures 15-22'!G63,'Expenditures 15-22'!I63)+'Expenditures 15-22'!D268-E10</f>
        <v>194996</v>
      </c>
      <c r="F30" s="1801"/>
      <c r="G30" s="1803">
        <f>'Expenditures 15-22'!K63-SUM('Expenditures 15-22'!G63,'Expenditures 15-22'!I63)+'Expenditures 15-22'!D268-E10</f>
        <v>194996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68</v>
      </c>
      <c r="F38" s="1801"/>
      <c r="G38" s="1803">
        <f>'Expenditures 15-22'!K73-SUM('Expenditures 15-22'!G73,'Expenditures 15-22'!I73)+'Expenditures 15-22'!K128-SUM('Expenditures 15-22'!G128,'Expenditures 15-22'!I128)+'Expenditures 15-22'!K183-SUM('Expenditures 15-22'!G183,'Expenditures 15-22'!I183)+'Expenditures 15-22'!D278</f>
        <v>68</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29'!G37</f>
        <v>0</v>
      </c>
      <c r="F40" s="1801"/>
      <c r="G40" s="1805">
        <f>-'Contracts Paid in CY 29'!G37</f>
        <v>0</v>
      </c>
    </row>
    <row r="41" spans="1:7" ht="12" customHeight="1" x14ac:dyDescent="0.2">
      <c r="A41" s="998" t="s">
        <v>156</v>
      </c>
      <c r="B41" s="999"/>
      <c r="C41" s="1000"/>
      <c r="D41" s="1805">
        <f>SUM(D19:D39)</f>
        <v>43977</v>
      </c>
      <c r="E41" s="1805">
        <f>SUM(E19:E40)</f>
        <v>6415884</v>
      </c>
      <c r="F41" s="1805">
        <f>SUM(F19:F39)</f>
        <v>909490</v>
      </c>
      <c r="G41" s="1805">
        <f>SUM(G19:G40)</f>
        <v>5550371</v>
      </c>
    </row>
    <row r="42" spans="1:7" x14ac:dyDescent="0.2">
      <c r="A42" s="987"/>
      <c r="B42" s="162"/>
      <c r="C42" s="1001"/>
      <c r="D42" s="2283" t="s">
        <v>522</v>
      </c>
      <c r="E42" s="2284"/>
      <c r="F42" s="1002" t="s">
        <v>523</v>
      </c>
      <c r="G42" s="1003"/>
    </row>
    <row r="43" spans="1:7" ht="12" customHeight="1" x14ac:dyDescent="0.2">
      <c r="A43" s="987"/>
      <c r="B43" s="162"/>
      <c r="C43" s="1001"/>
      <c r="D43" s="1806" t="s">
        <v>473</v>
      </c>
      <c r="E43" s="1807">
        <f>D41</f>
        <v>43977</v>
      </c>
      <c r="F43" s="1806" t="s">
        <v>473</v>
      </c>
      <c r="G43" s="1807">
        <f>F41</f>
        <v>909490</v>
      </c>
    </row>
    <row r="44" spans="1:7" ht="12" customHeight="1" x14ac:dyDescent="0.2">
      <c r="A44" s="987"/>
      <c r="B44" s="162"/>
      <c r="C44" s="1001"/>
      <c r="D44" s="1806" t="s">
        <v>474</v>
      </c>
      <c r="E44" s="1807">
        <f>E41</f>
        <v>6415884</v>
      </c>
      <c r="F44" s="1806" t="s">
        <v>474</v>
      </c>
      <c r="G44" s="1807">
        <f>G41</f>
        <v>5550371</v>
      </c>
    </row>
    <row r="45" spans="1:7" ht="12" customHeight="1" x14ac:dyDescent="0.2">
      <c r="A45" s="987"/>
      <c r="B45" s="162"/>
      <c r="C45" s="162"/>
      <c r="D45" s="1808" t="s">
        <v>1006</v>
      </c>
      <c r="E45" s="1809">
        <f>(E43/E44)</f>
        <v>6.8543944996511778E-3</v>
      </c>
      <c r="F45" s="1808" t="s">
        <v>1006</v>
      </c>
      <c r="G45" s="1809">
        <f>(G43/G44)</f>
        <v>0.16386111847298135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49" header="0.39" footer="0.22"/>
  <pageSetup scale="85" firstPageNumber="30" orientation="landscape" useFirstPageNumber="1" r:id="rId1"/>
  <headerFooter alignWithMargins="0">
    <oddHeader>&amp;C&amp;"Arial,Bold"Salem Community High School District #600
ESTIMATED INDIRECT COST DATA</oddHeader>
    <oddFooter>&amp;L&amp;9See accompanying notes to the financial statements.&amp;C- 36 -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7" sqref="A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2" t="s">
        <v>1379</v>
      </c>
      <c r="B1" s="2302"/>
      <c r="C1" s="2302"/>
      <c r="D1" s="2302"/>
      <c r="E1" s="2302"/>
      <c r="F1" s="2302"/>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303" t="s">
        <v>1546</v>
      </c>
      <c r="B5" s="2304"/>
      <c r="C5" s="2305"/>
      <c r="D5" s="2305"/>
      <c r="E5" s="2305"/>
      <c r="F5" s="2305"/>
    </row>
    <row r="6" spans="1:10" ht="12" customHeight="1" x14ac:dyDescent="0.25">
      <c r="A6" s="1849"/>
      <c r="B6" s="1850"/>
      <c r="C6" s="2306" t="str">
        <f>COVER!A17</f>
        <v>Salem CHSD 600</v>
      </c>
      <c r="D6" s="2306"/>
      <c r="E6" s="2306"/>
      <c r="F6" s="1851"/>
    </row>
    <row r="7" spans="1:10" ht="11.25" customHeight="1" thickBot="1" x14ac:dyDescent="0.3">
      <c r="A7" s="1849"/>
      <c r="B7" s="1850"/>
      <c r="C7" s="2307">
        <f>COVER!A13</f>
        <v>13058600016</v>
      </c>
      <c r="D7" s="2307"/>
      <c r="E7" s="2307"/>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2066</v>
      </c>
      <c r="D26" s="1864" t="s">
        <v>2066</v>
      </c>
      <c r="E26" s="1867" t="s">
        <v>2066</v>
      </c>
      <c r="F26" s="1866" t="s">
        <v>2086</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2066</v>
      </c>
      <c r="D32" s="1864" t="s">
        <v>2066</v>
      </c>
      <c r="E32" s="1867" t="s">
        <v>2066</v>
      </c>
      <c r="F32" s="1866" t="s">
        <v>2087</v>
      </c>
      <c r="H32" s="1877">
        <f t="shared" si="0"/>
        <v>5</v>
      </c>
      <c r="I32" s="1877">
        <f t="shared" si="1"/>
        <v>5</v>
      </c>
      <c r="J32" s="1877">
        <f t="shared" si="2"/>
        <v>5</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2"/>
      <c r="B39" s="1872"/>
      <c r="C39" s="1872"/>
      <c r="D39" s="1872"/>
      <c r="E39" s="1872"/>
      <c r="F39" s="1872"/>
    </row>
    <row r="40" spans="1:11" s="1869" customFormat="1" ht="12" customHeight="1" x14ac:dyDescent="0.25">
      <c r="A40" s="1873" t="s">
        <v>1391</v>
      </c>
      <c r="B40" s="1874"/>
      <c r="C40" s="2297"/>
      <c r="D40" s="2297"/>
      <c r="E40" s="2297"/>
      <c r="F40" s="2298"/>
      <c r="H40" s="1878"/>
      <c r="I40" s="1878"/>
      <c r="J40" s="1878"/>
      <c r="K40" s="1878"/>
    </row>
    <row r="41" spans="1:11" s="1869" customFormat="1" ht="12" customHeight="1" x14ac:dyDescent="0.25">
      <c r="A41" s="2299"/>
      <c r="B41" s="2300"/>
      <c r="C41" s="2300"/>
      <c r="D41" s="2300"/>
      <c r="E41" s="2300"/>
      <c r="F41" s="2301"/>
      <c r="H41" s="1878"/>
      <c r="I41" s="1878"/>
      <c r="J41" s="1878"/>
      <c r="K41" s="1878"/>
    </row>
    <row r="42" spans="1:11" s="1869" customFormat="1" ht="12" customHeight="1" x14ac:dyDescent="0.25">
      <c r="A42" s="2299"/>
      <c r="B42" s="2300"/>
      <c r="C42" s="2300"/>
      <c r="D42" s="2300"/>
      <c r="E42" s="2300"/>
      <c r="F42" s="2301"/>
      <c r="H42" s="1878"/>
      <c r="I42" s="1878"/>
      <c r="J42" s="1878"/>
      <c r="K42" s="1878"/>
    </row>
    <row r="43" spans="1:11" s="1869" customFormat="1" ht="15" x14ac:dyDescent="0.25">
      <c r="A43" s="2288"/>
      <c r="B43" s="2289"/>
      <c r="C43" s="2289"/>
      <c r="D43" s="2289"/>
      <c r="E43" s="2289"/>
      <c r="F43" s="2290"/>
      <c r="H43" s="1878"/>
      <c r="I43" s="1878"/>
      <c r="J43" s="1878"/>
      <c r="K43" s="1878"/>
    </row>
    <row r="44" spans="1:11" s="1869" customFormat="1" ht="12" hidden="1" customHeight="1" x14ac:dyDescent="0.25">
      <c r="A44" s="2288"/>
      <c r="B44" s="2289"/>
      <c r="C44" s="2289"/>
      <c r="D44" s="2289"/>
      <c r="E44" s="2289"/>
      <c r="F44" s="229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42" right="0.21" top="0.6" bottom="0.43" header="0.37" footer="0.23"/>
  <pageSetup scale="83" orientation="landscape" r:id="rId1"/>
  <headerFooter>
    <oddHeader>&amp;CSalem Community High School District #600</oddHeader>
    <oddFooter>&amp;L&amp;9See accompanying notes to the financial statements.&amp;C- 37 -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7" colorId="8"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5" t="str">
        <f>COVER!A17</f>
        <v>Salem CHSD 600</v>
      </c>
      <c r="J6" s="2316"/>
      <c r="Q6" s="1663"/>
    </row>
    <row r="7" spans="1:17" x14ac:dyDescent="0.2">
      <c r="A7" s="2317" t="s">
        <v>869</v>
      </c>
      <c r="B7" s="2318"/>
      <c r="C7" s="2318"/>
      <c r="D7" s="2318"/>
      <c r="E7" s="2319"/>
      <c r="F7" s="1017"/>
      <c r="G7" s="1009"/>
      <c r="H7" s="1016" t="s">
        <v>372</v>
      </c>
      <c r="I7" s="2320">
        <f>COVER!A13</f>
        <v>13058600016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1978</v>
      </c>
      <c r="F9" s="1023"/>
      <c r="G9" s="1023"/>
      <c r="H9" s="1895"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190124</v>
      </c>
      <c r="F12" s="1039"/>
      <c r="G12" s="1810">
        <f t="shared" ref="G12:G18" si="0">SUM(E12:F12)</f>
        <v>190124</v>
      </c>
      <c r="H12" s="1040">
        <v>208750</v>
      </c>
      <c r="I12" s="1039"/>
      <c r="J12" s="1810">
        <f t="shared" ref="J12:J18" si="1">SUM(H12:I12)</f>
        <v>208750</v>
      </c>
    </row>
    <row r="13" spans="1:17" ht="15" customHeight="1" x14ac:dyDescent="0.2">
      <c r="A13" s="1035">
        <v>2</v>
      </c>
      <c r="B13" s="1036" t="s">
        <v>42</v>
      </c>
      <c r="C13" s="1037"/>
      <c r="D13" s="1038">
        <v>2330</v>
      </c>
      <c r="E13" s="1810">
        <f>'Expenditures 15-22'!K51</f>
        <v>447</v>
      </c>
      <c r="F13" s="1039"/>
      <c r="G13" s="1810">
        <f t="shared" si="0"/>
        <v>447</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190571</v>
      </c>
      <c r="F19" s="1812">
        <f t="shared" si="2"/>
        <v>0</v>
      </c>
      <c r="G19" s="1812">
        <f t="shared" si="2"/>
        <v>190571</v>
      </c>
      <c r="H19" s="1812">
        <f t="shared" si="2"/>
        <v>208750</v>
      </c>
      <c r="I19" s="1812">
        <f t="shared" si="2"/>
        <v>0</v>
      </c>
      <c r="J19" s="1812">
        <f t="shared" si="2"/>
        <v>208750</v>
      </c>
    </row>
    <row r="20" spans="1:10" ht="13.5" thickTop="1" x14ac:dyDescent="0.2">
      <c r="A20" s="1035">
        <v>9</v>
      </c>
      <c r="B20" s="2327" t="s">
        <v>1980</v>
      </c>
      <c r="C20" s="2327"/>
      <c r="D20" s="2328"/>
      <c r="E20" s="1046"/>
      <c r="F20" s="1046"/>
      <c r="G20" s="1046"/>
      <c r="H20" s="1046"/>
      <c r="I20" s="1046"/>
      <c r="J20" s="1813">
        <f>IF(AND(G19&gt;0,J19&gt;0),(((J19-G19)/G19)),"Enter Budget Data")</f>
        <v>9.5392268498354943E-2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44" header="0.44" footer="0.33"/>
  <pageSetup scale="90" firstPageNumber="31" orientation="landscape" useFirstPageNumber="1" r:id="rId1"/>
  <headerFooter alignWithMargins="0">
    <oddHeader>&amp;CSalem Community High School District #600</oddHeader>
    <oddFooter>&amp;LSee accompanying notes to the financial statements.&amp;C- 38 -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view="pageLayout" zoomScaleNormal="110" workbookViewId="0">
      <selection activeCell="B25" sqref="B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2095</v>
      </c>
    </row>
    <row r="6" spans="1:2" x14ac:dyDescent="0.2">
      <c r="A6" s="1068">
        <v>2</v>
      </c>
      <c r="B6" s="329" t="s">
        <v>2096</v>
      </c>
    </row>
    <row r="7" spans="1:2" x14ac:dyDescent="0.2">
      <c r="A7" s="1068">
        <v>3</v>
      </c>
      <c r="B7" s="329" t="s">
        <v>2097</v>
      </c>
    </row>
    <row r="8" spans="1:2" x14ac:dyDescent="0.2">
      <c r="A8" s="1068"/>
      <c r="B8" s="329" t="s">
        <v>2098</v>
      </c>
    </row>
    <row r="9" spans="1:2" x14ac:dyDescent="0.2">
      <c r="A9" s="1068">
        <v>4</v>
      </c>
      <c r="B9" s="329" t="s">
        <v>2100</v>
      </c>
    </row>
    <row r="10" spans="1:2" x14ac:dyDescent="0.2">
      <c r="A10" s="1069"/>
      <c r="B10" s="329" t="s">
        <v>2099</v>
      </c>
    </row>
    <row r="11" spans="1:2" x14ac:dyDescent="0.2">
      <c r="A11" s="1068">
        <v>5</v>
      </c>
      <c r="B11" s="329" t="s">
        <v>2101</v>
      </c>
    </row>
    <row r="12" spans="1:2" x14ac:dyDescent="0.2">
      <c r="A12" s="1068">
        <v>6</v>
      </c>
      <c r="B12" s="329" t="s">
        <v>2102</v>
      </c>
    </row>
    <row r="13" spans="1:2" x14ac:dyDescent="0.2">
      <c r="A13" s="1068">
        <v>7</v>
      </c>
      <c r="B13" s="329" t="s">
        <v>2103</v>
      </c>
    </row>
    <row r="14" spans="1:2" x14ac:dyDescent="0.2">
      <c r="A14" s="1068">
        <v>8</v>
      </c>
      <c r="B14" s="329" t="s">
        <v>2104</v>
      </c>
    </row>
    <row r="15" spans="1:2" x14ac:dyDescent="0.2">
      <c r="A15" s="1068">
        <v>9</v>
      </c>
      <c r="B15" s="329" t="s">
        <v>2105</v>
      </c>
    </row>
    <row r="16" spans="1:2" x14ac:dyDescent="0.2">
      <c r="A16" s="1068">
        <v>10</v>
      </c>
      <c r="B16" s="329" t="s">
        <v>2106</v>
      </c>
    </row>
    <row r="17" spans="1:2" x14ac:dyDescent="0.2">
      <c r="A17" s="1068">
        <v>11</v>
      </c>
      <c r="B17" s="329" t="s">
        <v>2107</v>
      </c>
    </row>
    <row r="18" spans="1:2" x14ac:dyDescent="0.2">
      <c r="A18" s="1068">
        <v>12</v>
      </c>
      <c r="B18" s="329" t="s">
        <v>2108</v>
      </c>
    </row>
    <row r="19" spans="1:2" x14ac:dyDescent="0.2">
      <c r="A19" s="1068">
        <v>13</v>
      </c>
      <c r="B19" s="329" t="s">
        <v>2109</v>
      </c>
    </row>
    <row r="20" spans="1:2" x14ac:dyDescent="0.2">
      <c r="A20" s="1068">
        <v>14</v>
      </c>
      <c r="B20" s="329" t="s">
        <v>2110</v>
      </c>
    </row>
    <row r="21" spans="1:2" x14ac:dyDescent="0.2">
      <c r="A21" s="1068">
        <v>15</v>
      </c>
      <c r="B21" s="329" t="s">
        <v>2111</v>
      </c>
    </row>
    <row r="22" spans="1:2" x14ac:dyDescent="0.2">
      <c r="A22" s="1068">
        <v>16</v>
      </c>
      <c r="B22" s="329" t="s">
        <v>2112</v>
      </c>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row>
    <row r="66" spans="1:2" x14ac:dyDescent="0.2">
      <c r="B66" s="1070"/>
    </row>
  </sheetData>
  <phoneticPr fontId="14" type="noConversion"/>
  <pageMargins left="0.4" right="0.2" top="1.17" bottom="0.75" header="0.67" footer="0.44"/>
  <pageSetup scale="80" firstPageNumber="32" orientation="portrait" useFirstPageNumber="1" r:id="rId1"/>
  <headerFooter alignWithMargins="0">
    <oddHeader>&amp;CSalem Community High School District #600</oddHeader>
    <oddFooter>&amp;L&amp;9See accompanying notes to the financial statements.
&amp;C- 38 -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topLeftCell="A45"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19" right="0.16" top="0.65" bottom="0.5" header="0.43" footer="0.27"/>
  <pageSetup scale="84" firstPageNumber="7" fitToHeight="0" orientation="portrait" useFirstPageNumber="1" r:id="rId4"/>
  <headerFooter>
    <oddHeader>&amp;CSalem Community High School District #600</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75" right="0.75" top="1" bottom="1" header="0.5" footer="0.5"/>
  <pageSetup scale="80" firstPageNumber="33" orientation="portrait" useFirstPageNumber="1" r:id="rId1"/>
  <headerFooter alignWithMargins="0">
    <oddHeader>&amp;CSalem Community High School District #600</oddHeader>
    <oddFooter>&amp;LSee accompanying notes to the financial statements.
&amp;C- 40 -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8" sqref="F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2</xdr:col>
                <xdr:colOff>0</xdr:colOff>
                <xdr:row>4</xdr:row>
                <xdr:rowOff>0</xdr:rowOff>
              </from>
              <to>
                <xdr:col>3</xdr:col>
                <xdr:colOff>304800</xdr:colOff>
                <xdr:row>8</xdr:row>
                <xdr:rowOff>95250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6314198</v>
      </c>
      <c r="C8" s="1814">
        <f>'Acct Summary 7-8'!D8</f>
        <v>1237762</v>
      </c>
      <c r="D8" s="1814">
        <f>'Acct Summary 7-8'!F8</f>
        <v>377841</v>
      </c>
      <c r="E8" s="1814">
        <f>'Acct Summary 7-8'!I8</f>
        <v>110617</v>
      </c>
      <c r="F8" s="1814">
        <f>SUM(B8:E8)</f>
        <v>8040418</v>
      </c>
    </row>
    <row r="9" spans="1:8" s="1079" customFormat="1" ht="14.25" customHeight="1" thickBot="1" x14ac:dyDescent="0.25">
      <c r="A9" s="1078" t="s">
        <v>1369</v>
      </c>
      <c r="B9" s="1815">
        <f>'Acct Summary 7-8'!C17</f>
        <v>6030715</v>
      </c>
      <c r="C9" s="1815">
        <f>'Acct Summary 7-8'!D17</f>
        <v>2970873</v>
      </c>
      <c r="D9" s="1815">
        <f>'Acct Summary 7-8'!F17</f>
        <v>332141</v>
      </c>
      <c r="E9" s="1814"/>
      <c r="F9" s="1814">
        <f>SUM(B9:E9)</f>
        <v>9333729</v>
      </c>
    </row>
    <row r="10" spans="1:8" s="1079" customFormat="1" ht="14.25" thickTop="1" thickBot="1" x14ac:dyDescent="0.25">
      <c r="A10" s="1080" t="s">
        <v>1370</v>
      </c>
      <c r="B10" s="1816">
        <f>(B8-B9)</f>
        <v>283483</v>
      </c>
      <c r="C10" s="1816">
        <f>(C8-C9)</f>
        <v>-1733111</v>
      </c>
      <c r="D10" s="1816">
        <f>(D8-D9)</f>
        <v>45700</v>
      </c>
      <c r="E10" s="1815">
        <f>(E8-E9)</f>
        <v>110617</v>
      </c>
      <c r="F10" s="1817">
        <f>SUM(F8-F9)</f>
        <v>-1293311</v>
      </c>
    </row>
    <row r="11" spans="1:8" s="1079" customFormat="1" ht="14.25" thickTop="1" thickBot="1" x14ac:dyDescent="0.25">
      <c r="A11" s="1081" t="s">
        <v>1984</v>
      </c>
      <c r="B11" s="1818">
        <f>'Acct Summary 7-8'!C81</f>
        <v>4263500</v>
      </c>
      <c r="C11" s="1818">
        <f>'Acct Summary 7-8'!D81</f>
        <v>660571</v>
      </c>
      <c r="D11" s="1818">
        <f>'Acct Summary 7-8'!F81</f>
        <v>245637</v>
      </c>
      <c r="E11" s="1818">
        <f>'Acct Summary 7-8'!I81</f>
        <v>1481033</v>
      </c>
      <c r="F11" s="1819">
        <f>SUM(B11:E11)</f>
        <v>6650741</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&amp;CSalem Community High School District #600</oddHeader>
    <oddFooter>&amp;LSee accompanying notes to the financial statements.
&amp;C- 40 -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topLeftCell="A43" colorId="8" zoomScaleNormal="110" workbookViewId="0">
      <selection activeCell="C32" sqref="C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Header>&amp;CSalem Community High School District #600</oddHeader>
    <oddFooter>&amp;L&amp;8See accompanying notes to the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13058600016</v>
      </c>
    </row>
    <row r="3" spans="1:2" x14ac:dyDescent="0.2">
      <c r="A3" t="s">
        <v>956</v>
      </c>
      <c r="B3" s="138" t="str">
        <f>COVER!A15</f>
        <v>Marion</v>
      </c>
    </row>
    <row r="4" spans="1:2" x14ac:dyDescent="0.2">
      <c r="A4" t="s">
        <v>1007</v>
      </c>
      <c r="B4" s="138" t="str">
        <f>COVER!A17</f>
        <v>Salem CHSD 600</v>
      </c>
    </row>
    <row r="5" spans="1:2" x14ac:dyDescent="0.2">
      <c r="A5" t="s">
        <v>704</v>
      </c>
      <c r="B5" s="138" t="str">
        <f>COVER!A38</f>
        <v>Brad Detering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t="str">
        <f>'Aud Quest 2'!H53</f>
        <v>1/1/19999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1726200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4263500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4241572</v>
      </c>
      <c r="D92" s="2" t="str">
        <f t="shared" si="0"/>
        <v>Error?</v>
      </c>
    </row>
    <row r="93" spans="1:4" x14ac:dyDescent="0.2">
      <c r="A93" s="5">
        <v>32</v>
      </c>
      <c r="B93" s="138">
        <f>'Assets-Liab 5-6'!C41</f>
        <v>4263500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660571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660571</v>
      </c>
      <c r="D123" s="2" t="str">
        <f t="shared" si="0"/>
        <v>Error?</v>
      </c>
    </row>
    <row r="124" spans="1:4" x14ac:dyDescent="0.2">
      <c r="A124" s="5">
        <v>63</v>
      </c>
      <c r="B124" s="138">
        <f>'Assets-Liab 5-6'!D41</f>
        <v>660571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112978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112978</v>
      </c>
      <c r="D140" s="2" t="str">
        <f t="shared" si="1"/>
        <v>Error?</v>
      </c>
    </row>
    <row r="141" spans="1:4" x14ac:dyDescent="0.2">
      <c r="A141" s="5">
        <v>80</v>
      </c>
      <c r="B141" s="138">
        <f>'Assets-Liab 5-6'!E41</f>
        <v>112978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245637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245637</v>
      </c>
      <c r="D170" s="2" t="str">
        <f t="shared" si="1"/>
        <v>Error?</v>
      </c>
    </row>
    <row r="171" spans="1:4" x14ac:dyDescent="0.2">
      <c r="A171" s="5">
        <v>110</v>
      </c>
      <c r="B171" s="138">
        <f>'Assets-Liab 5-6'!F41</f>
        <v>245637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169764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157168</v>
      </c>
      <c r="D189" s="2" t="str">
        <f t="shared" si="1"/>
        <v>Error?</v>
      </c>
    </row>
    <row r="190" spans="1:4" x14ac:dyDescent="0.2">
      <c r="A190" s="5">
        <v>129</v>
      </c>
      <c r="B190" s="138">
        <f>'Assets-Liab 5-6'!G41</f>
        <v>169764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103413</v>
      </c>
      <c r="D273" s="2" t="str">
        <f t="shared" si="3"/>
        <v>Error?</v>
      </c>
    </row>
    <row r="274" spans="1:4" x14ac:dyDescent="0.2">
      <c r="A274" s="5">
        <v>213</v>
      </c>
      <c r="B274" s="138">
        <f>'Assets-Liab 5-6'!M17</f>
        <v>13115390</v>
      </c>
      <c r="D274" s="2" t="str">
        <f t="shared" si="3"/>
        <v>Error?</v>
      </c>
    </row>
    <row r="275" spans="1:4" x14ac:dyDescent="0.2">
      <c r="A275" s="5">
        <v>214</v>
      </c>
      <c r="B275" s="138">
        <f>'Assets-Liab 5-6'!M18</f>
        <v>1146257</v>
      </c>
      <c r="D275" s="2" t="str">
        <f t="shared" si="3"/>
        <v>Error?</v>
      </c>
    </row>
    <row r="276" spans="1:4" x14ac:dyDescent="0.2">
      <c r="A276" s="5">
        <v>215</v>
      </c>
      <c r="B276" s="138">
        <f>'Assets-Liab 5-6'!M19</f>
        <v>1824773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16189833</v>
      </c>
      <c r="C279" s="2" t="s">
        <v>573</v>
      </c>
      <c r="D279" s="2" t="str">
        <f t="shared" si="3"/>
        <v>Error?</v>
      </c>
    </row>
    <row r="280" spans="1:4" x14ac:dyDescent="0.2">
      <c r="A280" s="5">
        <v>219</v>
      </c>
      <c r="B280" s="138">
        <f>'Assets-Liab 5-6'!M40</f>
        <v>16189833</v>
      </c>
      <c r="D280" s="2" t="str">
        <f t="shared" si="3"/>
        <v>Error?</v>
      </c>
    </row>
    <row r="281" spans="1:4" x14ac:dyDescent="0.2">
      <c r="A281" s="5">
        <v>220</v>
      </c>
      <c r="B281" s="138">
        <f>'Assets-Liab 5-6'!M41</f>
        <v>16189833</v>
      </c>
      <c r="C281" s="2" t="s">
        <v>573</v>
      </c>
      <c r="D281" s="2" t="str">
        <f t="shared" si="3"/>
        <v>Error?</v>
      </c>
    </row>
    <row r="282" spans="1:4" x14ac:dyDescent="0.2">
      <c r="A282" s="5">
        <v>221</v>
      </c>
      <c r="B282" s="138">
        <f>'Assets-Liab 5-6'!N21</f>
        <v>112978</v>
      </c>
      <c r="D282" s="2" t="str">
        <f t="shared" si="3"/>
        <v>Error?</v>
      </c>
    </row>
    <row r="283" spans="1:4" x14ac:dyDescent="0.2">
      <c r="A283" s="5">
        <v>222</v>
      </c>
      <c r="B283" s="138">
        <f>'Assets-Liab 5-6'!N22</f>
        <v>2042965</v>
      </c>
      <c r="D283" s="2" t="str">
        <f t="shared" si="3"/>
        <v>Error?</v>
      </c>
    </row>
    <row r="284" spans="1:4" x14ac:dyDescent="0.2">
      <c r="A284" s="5">
        <v>223</v>
      </c>
      <c r="B284" s="138">
        <f>'Assets-Liab 5-6'!N23</f>
        <v>2155943</v>
      </c>
      <c r="C284" s="2" t="s">
        <v>573</v>
      </c>
      <c r="D284" s="2" t="str">
        <f t="shared" si="3"/>
        <v>Error?</v>
      </c>
    </row>
    <row r="285" spans="1:4" x14ac:dyDescent="0.2">
      <c r="A285" s="5">
        <v>224</v>
      </c>
      <c r="B285" s="138">
        <f>'Assets-Liab 5-6'!N36</f>
        <v>2155943</v>
      </c>
      <c r="D285" s="2" t="str">
        <f t="shared" si="3"/>
        <v>Error?</v>
      </c>
    </row>
    <row r="286" spans="1:4" x14ac:dyDescent="0.2">
      <c r="A286" s="10">
        <v>225</v>
      </c>
      <c r="D286" s="2" t="str">
        <f t="shared" si="3"/>
        <v>OK</v>
      </c>
    </row>
    <row r="287" spans="1:4" x14ac:dyDescent="0.2">
      <c r="A287" s="5">
        <v>226</v>
      </c>
      <c r="B287" s="138">
        <f>'Assets-Liab 5-6'!N37</f>
        <v>2155943</v>
      </c>
      <c r="C287" s="2" t="s">
        <v>573</v>
      </c>
      <c r="D287" s="2" t="str">
        <f t="shared" si="3"/>
        <v>Error?</v>
      </c>
    </row>
    <row r="288" spans="1:4" x14ac:dyDescent="0.2">
      <c r="A288" s="5">
        <v>227</v>
      </c>
      <c r="B288" s="138">
        <f>'Assets-Liab 5-6'!N41</f>
        <v>2155943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1759564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474319</v>
      </c>
      <c r="D717" s="2" t="str">
        <f t="shared" si="10"/>
        <v>Error?</v>
      </c>
    </row>
    <row r="718" spans="1:4" x14ac:dyDescent="0.2">
      <c r="A718" s="5">
        <v>657</v>
      </c>
      <c r="B718" s="138">
        <f>'Expenditures 15-22'!C14</f>
        <v>153705</v>
      </c>
      <c r="D718" s="2" t="str">
        <f t="shared" si="10"/>
        <v>Error?</v>
      </c>
    </row>
    <row r="719" spans="1:4" x14ac:dyDescent="0.2">
      <c r="A719" s="5">
        <v>658</v>
      </c>
      <c r="B719" s="138">
        <f>'Expenditures 15-22'!C15</f>
        <v>6623</v>
      </c>
      <c r="D719" s="2" t="str">
        <f t="shared" si="10"/>
        <v>Error?</v>
      </c>
    </row>
    <row r="720" spans="1:4" x14ac:dyDescent="0.2">
      <c r="A720" s="5">
        <v>659</v>
      </c>
      <c r="B720" s="138">
        <f>'Expenditures 15-22'!C33</f>
        <v>2994334</v>
      </c>
      <c r="C720" s="2" t="s">
        <v>573</v>
      </c>
      <c r="D720" s="2" t="str">
        <f t="shared" si="10"/>
        <v>Error?</v>
      </c>
    </row>
    <row r="721" spans="1:4" x14ac:dyDescent="0.2">
      <c r="A721" s="5">
        <v>660</v>
      </c>
      <c r="B721" s="138">
        <f>'Expenditures 15-22'!C36</f>
        <v>22053</v>
      </c>
      <c r="D721" s="2" t="str">
        <f t="shared" si="10"/>
        <v>Error?</v>
      </c>
    </row>
    <row r="722" spans="1:4" x14ac:dyDescent="0.2">
      <c r="A722" s="5">
        <v>661</v>
      </c>
      <c r="B722" s="138">
        <f>'Expenditures 15-22'!C37</f>
        <v>202547</v>
      </c>
      <c r="D722" s="2" t="str">
        <f t="shared" si="10"/>
        <v>Error?</v>
      </c>
    </row>
    <row r="723" spans="1:4" x14ac:dyDescent="0.2">
      <c r="A723" s="5">
        <v>662</v>
      </c>
      <c r="B723" s="138">
        <f>'Expenditures 15-22'!C38</f>
        <v>21741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35985</v>
      </c>
      <c r="D726" s="2" t="str">
        <f t="shared" si="10"/>
        <v>Error?</v>
      </c>
    </row>
    <row r="727" spans="1:4" x14ac:dyDescent="0.2">
      <c r="A727" s="5">
        <v>666</v>
      </c>
      <c r="B727" s="138">
        <f>'Expenditures 15-22'!C42</f>
        <v>282326</v>
      </c>
      <c r="C727" s="2" t="s">
        <v>573</v>
      </c>
      <c r="D727" s="2" t="str">
        <f t="shared" si="10"/>
        <v>Error?</v>
      </c>
    </row>
    <row r="728" spans="1:4" x14ac:dyDescent="0.2">
      <c r="A728" s="5">
        <v>667</v>
      </c>
      <c r="B728" s="138">
        <f>'Expenditures 15-22'!C44</f>
        <v>2511</v>
      </c>
      <c r="D728" s="2" t="str">
        <f t="shared" si="10"/>
        <v>Error?</v>
      </c>
    </row>
    <row r="729" spans="1:4" x14ac:dyDescent="0.2">
      <c r="A729" s="5">
        <v>668</v>
      </c>
      <c r="B729" s="138">
        <f>'Expenditures 15-22'!C45</f>
        <v>72100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74611</v>
      </c>
      <c r="C731" s="2" t="s">
        <v>573</v>
      </c>
      <c r="D731" s="2" t="str">
        <f t="shared" si="10"/>
        <v>Error?</v>
      </c>
    </row>
    <row r="732" spans="1:4" x14ac:dyDescent="0.2">
      <c r="A732" s="5">
        <v>671</v>
      </c>
      <c r="B732" s="138">
        <f>'Expenditures 15-22'!C49</f>
        <v>8876</v>
      </c>
      <c r="D732" s="2" t="str">
        <f t="shared" si="10"/>
        <v>Error?</v>
      </c>
    </row>
    <row r="733" spans="1:4" x14ac:dyDescent="0.2">
      <c r="A733" s="5">
        <v>672</v>
      </c>
      <c r="B733" s="138">
        <f>'Expenditures 15-22'!C50</f>
        <v>153350</v>
      </c>
      <c r="D733" s="2" t="str">
        <f t="shared" si="10"/>
        <v>Error?</v>
      </c>
    </row>
    <row r="734" spans="1:4" x14ac:dyDescent="0.2">
      <c r="A734" s="5">
        <v>673</v>
      </c>
      <c r="B734" s="138">
        <f>'Expenditures 15-22'!C53</f>
        <v>162226</v>
      </c>
      <c r="C734" s="2" t="s">
        <v>573</v>
      </c>
      <c r="D734" s="2" t="str">
        <f t="shared" si="10"/>
        <v>Error?</v>
      </c>
    </row>
    <row r="735" spans="1:4" x14ac:dyDescent="0.2">
      <c r="A735" s="5">
        <v>674</v>
      </c>
      <c r="B735" s="138">
        <f>'Expenditures 15-22'!C55</f>
        <v>205627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205627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18766</v>
      </c>
      <c r="D739" s="2" t="str">
        <f t="shared" si="10"/>
        <v>Error?</v>
      </c>
    </row>
    <row r="740" spans="1:4" x14ac:dyDescent="0.2">
      <c r="A740" s="5">
        <v>679</v>
      </c>
      <c r="B740" s="138">
        <f>'Expenditures 15-22'!C61</f>
        <v>385716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149606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554088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1278878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4273212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380777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111187</v>
      </c>
      <c r="D775" s="2" t="str">
        <f t="shared" si="11"/>
        <v>Error?</v>
      </c>
    </row>
    <row r="776" spans="1:4" x14ac:dyDescent="0.2">
      <c r="A776" s="5">
        <v>715</v>
      </c>
      <c r="B776" s="138">
        <f>'Expenditures 15-22'!D14</f>
        <v>1099</v>
      </c>
      <c r="D776" s="2" t="str">
        <f t="shared" si="11"/>
        <v>Error?</v>
      </c>
    </row>
    <row r="777" spans="1:4" x14ac:dyDescent="0.2">
      <c r="A777" s="5">
        <v>716</v>
      </c>
      <c r="B777" s="138">
        <f>'Expenditures 15-22'!D15</f>
        <v>752</v>
      </c>
      <c r="D777" s="2" t="str">
        <f t="shared" si="11"/>
        <v>Error?</v>
      </c>
    </row>
    <row r="778" spans="1:4" x14ac:dyDescent="0.2">
      <c r="A778" s="5">
        <v>717</v>
      </c>
      <c r="B778" s="138">
        <f>'Expenditures 15-22'!D33</f>
        <v>581314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30389</v>
      </c>
      <c r="D780" s="2" t="str">
        <f t="shared" si="11"/>
        <v>Error?</v>
      </c>
    </row>
    <row r="781" spans="1:4" x14ac:dyDescent="0.2">
      <c r="A781" s="5">
        <v>720</v>
      </c>
      <c r="B781" s="138">
        <f>'Expenditures 15-22'!D38</f>
        <v>13699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537</v>
      </c>
      <c r="D784" s="2" t="str">
        <f t="shared" si="11"/>
        <v>Error?</v>
      </c>
    </row>
    <row r="785" spans="1:4" x14ac:dyDescent="0.2">
      <c r="A785" s="5">
        <v>724</v>
      </c>
      <c r="B785" s="138">
        <f>'Expenditures 15-22'!D42</f>
        <v>44625</v>
      </c>
      <c r="C785" s="2" t="s">
        <v>573</v>
      </c>
      <c r="D785" s="2" t="str">
        <f t="shared" si="11"/>
        <v>Error?</v>
      </c>
    </row>
    <row r="786" spans="1:4" x14ac:dyDescent="0.2">
      <c r="A786" s="5">
        <v>725</v>
      </c>
      <c r="B786" s="138">
        <f>'Expenditures 15-22'!D44</f>
        <v>125</v>
      </c>
      <c r="D786" s="2" t="str">
        <f t="shared" si="11"/>
        <v>Error?</v>
      </c>
    </row>
    <row r="787" spans="1:4" x14ac:dyDescent="0.2">
      <c r="A787" s="5">
        <v>726</v>
      </c>
      <c r="B787" s="138">
        <f>'Expenditures 15-22'!D45</f>
        <v>12004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12129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35177</v>
      </c>
      <c r="D791" s="2" t="str">
        <f t="shared" si="11"/>
        <v>Error?</v>
      </c>
    </row>
    <row r="792" spans="1:4" x14ac:dyDescent="0.2">
      <c r="A792" s="5">
        <v>731</v>
      </c>
      <c r="B792" s="138">
        <f>'Expenditures 15-22'!D53</f>
        <v>35177</v>
      </c>
      <c r="C792" s="2" t="s">
        <v>573</v>
      </c>
      <c r="D792" s="2" t="str">
        <f t="shared" si="11"/>
        <v>Error?</v>
      </c>
    </row>
    <row r="793" spans="1:4" x14ac:dyDescent="0.2">
      <c r="A793" s="5">
        <v>732</v>
      </c>
      <c r="B793" s="138">
        <f>'Expenditures 15-22'!D55</f>
        <v>60307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60307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18526</v>
      </c>
      <c r="D797" s="2" t="str">
        <f t="shared" si="11"/>
        <v>Error?</v>
      </c>
    </row>
    <row r="798" spans="1:4" x14ac:dyDescent="0.2">
      <c r="A798" s="5">
        <v>737</v>
      </c>
      <c r="B798" s="138">
        <f>'Expenditures 15-22'!D61</f>
        <v>53693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5964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78183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230421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811735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43538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v>
      </c>
      <c r="D833" s="2" t="str">
        <f t="shared" si="12"/>
        <v>Error?</v>
      </c>
    </row>
    <row r="834" spans="1:4" x14ac:dyDescent="0.2">
      <c r="A834" s="5">
        <v>773</v>
      </c>
      <c r="B834" s="138">
        <f>'Expenditures 15-22'!E14</f>
        <v>24150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87819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6954</v>
      </c>
      <c r="D844" s="2" t="str">
        <f t="shared" si="12"/>
        <v>Error?</v>
      </c>
    </row>
    <row r="845" spans="1:4" x14ac:dyDescent="0.2">
      <c r="A845" s="5">
        <v>784</v>
      </c>
      <c r="B845" s="138">
        <f>'Expenditures 15-22'!E45</f>
        <v>2171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9125</v>
      </c>
      <c r="C847" s="2" t="s">
        <v>573</v>
      </c>
      <c r="D847" s="2" t="str">
        <f t="shared" si="12"/>
        <v>Error?</v>
      </c>
    </row>
    <row r="848" spans="1:4" x14ac:dyDescent="0.2">
      <c r="A848" s="5">
        <v>787</v>
      </c>
      <c r="B848" s="138">
        <f>'Expenditures 15-22'!E49</f>
        <v>25286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25733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2396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37254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125073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63884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9943</v>
      </c>
      <c r="D891" s="2" t="str">
        <f t="shared" si="12"/>
        <v>Error?</v>
      </c>
    </row>
    <row r="892" spans="1:4" x14ac:dyDescent="0.2">
      <c r="A892" s="5">
        <v>831</v>
      </c>
      <c r="B892" s="138">
        <f>'Expenditures 15-22'!F14</f>
        <v>31675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174173</v>
      </c>
      <c r="C894" s="2" t="s">
        <v>573</v>
      </c>
      <c r="D894" s="2" t="str">
        <f t="shared" si="12"/>
        <v>Error?</v>
      </c>
    </row>
    <row r="895" spans="1:4" x14ac:dyDescent="0.2">
      <c r="A895" s="5">
        <v>834</v>
      </c>
      <c r="B895" s="138">
        <f>'Expenditures 15-22'!F36</f>
        <v>405</v>
      </c>
      <c r="D895" s="2" t="str">
        <f t="shared" ref="D895:D958" si="13">IF(ISBLANK(B895),"OK",IF(A895-B895=0,"OK","Error?"))</f>
        <v>Error?</v>
      </c>
    </row>
    <row r="896" spans="1:4" x14ac:dyDescent="0.2">
      <c r="A896" s="5">
        <v>835</v>
      </c>
      <c r="B896" s="138">
        <f>'Expenditures 15-22'!F37</f>
        <v>3091</v>
      </c>
      <c r="D896" s="2" t="str">
        <f t="shared" si="13"/>
        <v>Error?</v>
      </c>
    </row>
    <row r="897" spans="1:4" x14ac:dyDescent="0.2">
      <c r="A897" s="5">
        <v>836</v>
      </c>
      <c r="B897" s="138">
        <f>'Expenditures 15-22'!F38</f>
        <v>211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3938</v>
      </c>
      <c r="D900" s="2" t="str">
        <f t="shared" si="13"/>
        <v>Error?</v>
      </c>
    </row>
    <row r="901" spans="1:4" x14ac:dyDescent="0.2">
      <c r="A901" s="5">
        <v>840</v>
      </c>
      <c r="B901" s="138">
        <f>'Expenditures 15-22'!F42</f>
        <v>7645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15930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15930</v>
      </c>
      <c r="C905" s="2" t="s">
        <v>573</v>
      </c>
      <c r="D905" s="2" t="str">
        <f t="shared" si="13"/>
        <v>Error?</v>
      </c>
    </row>
    <row r="906" spans="1:4" x14ac:dyDescent="0.2">
      <c r="A906" s="5">
        <v>845</v>
      </c>
      <c r="B906" s="138">
        <f>'Expenditures 15-22'!F49</f>
        <v>2031</v>
      </c>
      <c r="D906" s="2" t="str">
        <f t="shared" si="13"/>
        <v>Error?</v>
      </c>
    </row>
    <row r="907" spans="1:4" x14ac:dyDescent="0.2">
      <c r="A907" s="5">
        <v>846</v>
      </c>
      <c r="B907" s="138">
        <f>'Expenditures 15-22'!F50</f>
        <v>133</v>
      </c>
      <c r="D907" s="2" t="str">
        <f t="shared" si="13"/>
        <v>Error?</v>
      </c>
    </row>
    <row r="908" spans="1:4" x14ac:dyDescent="0.2">
      <c r="A908" s="5">
        <v>847</v>
      </c>
      <c r="B908" s="138">
        <f>'Expenditures 15-22'!F53</f>
        <v>2164</v>
      </c>
      <c r="C908" s="2" t="s">
        <v>573</v>
      </c>
      <c r="D908" s="2" t="str">
        <f t="shared" si="13"/>
        <v>Error?</v>
      </c>
    </row>
    <row r="909" spans="1:4" x14ac:dyDescent="0.2">
      <c r="A909" s="5">
        <v>848</v>
      </c>
      <c r="B909" s="138">
        <f>'Expenditures 15-22'!F55</f>
        <v>1323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178031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178210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68</v>
      </c>
      <c r="D928" s="2" t="str">
        <f t="shared" si="13"/>
        <v>Error?</v>
      </c>
    </row>
    <row r="929" spans="1:4" x14ac:dyDescent="0.2">
      <c r="A929" s="5">
        <v>868</v>
      </c>
      <c r="B929" s="138">
        <f>'Expenditures 15-22'!F74</f>
        <v>205340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379513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26710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9565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44251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3630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3630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4180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48431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31033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31268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130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1905</v>
      </c>
      <c r="D1016" s="2" t="str">
        <f t="shared" si="14"/>
        <v>Error?</v>
      </c>
    </row>
    <row r="1017" spans="1:4" x14ac:dyDescent="0.2">
      <c r="A1017" s="5">
        <v>956</v>
      </c>
      <c r="B1017" s="138">
        <f>'Expenditures 15-22'!H42</f>
        <v>2035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4636</v>
      </c>
      <c r="D1022" s="2" t="str">
        <f t="shared" si="14"/>
        <v>Error?</v>
      </c>
    </row>
    <row r="1023" spans="1:4" x14ac:dyDescent="0.2">
      <c r="A1023" s="5">
        <v>962</v>
      </c>
      <c r="B1023" s="138">
        <f>'Expenditures 15-22'!H50</f>
        <v>1464</v>
      </c>
      <c r="D1023" s="2" t="str">
        <f t="shared" ref="D1023:D1086" si="15">IF(ISBLANK(B1023),"OK",IF(A1023-B1023=0,"OK","Error?"))</f>
        <v>Error?</v>
      </c>
    </row>
    <row r="1024" spans="1:4" x14ac:dyDescent="0.2">
      <c r="A1024" s="5">
        <v>963</v>
      </c>
      <c r="B1024" s="138">
        <f>'Expenditures 15-22'!H53</f>
        <v>6100</v>
      </c>
      <c r="C1024" s="2" t="s">
        <v>573</v>
      </c>
      <c r="D1024" s="2" t="str">
        <f t="shared" si="15"/>
        <v>Error?</v>
      </c>
    </row>
    <row r="1025" spans="1:4" x14ac:dyDescent="0.2">
      <c r="A1025" s="5">
        <v>964</v>
      </c>
      <c r="B1025" s="138">
        <f>'Expenditures 15-22'!H55</f>
        <v>1106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1106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352047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392751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2274473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595740</v>
      </c>
      <c r="C1105" s="2" t="s">
        <v>573</v>
      </c>
      <c r="D1105" s="2" t="str">
        <f t="shared" si="16"/>
        <v>Error?</v>
      </c>
    </row>
    <row r="1106" spans="1:4" x14ac:dyDescent="0.2">
      <c r="A1106" s="5">
        <v>1045</v>
      </c>
      <c r="B1106" s="138">
        <f>'Expenditures 15-22'!K14</f>
        <v>251227</v>
      </c>
      <c r="C1106" s="2" t="s">
        <v>573</v>
      </c>
      <c r="D1106" s="2" t="str">
        <f t="shared" si="16"/>
        <v>Error?</v>
      </c>
    </row>
    <row r="1107" spans="1:4" x14ac:dyDescent="0.2">
      <c r="A1107" s="5">
        <v>1046</v>
      </c>
      <c r="B1107" s="138">
        <f>'Expenditures 15-22'!K15</f>
        <v>7375</v>
      </c>
      <c r="C1107" s="2" t="s">
        <v>573</v>
      </c>
      <c r="D1107" s="2" t="str">
        <f t="shared" si="16"/>
        <v>Error?</v>
      </c>
    </row>
    <row r="1108" spans="1:4" x14ac:dyDescent="0.2">
      <c r="A1108" s="5">
        <v>1047</v>
      </c>
      <c r="B1108" s="138">
        <f>'Expenditures 15-22'!K33</f>
        <v>3913159</v>
      </c>
      <c r="C1108" s="2" t="s">
        <v>573</v>
      </c>
      <c r="D1108" s="2" t="str">
        <f t="shared" si="16"/>
        <v>Error?</v>
      </c>
    </row>
    <row r="1109" spans="1:4" x14ac:dyDescent="0.2">
      <c r="A1109" s="5">
        <v>1048</v>
      </c>
      <c r="B1109" s="138">
        <f>'Expenditures 15-22'!K36</f>
        <v>22458</v>
      </c>
      <c r="C1109" s="2" t="s">
        <v>573</v>
      </c>
      <c r="D1109" s="2" t="str">
        <f t="shared" si="16"/>
        <v>Error?</v>
      </c>
    </row>
    <row r="1110" spans="1:4" x14ac:dyDescent="0.2">
      <c r="A1110" s="5">
        <v>1049</v>
      </c>
      <c r="B1110" s="138">
        <f>'Expenditures 15-22'!K37</f>
        <v>236027</v>
      </c>
      <c r="C1110" s="2" t="s">
        <v>573</v>
      </c>
      <c r="D1110" s="2" t="str">
        <f t="shared" si="16"/>
        <v>Error?</v>
      </c>
    </row>
    <row r="1111" spans="1:4" x14ac:dyDescent="0.2">
      <c r="A1111" s="5">
        <v>1050</v>
      </c>
      <c r="B1111" s="138">
        <f>'Expenditures 15-22'!K38</f>
        <v>35781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42365</v>
      </c>
      <c r="C1114" s="2" t="s">
        <v>573</v>
      </c>
      <c r="D1114" s="2" t="str">
        <f t="shared" si="16"/>
        <v>Error?</v>
      </c>
    </row>
    <row r="1115" spans="1:4" x14ac:dyDescent="0.2">
      <c r="A1115" s="5">
        <v>1054</v>
      </c>
      <c r="B1115" s="138">
        <f>'Expenditures 15-22'!K42</f>
        <v>336631</v>
      </c>
      <c r="C1115" s="2" t="s">
        <v>573</v>
      </c>
      <c r="D1115" s="2" t="str">
        <f t="shared" si="16"/>
        <v>Error?</v>
      </c>
    </row>
    <row r="1116" spans="1:4" x14ac:dyDescent="0.2">
      <c r="A1116" s="5">
        <v>1055</v>
      </c>
      <c r="B1116" s="138">
        <f>'Expenditures 15-22'!K44</f>
        <v>9590</v>
      </c>
      <c r="C1116" s="2" t="s">
        <v>573</v>
      </c>
      <c r="D1116" s="2" t="str">
        <f t="shared" si="16"/>
        <v>Error?</v>
      </c>
    </row>
    <row r="1117" spans="1:4" x14ac:dyDescent="0.2">
      <c r="A1117" s="5">
        <v>1056</v>
      </c>
      <c r="B1117" s="138">
        <f>'Expenditures 15-22'!K45</f>
        <v>102755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112345</v>
      </c>
      <c r="C1119" s="2" t="s">
        <v>573</v>
      </c>
      <c r="D1119" s="2" t="str">
        <f t="shared" si="16"/>
        <v>Error?</v>
      </c>
    </row>
    <row r="1120" spans="1:4" x14ac:dyDescent="0.2">
      <c r="A1120" s="5">
        <v>1059</v>
      </c>
      <c r="B1120" s="138">
        <f>'Expenditures 15-22'!K49</f>
        <v>40829</v>
      </c>
      <c r="C1120" s="2" t="s">
        <v>573</v>
      </c>
      <c r="D1120" s="2" t="str">
        <f t="shared" si="16"/>
        <v>Error?</v>
      </c>
    </row>
    <row r="1121" spans="1:4" x14ac:dyDescent="0.2">
      <c r="A1121" s="5">
        <v>1060</v>
      </c>
      <c r="B1121" s="138">
        <f>'Expenditures 15-22'!K50</f>
        <v>190124</v>
      </c>
      <c r="C1121" s="2" t="s">
        <v>573</v>
      </c>
      <c r="D1121" s="2" t="str">
        <f t="shared" si="16"/>
        <v>Error?</v>
      </c>
    </row>
    <row r="1122" spans="1:4" x14ac:dyDescent="0.2">
      <c r="A1122" s="5">
        <v>1061</v>
      </c>
      <c r="B1122" s="138">
        <f>'Expenditures 15-22'!K53</f>
        <v>231400</v>
      </c>
      <c r="C1122" s="2" t="s">
        <v>573</v>
      </c>
      <c r="D1122" s="2" t="str">
        <f t="shared" si="16"/>
        <v>Error?</v>
      </c>
    </row>
    <row r="1123" spans="1:4" x14ac:dyDescent="0.2">
      <c r="A1123" s="5">
        <v>1062</v>
      </c>
      <c r="B1123" s="138">
        <f>'Expenditures 15-22'!K55</f>
        <v>268363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268363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37471</v>
      </c>
      <c r="C1127" s="2" t="s">
        <v>573</v>
      </c>
      <c r="D1127" s="2" t="str">
        <f t="shared" si="16"/>
        <v>Error?</v>
      </c>
    </row>
    <row r="1128" spans="1:4" x14ac:dyDescent="0.2">
      <c r="A1128" s="5">
        <v>1067</v>
      </c>
      <c r="B1128" s="138">
        <f>'Expenditures 15-22'!K61</f>
        <v>439409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339822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816702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68</v>
      </c>
      <c r="C1142" s="2" t="s">
        <v>573</v>
      </c>
      <c r="D1142" s="2" t="str">
        <f t="shared" si="16"/>
        <v>Error?</v>
      </c>
    </row>
    <row r="1143" spans="1:4" x14ac:dyDescent="0.2">
      <c r="A1143" s="5">
        <v>1082</v>
      </c>
      <c r="B1143" s="138">
        <f>'Expenditures 15-22'!K74</f>
        <v>1765509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352047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6030715</v>
      </c>
      <c r="C1152" s="2" t="s">
        <v>573</v>
      </c>
      <c r="D1152" s="2" t="str">
        <f t="shared" si="17"/>
        <v>Error?</v>
      </c>
    </row>
    <row r="1153" spans="1:4" x14ac:dyDescent="0.2">
      <c r="A1153" s="5">
        <v>1092</v>
      </c>
      <c r="B1153" s="138">
        <f>'Expenditures 15-22'!K115</f>
        <v>283483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42940</v>
      </c>
      <c r="D1221" s="2" t="str">
        <f t="shared" si="18"/>
        <v>Error?</v>
      </c>
    </row>
    <row r="1222" spans="1:4" x14ac:dyDescent="0.2">
      <c r="A1222" s="10">
        <v>1161</v>
      </c>
      <c r="D1222" s="2" t="str">
        <f t="shared" si="18"/>
        <v>OK</v>
      </c>
    </row>
    <row r="1223" spans="1:4" x14ac:dyDescent="0.2">
      <c r="A1223" s="5">
        <v>1162</v>
      </c>
      <c r="B1223" s="138">
        <f>'Expenditures 15-22'!C127</f>
        <v>42940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42940</v>
      </c>
      <c r="C1225" s="2" t="s">
        <v>573</v>
      </c>
      <c r="D1225" s="2" t="str">
        <f t="shared" si="18"/>
        <v>Error?</v>
      </c>
    </row>
    <row r="1226" spans="1:4" x14ac:dyDescent="0.2">
      <c r="A1226" s="5">
        <v>1165</v>
      </c>
      <c r="B1226" s="138">
        <f>'Expenditures 15-22'!C151</f>
        <v>42940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146830</v>
      </c>
      <c r="D1237" s="2" t="str">
        <f t="shared" si="18"/>
        <v>Error?</v>
      </c>
    </row>
    <row r="1238" spans="1:4" x14ac:dyDescent="0.2">
      <c r="A1238" s="10">
        <v>1177</v>
      </c>
      <c r="D1238" s="2" t="str">
        <f t="shared" si="18"/>
        <v>OK</v>
      </c>
    </row>
    <row r="1239" spans="1:4" x14ac:dyDescent="0.2">
      <c r="A1239" s="5">
        <v>1178</v>
      </c>
      <c r="B1239" s="138">
        <f>'Expenditures 15-22'!E127</f>
        <v>146830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146830</v>
      </c>
      <c r="C1241" s="2" t="s">
        <v>573</v>
      </c>
      <c r="D1241" s="2" t="str">
        <f t="shared" si="18"/>
        <v>Error?</v>
      </c>
    </row>
    <row r="1242" spans="1:4" x14ac:dyDescent="0.2">
      <c r="A1242" s="5">
        <v>1181</v>
      </c>
      <c r="B1242" s="138">
        <f>'Expenditures 15-22'!E151</f>
        <v>146830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162505</v>
      </c>
      <c r="D1245" s="2" t="str">
        <f t="shared" si="18"/>
        <v>Error?</v>
      </c>
    </row>
    <row r="1246" spans="1:4" x14ac:dyDescent="0.2">
      <c r="A1246" s="10">
        <v>1185</v>
      </c>
      <c r="D1246" s="2" t="str">
        <f t="shared" si="18"/>
        <v>OK</v>
      </c>
    </row>
    <row r="1247" spans="1:4" x14ac:dyDescent="0.2">
      <c r="A1247" s="5">
        <v>1186</v>
      </c>
      <c r="B1247" s="138">
        <f>'Expenditures 15-22'!F127</f>
        <v>162505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162505</v>
      </c>
      <c r="C1249" s="2" t="s">
        <v>573</v>
      </c>
      <c r="D1249" s="2" t="str">
        <f t="shared" si="18"/>
        <v>Error?</v>
      </c>
    </row>
    <row r="1250" spans="1:4" x14ac:dyDescent="0.2">
      <c r="A1250" s="5">
        <v>1189</v>
      </c>
      <c r="B1250" s="138">
        <f>'Expenditures 15-22'!F151</f>
        <v>162505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2617998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2617998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2617998</v>
      </c>
      <c r="C1258" s="2" t="s">
        <v>573</v>
      </c>
      <c r="D1258" s="2" t="str">
        <f t="shared" si="18"/>
        <v>Error?</v>
      </c>
    </row>
    <row r="1259" spans="1:4" x14ac:dyDescent="0.2">
      <c r="A1259" s="5">
        <v>1198</v>
      </c>
      <c r="B1259" s="138">
        <f>'Expenditures 15-22'!G151</f>
        <v>2617998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600</v>
      </c>
      <c r="D1262" s="2" t="str">
        <f t="shared" si="18"/>
        <v>Error?</v>
      </c>
    </row>
    <row r="1263" spans="1:4" x14ac:dyDescent="0.2">
      <c r="A1263" s="10">
        <v>1202</v>
      </c>
      <c r="D1263" s="2" t="str">
        <f t="shared" si="18"/>
        <v>OK</v>
      </c>
    </row>
    <row r="1264" spans="1:4" x14ac:dyDescent="0.2">
      <c r="A1264" s="5">
        <v>1203</v>
      </c>
      <c r="B1264" s="138">
        <f>'Expenditures 15-22'!H127</f>
        <v>600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600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600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2970873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2970873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2970873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2970873</v>
      </c>
      <c r="C1288" s="2" t="s">
        <v>573</v>
      </c>
      <c r="D1288" s="2" t="str">
        <f t="shared" si="19"/>
        <v>Error?</v>
      </c>
    </row>
    <row r="1289" spans="1:4" x14ac:dyDescent="0.2">
      <c r="A1289" s="5">
        <v>1228</v>
      </c>
      <c r="B1289" s="138">
        <f>'Expenditures 15-22'!K152</f>
        <v>-1733111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327227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147773</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475750</v>
      </c>
      <c r="C1317" s="2" t="s">
        <v>573</v>
      </c>
      <c r="D1317" s="2" t="str">
        <f t="shared" si="19"/>
        <v>Error?</v>
      </c>
    </row>
    <row r="1318" spans="1:4" x14ac:dyDescent="0.2">
      <c r="A1318" s="5">
        <v>1257</v>
      </c>
      <c r="B1318" s="138">
        <f>'Expenditures 15-22'!H174</f>
        <v>475750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327227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147773</v>
      </c>
      <c r="C1329" s="2" t="s">
        <v>573</v>
      </c>
      <c r="D1329" s="2" t="str">
        <f t="shared" si="19"/>
        <v>Error?</v>
      </c>
    </row>
    <row r="1330" spans="1:4" x14ac:dyDescent="0.2">
      <c r="A1330" s="5">
        <v>1269</v>
      </c>
      <c r="B1330" s="138">
        <f>'Expenditures 15-22'!K171</f>
        <v>750</v>
      </c>
      <c r="C1330" s="2" t="s">
        <v>573</v>
      </c>
      <c r="D1330" s="2" t="str">
        <f t="shared" si="19"/>
        <v>Error?</v>
      </c>
    </row>
    <row r="1331" spans="1:4" x14ac:dyDescent="0.2">
      <c r="A1331" s="5">
        <v>1270</v>
      </c>
      <c r="B1331" s="138">
        <f>'Expenditures 15-22'!K172</f>
        <v>475750</v>
      </c>
      <c r="C1331" s="2" t="s">
        <v>573</v>
      </c>
      <c r="D1331" s="2" t="str">
        <f t="shared" si="19"/>
        <v>Error?</v>
      </c>
    </row>
    <row r="1332" spans="1:4" x14ac:dyDescent="0.2">
      <c r="A1332" s="5">
        <v>1271</v>
      </c>
      <c r="B1332" s="138">
        <f>'Expenditures 15-22'!K174</f>
        <v>475750</v>
      </c>
      <c r="C1332" s="2" t="s">
        <v>573</v>
      </c>
      <c r="D1332" s="2" t="str">
        <f t="shared" si="19"/>
        <v>Error?</v>
      </c>
    </row>
    <row r="1333" spans="1:4" x14ac:dyDescent="0.2">
      <c r="A1333" s="5">
        <v>1272</v>
      </c>
      <c r="B1333" s="138">
        <f>'Expenditures 15-22'!K175</f>
        <v>6345</v>
      </c>
      <c r="C1333" s="2" t="s">
        <v>573</v>
      </c>
      <c r="D1333" s="2" t="str">
        <f t="shared" si="19"/>
        <v>Error?</v>
      </c>
    </row>
    <row r="1334" spans="1:4" x14ac:dyDescent="0.2">
      <c r="A1334" s="10">
        <v>1273</v>
      </c>
      <c r="D1334" s="2" t="str">
        <f t="shared" si="19"/>
        <v>OK</v>
      </c>
    </row>
    <row r="1335" spans="1:4" x14ac:dyDescent="0.2">
      <c r="A1335" s="5">
        <v>1274</v>
      </c>
      <c r="B1335" s="138">
        <f>'Expenditures 15-22'!C182</f>
        <v>152605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152605</v>
      </c>
      <c r="C1339" s="2" t="s">
        <v>573</v>
      </c>
      <c r="D1339" s="2" t="str">
        <f t="shared" si="19"/>
        <v>Error?</v>
      </c>
    </row>
    <row r="1340" spans="1:4" x14ac:dyDescent="0.2">
      <c r="A1340" s="5">
        <v>1279</v>
      </c>
      <c r="B1340" s="138">
        <f>'Expenditures 15-22'!C210</f>
        <v>152605</v>
      </c>
      <c r="C1340" s="2" t="s">
        <v>573</v>
      </c>
      <c r="D1340" s="2" t="str">
        <f t="shared" si="19"/>
        <v>Error?</v>
      </c>
    </row>
    <row r="1341" spans="1:4" x14ac:dyDescent="0.2">
      <c r="A1341" s="5">
        <v>1280</v>
      </c>
      <c r="B1341" s="138">
        <f>'Expenditures 15-22'!D182</f>
        <v>1468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1468</v>
      </c>
      <c r="C1345" s="2" t="s">
        <v>573</v>
      </c>
      <c r="D1345" s="2" t="str">
        <f t="shared" si="20"/>
        <v>Error?</v>
      </c>
    </row>
    <row r="1346" spans="1:4" x14ac:dyDescent="0.2">
      <c r="A1346" s="5">
        <v>1285</v>
      </c>
      <c r="B1346" s="138">
        <f>'Expenditures 15-22'!D210</f>
        <v>1468</v>
      </c>
      <c r="C1346" s="2" t="s">
        <v>573</v>
      </c>
      <c r="D1346" s="2" t="str">
        <f t="shared" si="20"/>
        <v>Error?</v>
      </c>
    </row>
    <row r="1347" spans="1:4" x14ac:dyDescent="0.2">
      <c r="A1347" s="5">
        <v>1286</v>
      </c>
      <c r="B1347" s="138">
        <f>'Expenditures 15-22'!E182</f>
        <v>51423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51423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51423</v>
      </c>
      <c r="C1353" s="2" t="s">
        <v>573</v>
      </c>
      <c r="D1353" s="2" t="str">
        <f t="shared" si="20"/>
        <v>Error?</v>
      </c>
    </row>
    <row r="1354" spans="1:4" x14ac:dyDescent="0.2">
      <c r="A1354" s="5">
        <v>1293</v>
      </c>
      <c r="B1354" s="138">
        <f>'Expenditures 15-22'!F182</f>
        <v>42703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42703</v>
      </c>
      <c r="C1358" s="2" t="s">
        <v>573</v>
      </c>
      <c r="D1358" s="2" t="str">
        <f t="shared" si="20"/>
        <v>Error?</v>
      </c>
    </row>
    <row r="1359" spans="1:4" x14ac:dyDescent="0.2">
      <c r="A1359" s="5">
        <v>1298</v>
      </c>
      <c r="B1359" s="138">
        <f>'Expenditures 15-22'!F210</f>
        <v>42703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129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83813</v>
      </c>
      <c r="C1375" s="2" t="s">
        <v>573</v>
      </c>
      <c r="D1375" s="2" t="str">
        <f t="shared" si="20"/>
        <v>Error?</v>
      </c>
    </row>
    <row r="1376" spans="1:4" x14ac:dyDescent="0.2">
      <c r="A1376" s="5">
        <v>1315</v>
      </c>
      <c r="B1376" s="138">
        <f>'Expenditures 15-22'!H210</f>
        <v>83942</v>
      </c>
      <c r="C1376" s="2" t="s">
        <v>573</v>
      </c>
      <c r="D1376" s="2" t="str">
        <f t="shared" si="20"/>
        <v>Error?</v>
      </c>
    </row>
    <row r="1377" spans="1:4" x14ac:dyDescent="0.2">
      <c r="A1377" s="5">
        <v>1316</v>
      </c>
      <c r="B1377" s="138">
        <f>'Expenditures 15-22'!K182</f>
        <v>248328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248328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83813</v>
      </c>
      <c r="C1387" s="2" t="s">
        <v>573</v>
      </c>
      <c r="D1387" s="2" t="str">
        <f t="shared" si="20"/>
        <v>Error?</v>
      </c>
    </row>
    <row r="1388" spans="1:4" x14ac:dyDescent="0.2">
      <c r="A1388" s="5">
        <v>1327</v>
      </c>
      <c r="B1388" s="138">
        <f>'Expenditures 15-22'!K210</f>
        <v>332141</v>
      </c>
      <c r="C1388" s="2" t="s">
        <v>573</v>
      </c>
      <c r="D1388" s="2" t="str">
        <f t="shared" si="20"/>
        <v>Error?</v>
      </c>
    </row>
    <row r="1389" spans="1:4" x14ac:dyDescent="0.2">
      <c r="A1389" s="5">
        <v>1328</v>
      </c>
      <c r="B1389" s="138">
        <f>'Expenditures 15-22'!K211</f>
        <v>45700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6623</v>
      </c>
      <c r="D1407" s="2" t="str">
        <f t="shared" ref="D1407:D1470" si="21">IF(ISBLANK(B1407),"OK",IF(A1407-B1407=0,"OK","Error?"))</f>
        <v>Error?</v>
      </c>
    </row>
    <row r="1408" spans="1:4" x14ac:dyDescent="0.2">
      <c r="A1408" s="5">
        <v>1347</v>
      </c>
      <c r="B1408" s="138">
        <f>'Expenditures 15-22'!D223</f>
        <v>11733</v>
      </c>
      <c r="D1408" s="2" t="str">
        <f t="shared" si="21"/>
        <v>Error?</v>
      </c>
    </row>
    <row r="1409" spans="1:4" x14ac:dyDescent="0.2">
      <c r="A1409" s="5">
        <v>1348</v>
      </c>
      <c r="B1409" s="138">
        <f>'Expenditures 15-22'!D224</f>
        <v>96</v>
      </c>
      <c r="D1409" s="2" t="str">
        <f t="shared" si="21"/>
        <v>Error?</v>
      </c>
    </row>
    <row r="1410" spans="1:4" x14ac:dyDescent="0.2">
      <c r="A1410" s="5">
        <v>1349</v>
      </c>
      <c r="B1410" s="138">
        <f>'Expenditures 15-22'!D229</f>
        <v>97327</v>
      </c>
      <c r="C1410" s="2" t="s">
        <v>573</v>
      </c>
      <c r="D1410" s="2" t="str">
        <f t="shared" si="21"/>
        <v>Error?</v>
      </c>
    </row>
    <row r="1411" spans="1:4" x14ac:dyDescent="0.2">
      <c r="A1411" s="5">
        <v>1350</v>
      </c>
      <c r="B1411" s="138">
        <f>'Expenditures 15-22'!D232</f>
        <v>3746</v>
      </c>
      <c r="D1411" s="2" t="str">
        <f t="shared" si="21"/>
        <v>Error?</v>
      </c>
    </row>
    <row r="1412" spans="1:4" x14ac:dyDescent="0.2">
      <c r="A1412" s="5">
        <v>1351</v>
      </c>
      <c r="B1412" s="138">
        <f>'Expenditures 15-22'!D233</f>
        <v>7362</v>
      </c>
      <c r="D1412" s="2" t="str">
        <f t="shared" si="21"/>
        <v>Error?</v>
      </c>
    </row>
    <row r="1413" spans="1:4" x14ac:dyDescent="0.2">
      <c r="A1413" s="5">
        <v>1352</v>
      </c>
      <c r="B1413" s="138">
        <f>'Expenditures 15-22'!D234</f>
        <v>414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684</v>
      </c>
      <c r="D1416" s="2" t="str">
        <f t="shared" si="21"/>
        <v>Error?</v>
      </c>
    </row>
    <row r="1417" spans="1:4" x14ac:dyDescent="0.2">
      <c r="A1417" s="5">
        <v>1356</v>
      </c>
      <c r="B1417" s="138">
        <f>'Expenditures 15-22'!D238</f>
        <v>12206</v>
      </c>
      <c r="C1417" s="2" t="s">
        <v>573</v>
      </c>
      <c r="D1417" s="2" t="str">
        <f t="shared" si="21"/>
        <v>Error?</v>
      </c>
    </row>
    <row r="1418" spans="1:4" x14ac:dyDescent="0.2">
      <c r="A1418" s="5">
        <v>1357</v>
      </c>
      <c r="B1418" s="138">
        <f>'Expenditures 15-22'!D240</f>
        <v>24</v>
      </c>
      <c r="D1418" s="2" t="str">
        <f t="shared" si="21"/>
        <v>Error?</v>
      </c>
    </row>
    <row r="1419" spans="1:4" x14ac:dyDescent="0.2">
      <c r="A1419" s="5">
        <v>1358</v>
      </c>
      <c r="B1419" s="138">
        <f>'Expenditures 15-22'!D241</f>
        <v>2743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2767</v>
      </c>
      <c r="C1421" s="2" t="s">
        <v>573</v>
      </c>
      <c r="D1421" s="2" t="str">
        <f t="shared" si="21"/>
        <v>Error?</v>
      </c>
    </row>
    <row r="1422" spans="1:4" x14ac:dyDescent="0.2">
      <c r="A1422" s="5">
        <v>1361</v>
      </c>
      <c r="B1422" s="138">
        <f>'Expenditures 15-22'!D245</f>
        <v>1514</v>
      </c>
      <c r="D1422" s="2" t="str">
        <f t="shared" si="21"/>
        <v>Error?</v>
      </c>
    </row>
    <row r="1423" spans="1:4" x14ac:dyDescent="0.2">
      <c r="A1423" s="5">
        <v>1362</v>
      </c>
      <c r="B1423" s="138">
        <f>'Expenditures 15-22'!D246</f>
        <v>8040</v>
      </c>
      <c r="D1423" s="2" t="str">
        <f t="shared" si="21"/>
        <v>Error?</v>
      </c>
    </row>
    <row r="1424" spans="1:4" x14ac:dyDescent="0.2">
      <c r="A1424" s="5">
        <v>1363</v>
      </c>
      <c r="B1424" s="138">
        <f>'Expenditures 15-22'!D257</f>
        <v>9554</v>
      </c>
      <c r="C1424" s="2" t="s">
        <v>573</v>
      </c>
      <c r="D1424" s="2" t="str">
        <f t="shared" si="21"/>
        <v>Error?</v>
      </c>
    </row>
    <row r="1425" spans="1:4" x14ac:dyDescent="0.2">
      <c r="A1425" s="5">
        <v>1364</v>
      </c>
      <c r="B1425" s="138">
        <f>'Expenditures 15-22'!D259</f>
        <v>8450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8450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6506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73229</v>
      </c>
      <c r="D1431" s="2" t="str">
        <f t="shared" si="21"/>
        <v>Error?</v>
      </c>
    </row>
    <row r="1432" spans="1:4" x14ac:dyDescent="0.2">
      <c r="A1432" s="5">
        <v>1371</v>
      </c>
      <c r="B1432" s="138">
        <f>'Expenditures 15-22'!D267</f>
        <v>21341</v>
      </c>
      <c r="D1432" s="2" t="str">
        <f t="shared" si="21"/>
        <v>Error?</v>
      </c>
    </row>
    <row r="1433" spans="1:4" x14ac:dyDescent="0.2">
      <c r="A1433" s="5">
        <v>1372</v>
      </c>
      <c r="B1433" s="138">
        <f>'Expenditures 15-22'!D268</f>
        <v>19043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120119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153096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250423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6623</v>
      </c>
      <c r="C1471" s="2" t="s">
        <v>573</v>
      </c>
      <c r="D1471" s="2" t="str">
        <f t="shared" ref="D1471:D1534" si="22">IF(ISBLANK(B1471),"OK",IF(A1471-B1471=0,"OK","Error?"))</f>
        <v>Error?</v>
      </c>
    </row>
    <row r="1472" spans="1:4" x14ac:dyDescent="0.2">
      <c r="A1472" s="5">
        <v>1411</v>
      </c>
      <c r="B1472" s="138">
        <f>'Expenditures 15-22'!K223</f>
        <v>11733</v>
      </c>
      <c r="C1472" s="2" t="s">
        <v>573</v>
      </c>
      <c r="D1472" s="2" t="str">
        <f t="shared" si="22"/>
        <v>Error?</v>
      </c>
    </row>
    <row r="1473" spans="1:4" x14ac:dyDescent="0.2">
      <c r="A1473" s="5">
        <v>1412</v>
      </c>
      <c r="B1473" s="138">
        <f>'Expenditures 15-22'!K224</f>
        <v>96</v>
      </c>
      <c r="C1473" s="2" t="s">
        <v>573</v>
      </c>
      <c r="D1473" s="2" t="str">
        <f t="shared" si="22"/>
        <v>Error?</v>
      </c>
    </row>
    <row r="1474" spans="1:4" x14ac:dyDescent="0.2">
      <c r="A1474" s="5">
        <v>1413</v>
      </c>
      <c r="B1474" s="138">
        <f>'Expenditures 15-22'!K229</f>
        <v>97327</v>
      </c>
      <c r="C1474" s="2" t="s">
        <v>573</v>
      </c>
      <c r="D1474" s="2" t="str">
        <f t="shared" si="22"/>
        <v>Error?</v>
      </c>
    </row>
    <row r="1475" spans="1:4" x14ac:dyDescent="0.2">
      <c r="A1475" s="5">
        <v>1414</v>
      </c>
      <c r="B1475" s="138">
        <f>'Expenditures 15-22'!K232</f>
        <v>3746</v>
      </c>
      <c r="C1475" s="2" t="s">
        <v>573</v>
      </c>
      <c r="D1475" s="2" t="str">
        <f t="shared" si="22"/>
        <v>Error?</v>
      </c>
    </row>
    <row r="1476" spans="1:4" x14ac:dyDescent="0.2">
      <c r="A1476" s="5">
        <v>1415</v>
      </c>
      <c r="B1476" s="138">
        <f>'Expenditures 15-22'!K233</f>
        <v>7362</v>
      </c>
      <c r="C1476" s="2" t="s">
        <v>573</v>
      </c>
      <c r="D1476" s="2" t="str">
        <f t="shared" si="22"/>
        <v>Error?</v>
      </c>
    </row>
    <row r="1477" spans="1:4" x14ac:dyDescent="0.2">
      <c r="A1477" s="5">
        <v>1416</v>
      </c>
      <c r="B1477" s="138">
        <f>'Expenditures 15-22'!K234</f>
        <v>414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684</v>
      </c>
      <c r="C1480" s="2" t="s">
        <v>573</v>
      </c>
      <c r="D1480" s="2" t="str">
        <f t="shared" si="22"/>
        <v>Error?</v>
      </c>
    </row>
    <row r="1481" spans="1:4" x14ac:dyDescent="0.2">
      <c r="A1481" s="5">
        <v>1420</v>
      </c>
      <c r="B1481" s="138">
        <f>'Expenditures 15-22'!K238</f>
        <v>12206</v>
      </c>
      <c r="C1481" s="2" t="s">
        <v>573</v>
      </c>
      <c r="D1481" s="2" t="str">
        <f t="shared" si="22"/>
        <v>Error?</v>
      </c>
    </row>
    <row r="1482" spans="1:4" x14ac:dyDescent="0.2">
      <c r="A1482" s="5">
        <v>1421</v>
      </c>
      <c r="B1482" s="138">
        <f>'Expenditures 15-22'!K240</f>
        <v>24</v>
      </c>
      <c r="C1482" s="2" t="s">
        <v>573</v>
      </c>
      <c r="D1482" s="2" t="str">
        <f t="shared" si="22"/>
        <v>Error?</v>
      </c>
    </row>
    <row r="1483" spans="1:4" x14ac:dyDescent="0.2">
      <c r="A1483" s="5">
        <v>1422</v>
      </c>
      <c r="B1483" s="138">
        <f>'Expenditures 15-22'!K241</f>
        <v>2743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2767</v>
      </c>
      <c r="C1485" s="2" t="s">
        <v>573</v>
      </c>
      <c r="D1485" s="2" t="str">
        <f t="shared" si="22"/>
        <v>Error?</v>
      </c>
    </row>
    <row r="1486" spans="1:4" x14ac:dyDescent="0.2">
      <c r="A1486" s="5">
        <v>1425</v>
      </c>
      <c r="B1486" s="138">
        <f>'Expenditures 15-22'!K245</f>
        <v>1514</v>
      </c>
      <c r="C1486" s="2" t="s">
        <v>573</v>
      </c>
      <c r="D1486" s="2" t="str">
        <f t="shared" si="22"/>
        <v>Error?</v>
      </c>
    </row>
    <row r="1487" spans="1:4" x14ac:dyDescent="0.2">
      <c r="A1487" s="5">
        <v>1426</v>
      </c>
      <c r="B1487" s="138">
        <f>'Expenditures 15-22'!K246</f>
        <v>8040</v>
      </c>
      <c r="C1487" s="2" t="s">
        <v>573</v>
      </c>
      <c r="D1487" s="2" t="str">
        <f t="shared" si="22"/>
        <v>Error?</v>
      </c>
    </row>
    <row r="1488" spans="1:4" x14ac:dyDescent="0.2">
      <c r="A1488" s="5">
        <v>1427</v>
      </c>
      <c r="B1488" s="138">
        <f>'Expenditures 15-22'!K257</f>
        <v>9554</v>
      </c>
      <c r="C1488" s="2" t="s">
        <v>573</v>
      </c>
      <c r="D1488" s="2" t="str">
        <f t="shared" si="22"/>
        <v>Error?</v>
      </c>
    </row>
    <row r="1489" spans="1:4" x14ac:dyDescent="0.2">
      <c r="A1489" s="5">
        <v>1428</v>
      </c>
      <c r="B1489" s="138">
        <f>'Expenditures 15-22'!K259</f>
        <v>8450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8450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6506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73229</v>
      </c>
      <c r="C1495" s="2" t="s">
        <v>573</v>
      </c>
      <c r="D1495" s="2" t="str">
        <f t="shared" si="22"/>
        <v>Error?</v>
      </c>
    </row>
    <row r="1496" spans="1:4" x14ac:dyDescent="0.2">
      <c r="A1496" s="5">
        <v>1435</v>
      </c>
      <c r="B1496" s="138">
        <f>'Expenditures 15-22'!K267</f>
        <v>21341</v>
      </c>
      <c r="C1496" s="2" t="s">
        <v>573</v>
      </c>
      <c r="D1496" s="2" t="str">
        <f t="shared" si="22"/>
        <v>Error?</v>
      </c>
    </row>
    <row r="1497" spans="1:4" x14ac:dyDescent="0.2">
      <c r="A1497" s="5">
        <v>1436</v>
      </c>
      <c r="B1497" s="138">
        <f>'Expenditures 15-22'!K268</f>
        <v>19043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120119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153096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250423</v>
      </c>
      <c r="C1517" s="2" t="s">
        <v>573</v>
      </c>
      <c r="D1517" s="2" t="str">
        <f t="shared" si="22"/>
        <v>Error?</v>
      </c>
    </row>
    <row r="1518" spans="1:4" x14ac:dyDescent="0.2">
      <c r="A1518" s="5">
        <v>1457</v>
      </c>
      <c r="B1518" s="138">
        <f>'Expenditures 15-22'!K296</f>
        <v>3277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3980017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4263500</v>
      </c>
      <c r="C1630" s="2" t="s">
        <v>573</v>
      </c>
      <c r="D1630" s="2" t="str">
        <f t="shared" si="24"/>
        <v>Error?</v>
      </c>
    </row>
    <row r="1631" spans="1:4" x14ac:dyDescent="0.2">
      <c r="A1631" s="5">
        <v>1570</v>
      </c>
      <c r="B1631" s="138">
        <f>'Acct Summary 7-8'!D79</f>
        <v>658682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660571</v>
      </c>
      <c r="C1644" s="2" t="s">
        <v>573</v>
      </c>
      <c r="D1644" s="2" t="str">
        <f t="shared" si="24"/>
        <v>Error?</v>
      </c>
    </row>
    <row r="1645" spans="1:4" x14ac:dyDescent="0.2">
      <c r="A1645" s="5">
        <v>1584</v>
      </c>
      <c r="B1645" s="138">
        <f>'Acct Summary 7-8'!E79</f>
        <v>106633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112978</v>
      </c>
      <c r="C1658" s="2" t="s">
        <v>573</v>
      </c>
      <c r="D1658" s="2" t="str">
        <f t="shared" si="24"/>
        <v>Error?</v>
      </c>
    </row>
    <row r="1659" spans="1:4" x14ac:dyDescent="0.2">
      <c r="A1659" s="5">
        <v>1598</v>
      </c>
      <c r="B1659" s="138">
        <f>'Acct Summary 7-8'!F79</f>
        <v>199937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245637</v>
      </c>
      <c r="C1672" s="2" t="s">
        <v>573</v>
      </c>
      <c r="D1672" s="2" t="str">
        <f t="shared" si="25"/>
        <v>Error?</v>
      </c>
    </row>
    <row r="1673" spans="1:4" x14ac:dyDescent="0.2">
      <c r="A1673" s="5">
        <v>1612</v>
      </c>
      <c r="B1673" s="138">
        <f>'Acct Summary 7-8'!G79</f>
        <v>166487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169764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2231710</v>
      </c>
      <c r="C1744" s="2" t="s">
        <v>573</v>
      </c>
      <c r="D1744" s="2" t="str">
        <f t="shared" si="26"/>
        <v>Error?</v>
      </c>
    </row>
    <row r="1745" spans="1:5" x14ac:dyDescent="0.2">
      <c r="A1745" s="5">
        <v>1684</v>
      </c>
      <c r="B1745" s="138">
        <f>'Tax Sched 23'!B5</f>
        <v>378929</v>
      </c>
      <c r="C1745" s="2" t="s">
        <v>573</v>
      </c>
      <c r="D1745" s="2" t="str">
        <f t="shared" si="26"/>
        <v>Error?</v>
      </c>
    </row>
    <row r="1746" spans="1:5" x14ac:dyDescent="0.2">
      <c r="A1746" s="5">
        <v>1685</v>
      </c>
      <c r="B1746" s="138">
        <f>'Tax Sched 23'!B6</f>
        <v>479889</v>
      </c>
      <c r="C1746" s="2" t="s">
        <v>573</v>
      </c>
      <c r="D1746" s="2" t="str">
        <f t="shared" si="26"/>
        <v>Error?</v>
      </c>
    </row>
    <row r="1747" spans="1:5" x14ac:dyDescent="0.2">
      <c r="A1747" s="5">
        <v>1686</v>
      </c>
      <c r="B1747" s="138">
        <f>'Tax Sched 23'!B7</f>
        <v>246052</v>
      </c>
      <c r="C1747" s="2" t="s">
        <v>573</v>
      </c>
      <c r="D1747" s="2" t="str">
        <f t="shared" si="26"/>
        <v>Error?</v>
      </c>
    </row>
    <row r="1748" spans="1:5" x14ac:dyDescent="0.2">
      <c r="A1748" s="5">
        <v>1687</v>
      </c>
      <c r="B1748" s="138">
        <f>'Tax Sched 23'!B8</f>
        <v>98446</v>
      </c>
      <c r="C1748" s="2" t="s">
        <v>573</v>
      </c>
      <c r="D1748" s="2" t="str">
        <f t="shared" si="26"/>
        <v>Error?</v>
      </c>
    </row>
    <row r="1749" spans="1:5" x14ac:dyDescent="0.2">
      <c r="A1749" s="5">
        <v>1688</v>
      </c>
      <c r="B1749" s="138">
        <f>'Tax Sched 23'!B10</f>
        <v>83664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137806</v>
      </c>
      <c r="C1752" s="2" t="s">
        <v>573</v>
      </c>
      <c r="D1752" s="2" t="str">
        <f t="shared" si="26"/>
        <v>Error?</v>
      </c>
    </row>
    <row r="1753" spans="1:5" x14ac:dyDescent="0.2">
      <c r="A1753" s="5">
        <v>1692</v>
      </c>
      <c r="B1753" s="138">
        <f>'Tax Sched 23'!B12</f>
        <v>49233</v>
      </c>
      <c r="C1753" s="2" t="s">
        <v>573</v>
      </c>
      <c r="D1753" s="2" t="str">
        <f t="shared" si="26"/>
        <v>Error?</v>
      </c>
    </row>
    <row r="1754" spans="1:5" x14ac:dyDescent="0.2">
      <c r="A1754" s="5">
        <v>1693</v>
      </c>
      <c r="B1754" s="138">
        <f>'Tax Sched 23'!B14</f>
        <v>29541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3878001</v>
      </c>
      <c r="C1759" s="2" t="s">
        <v>573</v>
      </c>
      <c r="D1759" s="2" t="str">
        <f t="shared" si="26"/>
        <v>Error?</v>
      </c>
    </row>
    <row r="1760" spans="1:5" x14ac:dyDescent="0.2">
      <c r="A1760" s="5">
        <v>1699</v>
      </c>
      <c r="B1760" s="138">
        <f>'Tax Sched 23'!D4</f>
        <v>2231710</v>
      </c>
      <c r="C1760" s="2" t="s">
        <v>573</v>
      </c>
      <c r="D1760" s="2" t="str">
        <f t="shared" si="26"/>
        <v>Error?</v>
      </c>
    </row>
    <row r="1761" spans="1:5" x14ac:dyDescent="0.2">
      <c r="A1761" s="5">
        <v>1700</v>
      </c>
      <c r="B1761" s="138">
        <f>'Tax Sched 23'!D5</f>
        <v>378929</v>
      </c>
      <c r="C1761" s="2" t="s">
        <v>573</v>
      </c>
      <c r="D1761" s="2" t="str">
        <f t="shared" si="26"/>
        <v>Error?</v>
      </c>
    </row>
    <row r="1762" spans="1:5" s="8" customFormat="1" x14ac:dyDescent="0.2">
      <c r="A1762" s="5">
        <v>1701</v>
      </c>
      <c r="B1762" s="138">
        <f>'Tax Sched 23'!D6</f>
        <v>479889</v>
      </c>
      <c r="C1762" s="2" t="s">
        <v>573</v>
      </c>
      <c r="D1762" s="2" t="str">
        <f t="shared" si="26"/>
        <v>Error?</v>
      </c>
      <c r="E1762" s="9"/>
    </row>
    <row r="1763" spans="1:5" x14ac:dyDescent="0.2">
      <c r="A1763" s="5">
        <v>1702</v>
      </c>
      <c r="B1763" s="138">
        <f>'Tax Sched 23'!D7</f>
        <v>246052</v>
      </c>
      <c r="C1763" s="2" t="s">
        <v>573</v>
      </c>
      <c r="D1763" s="2" t="str">
        <f t="shared" si="26"/>
        <v>Error?</v>
      </c>
    </row>
    <row r="1764" spans="1:5" x14ac:dyDescent="0.2">
      <c r="A1764" s="5">
        <v>1703</v>
      </c>
      <c r="B1764" s="138">
        <f>'Tax Sched 23'!D8</f>
        <v>98446</v>
      </c>
      <c r="C1764" s="2" t="s">
        <v>573</v>
      </c>
      <c r="D1764" s="2" t="str">
        <f t="shared" si="26"/>
        <v>Error?</v>
      </c>
    </row>
    <row r="1765" spans="1:5" x14ac:dyDescent="0.2">
      <c r="A1765" s="5">
        <v>1704</v>
      </c>
      <c r="B1765" s="138">
        <f>'Tax Sched 23'!D10</f>
        <v>83664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137806</v>
      </c>
      <c r="C1768" s="2" t="s">
        <v>573</v>
      </c>
      <c r="D1768" s="2" t="str">
        <f t="shared" si="26"/>
        <v>Error?</v>
      </c>
    </row>
    <row r="1769" spans="1:5" x14ac:dyDescent="0.2">
      <c r="A1769" s="5">
        <v>1708</v>
      </c>
      <c r="B1769" s="138">
        <f>'Tax Sched 23'!D12</f>
        <v>49233</v>
      </c>
      <c r="C1769" s="2" t="s">
        <v>573</v>
      </c>
      <c r="D1769" s="2" t="str">
        <f t="shared" si="26"/>
        <v>Error?</v>
      </c>
    </row>
    <row r="1770" spans="1:5" x14ac:dyDescent="0.2">
      <c r="A1770" s="5">
        <v>1709</v>
      </c>
      <c r="B1770" s="138">
        <f>'Tax Sched 23'!D14</f>
        <v>29541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3878001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2333656</v>
      </c>
      <c r="C1792" s="2" t="s">
        <v>573</v>
      </c>
      <c r="D1792" s="2" t="str">
        <f t="shared" si="27"/>
        <v>Error?</v>
      </c>
    </row>
    <row r="1793" spans="1:4" x14ac:dyDescent="0.2">
      <c r="A1793" s="5">
        <v>1732</v>
      </c>
      <c r="B1793" s="138">
        <f>'Tax Sched 23'!F5</f>
        <v>379854</v>
      </c>
      <c r="C1793" s="2" t="s">
        <v>573</v>
      </c>
      <c r="D1793" s="2" t="str">
        <f t="shared" si="27"/>
        <v>Error?</v>
      </c>
    </row>
    <row r="1794" spans="1:4" x14ac:dyDescent="0.2">
      <c r="A1794" s="5">
        <v>1733</v>
      </c>
      <c r="B1794" s="138">
        <f>'Tax Sched 23'!F6</f>
        <v>562649</v>
      </c>
      <c r="C1794" s="2" t="s">
        <v>573</v>
      </c>
      <c r="D1794" s="2" t="str">
        <f t="shared" si="27"/>
        <v>Error?</v>
      </c>
    </row>
    <row r="1795" spans="1:4" x14ac:dyDescent="0.2">
      <c r="A1795" s="5">
        <v>1734</v>
      </c>
      <c r="B1795" s="138">
        <f>'Tax Sched 23'!F7</f>
        <v>246660</v>
      </c>
      <c r="C1795" s="2" t="s">
        <v>573</v>
      </c>
      <c r="D1795" s="2" t="str">
        <f t="shared" si="27"/>
        <v>Error?</v>
      </c>
    </row>
    <row r="1796" spans="1:4" x14ac:dyDescent="0.2">
      <c r="A1796" s="5">
        <v>1735</v>
      </c>
      <c r="B1796" s="138">
        <f>'Tax Sched 23'!F8</f>
        <v>98691</v>
      </c>
      <c r="C1796" s="2" t="s">
        <v>573</v>
      </c>
      <c r="D1796" s="2" t="str">
        <f t="shared" si="27"/>
        <v>Error?</v>
      </c>
    </row>
    <row r="1797" spans="1:4" x14ac:dyDescent="0.2">
      <c r="A1797" s="5">
        <v>1736</v>
      </c>
      <c r="B1797" s="138">
        <f>'Tax Sched 23'!F10</f>
        <v>83896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148008</v>
      </c>
      <c r="C1800" s="2" t="s">
        <v>573</v>
      </c>
      <c r="D1800" s="2" t="str">
        <f t="shared" si="27"/>
        <v>Error?</v>
      </c>
    </row>
    <row r="1801" spans="1:4" x14ac:dyDescent="0.2">
      <c r="A1801" s="5">
        <v>1740</v>
      </c>
      <c r="B1801" s="138">
        <f>'Tax Sched 23'!F12</f>
        <v>49355</v>
      </c>
      <c r="C1801" s="2" t="s">
        <v>573</v>
      </c>
      <c r="D1801" s="2" t="str">
        <f t="shared" si="27"/>
        <v>Error?</v>
      </c>
    </row>
    <row r="1802" spans="1:4" x14ac:dyDescent="0.2">
      <c r="A1802" s="5">
        <v>1741</v>
      </c>
      <c r="B1802" s="138">
        <f>'Tax Sched 23'!F14</f>
        <v>29628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4075473</v>
      </c>
      <c r="C1807" s="2" t="s">
        <v>573</v>
      </c>
      <c r="D1807" s="2" t="str">
        <f t="shared" si="27"/>
        <v>Error?</v>
      </c>
    </row>
    <row r="1808" spans="1:4" x14ac:dyDescent="0.2">
      <c r="A1808" s="5">
        <v>1747</v>
      </c>
      <c r="B1808" s="138">
        <f>'Tax Sched 23'!E4</f>
        <v>2333656</v>
      </c>
      <c r="D1808" s="2" t="str">
        <f t="shared" si="27"/>
        <v>Error?</v>
      </c>
    </row>
    <row r="1809" spans="1:4" x14ac:dyDescent="0.2">
      <c r="A1809" s="5">
        <v>1748</v>
      </c>
      <c r="B1809" s="138">
        <f>'Tax Sched 23'!E5</f>
        <v>379854</v>
      </c>
      <c r="D1809" s="2" t="str">
        <f t="shared" si="27"/>
        <v>Error?</v>
      </c>
    </row>
    <row r="1810" spans="1:4" x14ac:dyDescent="0.2">
      <c r="A1810" s="5">
        <v>1749</v>
      </c>
      <c r="B1810" s="138">
        <f>'Tax Sched 23'!E6</f>
        <v>562649</v>
      </c>
      <c r="D1810" s="2" t="str">
        <f t="shared" si="27"/>
        <v>Error?</v>
      </c>
    </row>
    <row r="1811" spans="1:4" x14ac:dyDescent="0.2">
      <c r="A1811" s="5">
        <v>1750</v>
      </c>
      <c r="B1811" s="138">
        <f>'Tax Sched 23'!E7</f>
        <v>246660</v>
      </c>
      <c r="D1811" s="2" t="str">
        <f t="shared" si="27"/>
        <v>Error?</v>
      </c>
    </row>
    <row r="1812" spans="1:4" x14ac:dyDescent="0.2">
      <c r="A1812" s="5">
        <v>1751</v>
      </c>
      <c r="B1812" s="138">
        <f>'Tax Sched 23'!E8</f>
        <v>98691</v>
      </c>
      <c r="D1812" s="2" t="str">
        <f t="shared" si="27"/>
        <v>Error?</v>
      </c>
    </row>
    <row r="1813" spans="1:4" x14ac:dyDescent="0.2">
      <c r="A1813" s="5">
        <v>1752</v>
      </c>
      <c r="B1813" s="138">
        <f>'Tax Sched 23'!E10</f>
        <v>83896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148008</v>
      </c>
      <c r="D1816" s="2" t="str">
        <f t="shared" si="27"/>
        <v>Error?</v>
      </c>
    </row>
    <row r="1817" spans="1:4" x14ac:dyDescent="0.2">
      <c r="A1817" s="5">
        <v>1756</v>
      </c>
      <c r="B1817" s="138">
        <f>'Tax Sched 23'!E12</f>
        <v>49355</v>
      </c>
      <c r="D1817" s="2" t="str">
        <f t="shared" si="27"/>
        <v>Error?</v>
      </c>
    </row>
    <row r="1818" spans="1:4" x14ac:dyDescent="0.2">
      <c r="A1818" s="5">
        <v>1757</v>
      </c>
      <c r="B1818" s="138">
        <f>'Tax Sched 23'!E14</f>
        <v>29628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4075473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2410036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29541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29541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29541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103413</v>
      </c>
      <c r="D2008" s="2" t="str">
        <f t="shared" si="30"/>
        <v>Error?</v>
      </c>
    </row>
    <row r="2009" spans="1:4" x14ac:dyDescent="0.2">
      <c r="A2009" s="5">
        <v>1948</v>
      </c>
      <c r="B2009" s="138">
        <f>'Cap Outlay Deprec 26'!C8</f>
        <v>10540390</v>
      </c>
      <c r="D2009" s="2" t="str">
        <f t="shared" si="30"/>
        <v>Error?</v>
      </c>
    </row>
    <row r="2010" spans="1:4" x14ac:dyDescent="0.2">
      <c r="A2010" s="5">
        <v>1949</v>
      </c>
      <c r="B2010" s="138">
        <f>'Cap Outlay Deprec 26'!C10</f>
        <v>1120512</v>
      </c>
      <c r="D2010" s="2" t="str">
        <f t="shared" si="30"/>
        <v>Error?</v>
      </c>
    </row>
    <row r="2011" spans="1:4" x14ac:dyDescent="0.2">
      <c r="A2011" s="5">
        <v>1950</v>
      </c>
      <c r="B2011" s="138">
        <f>'Cap Outlay Deprec 26'!C12</f>
        <v>960516</v>
      </c>
      <c r="D2011" s="2" t="str">
        <f t="shared" si="30"/>
        <v>Error?</v>
      </c>
    </row>
    <row r="2012" spans="1:4" x14ac:dyDescent="0.2">
      <c r="A2012" s="5">
        <v>1951</v>
      </c>
      <c r="B2012" s="138">
        <f>'Cap Outlay Deprec 26'!C13</f>
        <v>845247</v>
      </c>
      <c r="D2012" s="2" t="str">
        <f t="shared" si="30"/>
        <v>Error?</v>
      </c>
    </row>
    <row r="2013" spans="1:4" x14ac:dyDescent="0.2">
      <c r="A2013" s="5">
        <v>1952</v>
      </c>
      <c r="B2013" s="138">
        <f>'Cap Outlay Deprec 26'!C16</f>
        <v>13570078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2575000</v>
      </c>
      <c r="D2015" s="2" t="str">
        <f t="shared" si="30"/>
        <v>Error?</v>
      </c>
    </row>
    <row r="2016" spans="1:4" x14ac:dyDescent="0.2">
      <c r="A2016" s="5">
        <v>1955</v>
      </c>
      <c r="B2016" s="138">
        <f>'Cap Outlay Deprec 26'!D10</f>
        <v>25745</v>
      </c>
      <c r="D2016" s="2" t="str">
        <f t="shared" si="30"/>
        <v>Error?</v>
      </c>
    </row>
    <row r="2017" spans="1:4" x14ac:dyDescent="0.2">
      <c r="A2017" s="5">
        <v>1956</v>
      </c>
      <c r="B2017" s="138">
        <f>'Cap Outlay Deprec 26'!D12</f>
        <v>131766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2732511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112756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112756</v>
      </c>
      <c r="C2025" s="2" t="s">
        <v>573</v>
      </c>
      <c r="D2025" s="2" t="str">
        <f t="shared" si="30"/>
        <v>Error?</v>
      </c>
    </row>
    <row r="2026" spans="1:4" x14ac:dyDescent="0.2">
      <c r="A2026" s="5">
        <v>1965</v>
      </c>
      <c r="B2026" s="138">
        <f>'Cap Outlay Deprec 26'!F5</f>
        <v>103413</v>
      </c>
      <c r="C2026" s="2" t="s">
        <v>573</v>
      </c>
      <c r="D2026" s="2" t="str">
        <f t="shared" si="30"/>
        <v>Error?</v>
      </c>
    </row>
    <row r="2027" spans="1:4" x14ac:dyDescent="0.2">
      <c r="A2027" s="5">
        <v>1966</v>
      </c>
      <c r="B2027" s="138">
        <f>'Cap Outlay Deprec 26'!F8</f>
        <v>13115390</v>
      </c>
      <c r="C2027" s="2" t="s">
        <v>573</v>
      </c>
      <c r="D2027" s="2" t="str">
        <f t="shared" si="30"/>
        <v>Error?</v>
      </c>
    </row>
    <row r="2028" spans="1:4" x14ac:dyDescent="0.2">
      <c r="A2028" s="5">
        <v>1967</v>
      </c>
      <c r="B2028" s="138">
        <f>'Cap Outlay Deprec 26'!F10</f>
        <v>1146257</v>
      </c>
      <c r="C2028" s="2" t="s">
        <v>573</v>
      </c>
      <c r="D2028" s="2" t="str">
        <f t="shared" si="30"/>
        <v>Error?</v>
      </c>
    </row>
    <row r="2029" spans="1:4" x14ac:dyDescent="0.2">
      <c r="A2029" s="5">
        <v>1968</v>
      </c>
      <c r="B2029" s="138">
        <f>'Cap Outlay Deprec 26'!F12</f>
        <v>979526</v>
      </c>
      <c r="C2029" s="2" t="s">
        <v>573</v>
      </c>
      <c r="D2029" s="2" t="str">
        <f t="shared" si="30"/>
        <v>Error?</v>
      </c>
    </row>
    <row r="2030" spans="1:4" x14ac:dyDescent="0.2">
      <c r="A2030" s="5">
        <v>1969</v>
      </c>
      <c r="B2030" s="138">
        <f>'Cap Outlay Deprec 26'!F13</f>
        <v>845247</v>
      </c>
      <c r="C2030" s="2" t="s">
        <v>573</v>
      </c>
      <c r="D2030" s="2" t="str">
        <f t="shared" si="30"/>
        <v>Error?</v>
      </c>
    </row>
    <row r="2031" spans="1:4" x14ac:dyDescent="0.2">
      <c r="A2031" s="5">
        <v>1970</v>
      </c>
      <c r="B2031" s="138">
        <f>'Cap Outlay Deprec 26'!F16</f>
        <v>16189833</v>
      </c>
      <c r="C2031" s="2" t="s">
        <v>573</v>
      </c>
      <c r="D2031" s="2" t="str">
        <f t="shared" si="30"/>
        <v>Error?</v>
      </c>
    </row>
    <row r="2032" spans="1:4" x14ac:dyDescent="0.2">
      <c r="A2032" s="10">
        <v>1971</v>
      </c>
      <c r="D2032" s="2" t="str">
        <f t="shared" si="30"/>
        <v>OK</v>
      </c>
    </row>
    <row r="2033" spans="1:4" x14ac:dyDescent="0.2">
      <c r="A2033" s="5">
        <v>1972</v>
      </c>
      <c r="B2033" s="138">
        <f>'Cap Outlay Deprec 26'!H8</f>
        <v>5878970</v>
      </c>
      <c r="D2033" s="2" t="str">
        <f t="shared" si="30"/>
        <v>Error?</v>
      </c>
    </row>
    <row r="2034" spans="1:4" x14ac:dyDescent="0.2">
      <c r="A2034" s="5">
        <v>1973</v>
      </c>
      <c r="B2034" s="138">
        <f>'Cap Outlay Deprec 26'!H10</f>
        <v>866852</v>
      </c>
      <c r="D2034" s="2" t="str">
        <f t="shared" si="30"/>
        <v>Error?</v>
      </c>
    </row>
    <row r="2035" spans="1:4" x14ac:dyDescent="0.2">
      <c r="A2035" s="5">
        <v>1974</v>
      </c>
      <c r="B2035" s="138">
        <f>'Cap Outlay Deprec 26'!H12</f>
        <v>726565</v>
      </c>
      <c r="D2035" s="2" t="str">
        <f t="shared" si="30"/>
        <v>Error?</v>
      </c>
    </row>
    <row r="2036" spans="1:4" x14ac:dyDescent="0.2">
      <c r="A2036" s="5">
        <v>1975</v>
      </c>
      <c r="B2036" s="138">
        <f>'Cap Outlay Deprec 26'!H13</f>
        <v>480099</v>
      </c>
      <c r="D2036" s="2" t="str">
        <f t="shared" si="30"/>
        <v>Error?</v>
      </c>
    </row>
    <row r="2037" spans="1:4" x14ac:dyDescent="0.2">
      <c r="A2037" s="5">
        <v>1976</v>
      </c>
      <c r="B2037" s="138">
        <f>'Cap Outlay Deprec 26'!H16</f>
        <v>7952486</v>
      </c>
      <c r="C2037" s="2" t="s">
        <v>573</v>
      </c>
      <c r="D2037" s="2" t="str">
        <f t="shared" si="30"/>
        <v>Error?</v>
      </c>
    </row>
    <row r="2038" spans="1:4" x14ac:dyDescent="0.2">
      <c r="A2038" s="10">
        <v>1977</v>
      </c>
      <c r="D2038" s="2" t="str">
        <f t="shared" si="30"/>
        <v>OK</v>
      </c>
    </row>
    <row r="2039" spans="1:4" x14ac:dyDescent="0.2">
      <c r="A2039" s="5">
        <v>1978</v>
      </c>
      <c r="B2039" s="138">
        <f>'Cap Outlay Deprec 26'!I8</f>
        <v>228580</v>
      </c>
      <c r="D2039" s="2" t="str">
        <f t="shared" si="30"/>
        <v>Error?</v>
      </c>
    </row>
    <row r="2040" spans="1:4" x14ac:dyDescent="0.2">
      <c r="A2040" s="5">
        <v>1979</v>
      </c>
      <c r="B2040" s="138">
        <f>'Cap Outlay Deprec 26'!I10</f>
        <v>17945</v>
      </c>
      <c r="D2040" s="2" t="str">
        <f t="shared" si="30"/>
        <v>Error?</v>
      </c>
    </row>
    <row r="2041" spans="1:4" x14ac:dyDescent="0.2">
      <c r="A2041" s="5">
        <v>1980</v>
      </c>
      <c r="B2041" s="138">
        <f>'Cap Outlay Deprec 26'!I12</f>
        <v>76111</v>
      </c>
      <c r="D2041" s="2" t="str">
        <f t="shared" si="30"/>
        <v>Error?</v>
      </c>
    </row>
    <row r="2042" spans="1:4" x14ac:dyDescent="0.2">
      <c r="A2042" s="5">
        <v>1981</v>
      </c>
      <c r="B2042" s="138">
        <f>'Cap Outlay Deprec 26'!I13</f>
        <v>96795</v>
      </c>
      <c r="D2042" s="2" t="str">
        <f t="shared" si="30"/>
        <v>Error?</v>
      </c>
    </row>
    <row r="2043" spans="1:4" x14ac:dyDescent="0.2">
      <c r="A2043" s="5">
        <v>1982</v>
      </c>
      <c r="B2043" s="138">
        <f>'Cap Outlay Deprec 26'!I16</f>
        <v>419431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112756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112756</v>
      </c>
      <c r="C2049" s="2" t="s">
        <v>573</v>
      </c>
      <c r="D2049" s="2" t="str">
        <f t="shared" si="31"/>
        <v>Error?</v>
      </c>
    </row>
    <row r="2050" spans="1:4" x14ac:dyDescent="0.2">
      <c r="A2050" s="10">
        <v>1989</v>
      </c>
      <c r="D2050" s="2" t="str">
        <f t="shared" si="31"/>
        <v>OK</v>
      </c>
    </row>
    <row r="2051" spans="1:4" x14ac:dyDescent="0.2">
      <c r="A2051" s="5">
        <v>1990</v>
      </c>
      <c r="B2051" s="138">
        <f>'Cap Outlay Deprec 26'!K8</f>
        <v>6107550</v>
      </c>
      <c r="C2051" s="2" t="s">
        <v>573</v>
      </c>
      <c r="D2051" s="2" t="str">
        <f t="shared" si="31"/>
        <v>Error?</v>
      </c>
    </row>
    <row r="2052" spans="1:4" x14ac:dyDescent="0.2">
      <c r="A2052" s="5">
        <v>1991</v>
      </c>
      <c r="B2052" s="138">
        <f>'Cap Outlay Deprec 26'!K10</f>
        <v>884797</v>
      </c>
      <c r="C2052" s="2" t="s">
        <v>573</v>
      </c>
      <c r="D2052" s="2" t="str">
        <f t="shared" si="31"/>
        <v>Error?</v>
      </c>
    </row>
    <row r="2053" spans="1:4" x14ac:dyDescent="0.2">
      <c r="A2053" s="5">
        <v>1992</v>
      </c>
      <c r="B2053" s="138">
        <f>'Cap Outlay Deprec 26'!K12</f>
        <v>689920</v>
      </c>
      <c r="C2053" s="2" t="s">
        <v>573</v>
      </c>
      <c r="D2053" s="2" t="str">
        <f t="shared" si="31"/>
        <v>Error?</v>
      </c>
    </row>
    <row r="2054" spans="1:4" x14ac:dyDescent="0.2">
      <c r="A2054" s="5">
        <v>1993</v>
      </c>
      <c r="B2054" s="138">
        <f>'Cap Outlay Deprec 26'!K13</f>
        <v>576894</v>
      </c>
      <c r="C2054" s="2" t="s">
        <v>573</v>
      </c>
      <c r="D2054" s="2" t="str">
        <f t="shared" si="31"/>
        <v>Error?</v>
      </c>
    </row>
    <row r="2055" spans="1:4" x14ac:dyDescent="0.2">
      <c r="A2055" s="5">
        <v>1994</v>
      </c>
      <c r="B2055" s="138">
        <f>'Cap Outlay Deprec 26'!K16</f>
        <v>8259161</v>
      </c>
      <c r="C2055" s="2" t="s">
        <v>573</v>
      </c>
      <c r="D2055" s="2" t="str">
        <f t="shared" si="31"/>
        <v>Error?</v>
      </c>
    </row>
    <row r="2056" spans="1:4" x14ac:dyDescent="0.2">
      <c r="A2056" s="5">
        <v>1995</v>
      </c>
      <c r="B2056" s="138">
        <f>'Cap Outlay Deprec 26'!L5</f>
        <v>103413</v>
      </c>
      <c r="C2056" s="2" t="s">
        <v>573</v>
      </c>
      <c r="D2056" s="2" t="str">
        <f t="shared" si="31"/>
        <v>Error?</v>
      </c>
    </row>
    <row r="2057" spans="1:4" x14ac:dyDescent="0.2">
      <c r="A2057" s="5">
        <v>1996</v>
      </c>
      <c r="B2057" s="138">
        <f>'Cap Outlay Deprec 26'!L8</f>
        <v>7007840</v>
      </c>
      <c r="C2057" s="2" t="s">
        <v>573</v>
      </c>
      <c r="D2057" s="2" t="str">
        <f t="shared" si="31"/>
        <v>Error?</v>
      </c>
    </row>
    <row r="2058" spans="1:4" x14ac:dyDescent="0.2">
      <c r="A2058" s="5">
        <v>1997</v>
      </c>
      <c r="B2058" s="138">
        <f>'Cap Outlay Deprec 26'!L10</f>
        <v>261460</v>
      </c>
      <c r="C2058" s="2" t="s">
        <v>573</v>
      </c>
      <c r="D2058" s="2" t="str">
        <f t="shared" si="31"/>
        <v>Error?</v>
      </c>
    </row>
    <row r="2059" spans="1:4" x14ac:dyDescent="0.2">
      <c r="A2059" s="5">
        <v>1998</v>
      </c>
      <c r="B2059" s="138">
        <f>'Cap Outlay Deprec 26'!L12</f>
        <v>289606</v>
      </c>
      <c r="C2059" s="2" t="s">
        <v>573</v>
      </c>
      <c r="D2059" s="2" t="str">
        <f t="shared" si="31"/>
        <v>Error?</v>
      </c>
    </row>
    <row r="2060" spans="1:4" x14ac:dyDescent="0.2">
      <c r="A2060" s="5">
        <v>1999</v>
      </c>
      <c r="B2060" s="138">
        <f>'Cap Outlay Deprec 26'!L13</f>
        <v>268353</v>
      </c>
      <c r="C2060" s="2" t="s">
        <v>573</v>
      </c>
      <c r="D2060" s="2" t="str">
        <f t="shared" si="31"/>
        <v>Error?</v>
      </c>
    </row>
    <row r="2061" spans="1:4" x14ac:dyDescent="0.2">
      <c r="A2061" s="5">
        <v>2000</v>
      </c>
      <c r="B2061" s="138">
        <f>'Cap Outlay Deprec 26'!L16</f>
        <v>7930672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352047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352047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1735000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21928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12596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2938225</v>
      </c>
      <c r="C2551" s="2" t="s">
        <v>573</v>
      </c>
      <c r="D2551" s="2" t="str">
        <f t="shared" si="38"/>
        <v>Error?</v>
      </c>
    </row>
    <row r="2552" spans="1:4" x14ac:dyDescent="0.2">
      <c r="A2552" s="10">
        <v>2491</v>
      </c>
      <c r="D2552" s="2" t="str">
        <f t="shared" si="38"/>
        <v>OK</v>
      </c>
    </row>
    <row r="2553" spans="1:4" x14ac:dyDescent="0.2">
      <c r="A2553" s="5">
        <v>2492</v>
      </c>
      <c r="B2553" s="138">
        <f>'Acct Summary 7-8'!C6</f>
        <v>2808991</v>
      </c>
      <c r="C2553" s="2" t="s">
        <v>573</v>
      </c>
      <c r="D2553" s="2" t="str">
        <f t="shared" si="38"/>
        <v>Error?</v>
      </c>
    </row>
    <row r="2554" spans="1:4" x14ac:dyDescent="0.2">
      <c r="A2554" s="5">
        <v>2493</v>
      </c>
      <c r="B2554" s="138">
        <f>'Acct Summary 7-8'!C7</f>
        <v>566982</v>
      </c>
      <c r="C2554" s="2" t="s">
        <v>573</v>
      </c>
      <c r="D2554" s="2" t="str">
        <f t="shared" si="38"/>
        <v>Error?</v>
      </c>
    </row>
    <row r="2555" spans="1:4" x14ac:dyDescent="0.2">
      <c r="A2555" s="5">
        <v>2494</v>
      </c>
      <c r="B2555" s="138">
        <f>'Acct Summary 7-8'!C8</f>
        <v>6314198</v>
      </c>
      <c r="C2555" s="2" t="s">
        <v>573</v>
      </c>
      <c r="D2555" s="2" t="str">
        <f t="shared" si="38"/>
        <v>Error?</v>
      </c>
    </row>
    <row r="2556" spans="1:4" x14ac:dyDescent="0.2">
      <c r="A2556" s="5">
        <v>2495</v>
      </c>
      <c r="B2556" s="138">
        <f>'Acct Summary 7-8'!C12</f>
        <v>3913159</v>
      </c>
      <c r="C2556" s="2" t="s">
        <v>573</v>
      </c>
      <c r="D2556" s="2" t="str">
        <f t="shared" si="38"/>
        <v>Error?</v>
      </c>
    </row>
    <row r="2557" spans="1:4" x14ac:dyDescent="0.2">
      <c r="A2557" s="5">
        <v>2496</v>
      </c>
      <c r="B2557" s="138">
        <f>'Acct Summary 7-8'!C13</f>
        <v>1765509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352047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6030715</v>
      </c>
      <c r="C2561" s="2" t="s">
        <v>573</v>
      </c>
      <c r="D2561" s="2" t="str">
        <f t="shared" si="39"/>
        <v>Error?</v>
      </c>
    </row>
    <row r="2562" spans="1:4" x14ac:dyDescent="0.2">
      <c r="A2562" s="5">
        <v>2501</v>
      </c>
      <c r="B2562" s="138">
        <f>'Acct Summary 7-8'!C20</f>
        <v>283483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402417</v>
      </c>
      <c r="C2564" s="2" t="s">
        <v>573</v>
      </c>
      <c r="D2564" s="2" t="str">
        <f t="shared" si="39"/>
        <v>Error?</v>
      </c>
    </row>
    <row r="2565" spans="1:4" x14ac:dyDescent="0.2">
      <c r="A2565" s="10">
        <v>2504</v>
      </c>
      <c r="D2565" s="2" t="str">
        <f t="shared" si="39"/>
        <v>OK</v>
      </c>
    </row>
    <row r="2566" spans="1:4" x14ac:dyDescent="0.2">
      <c r="A2566" s="5">
        <v>2505</v>
      </c>
      <c r="B2566" s="138">
        <f>'Acct Summary 7-8'!D6</f>
        <v>835345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1237762</v>
      </c>
      <c r="C2568" s="2" t="s">
        <v>573</v>
      </c>
      <c r="D2568" s="2" t="str">
        <f t="shared" si="39"/>
        <v>Error?</v>
      </c>
    </row>
    <row r="2569" spans="1:4" x14ac:dyDescent="0.2">
      <c r="A2569" s="5">
        <v>2508</v>
      </c>
      <c r="B2569" s="138">
        <f>'Acct Summary 7-8'!D13</f>
        <v>2970873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2970873</v>
      </c>
      <c r="C2573" s="2" t="s">
        <v>573</v>
      </c>
      <c r="D2573" s="2" t="str">
        <f t="shared" si="39"/>
        <v>Error?</v>
      </c>
    </row>
    <row r="2574" spans="1:4" x14ac:dyDescent="0.2">
      <c r="A2574" s="5">
        <v>2513</v>
      </c>
      <c r="B2574" s="138">
        <f>'Acct Summary 7-8'!D20</f>
        <v>-1733111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250640</v>
      </c>
      <c r="C2591" s="2" t="s">
        <v>573</v>
      </c>
      <c r="D2591" s="2" t="str">
        <f t="shared" si="39"/>
        <v>Error?</v>
      </c>
    </row>
    <row r="2592" spans="1:4" x14ac:dyDescent="0.2">
      <c r="A2592" s="10">
        <v>2531</v>
      </c>
      <c r="D2592" s="2" t="str">
        <f t="shared" si="39"/>
        <v>OK</v>
      </c>
    </row>
    <row r="2593" spans="1:4" x14ac:dyDescent="0.2">
      <c r="A2593" s="5">
        <v>2532</v>
      </c>
      <c r="B2593" s="138">
        <f>'Acct Summary 7-8'!F6</f>
        <v>125582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377841</v>
      </c>
      <c r="C2595" s="2" t="s">
        <v>573</v>
      </c>
      <c r="D2595" s="2" t="str">
        <f t="shared" si="39"/>
        <v>Error?</v>
      </c>
    </row>
    <row r="2596" spans="1:4" x14ac:dyDescent="0.2">
      <c r="A2596" s="5">
        <v>2535</v>
      </c>
      <c r="B2596" s="138">
        <f>'Acct Summary 7-8'!F13</f>
        <v>248328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83813</v>
      </c>
      <c r="C2599" s="2" t="s">
        <v>573</v>
      </c>
      <c r="D2599" s="2" t="str">
        <f t="shared" si="39"/>
        <v>Error?</v>
      </c>
    </row>
    <row r="2600" spans="1:4" x14ac:dyDescent="0.2">
      <c r="A2600" s="5">
        <v>2539</v>
      </c>
      <c r="B2600" s="138">
        <f>'Acct Summary 7-8'!F17</f>
        <v>332141</v>
      </c>
      <c r="C2600" s="2" t="s">
        <v>573</v>
      </c>
      <c r="D2600" s="2" t="str">
        <f t="shared" si="39"/>
        <v>Error?</v>
      </c>
    </row>
    <row r="2601" spans="1:4" x14ac:dyDescent="0.2">
      <c r="A2601" s="5">
        <v>2540</v>
      </c>
      <c r="B2601" s="138">
        <f>'Acct Summary 7-8'!F20</f>
        <v>45700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253700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253700</v>
      </c>
      <c r="C2606" s="2" t="s">
        <v>573</v>
      </c>
      <c r="D2606" s="2" t="str">
        <f t="shared" si="39"/>
        <v>Error?</v>
      </c>
    </row>
    <row r="2607" spans="1:4" x14ac:dyDescent="0.2">
      <c r="A2607" s="5">
        <v>2546</v>
      </c>
      <c r="B2607" s="138">
        <f>'Acct Summary 7-8'!G12</f>
        <v>97327</v>
      </c>
      <c r="C2607" s="2" t="s">
        <v>573</v>
      </c>
      <c r="D2607" s="2" t="str">
        <f t="shared" si="39"/>
        <v>Error?</v>
      </c>
    </row>
    <row r="2608" spans="1:4" x14ac:dyDescent="0.2">
      <c r="A2608" s="5">
        <v>2547</v>
      </c>
      <c r="B2608" s="138">
        <f>'Acct Summary 7-8'!G13</f>
        <v>153096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250423</v>
      </c>
      <c r="C2612" s="2" t="s">
        <v>573</v>
      </c>
      <c r="D2612" s="2" t="str">
        <f t="shared" si="39"/>
        <v>Error?</v>
      </c>
    </row>
    <row r="2613" spans="1:4" x14ac:dyDescent="0.2">
      <c r="A2613" s="5">
        <v>2552</v>
      </c>
      <c r="B2613" s="138">
        <f>'Acct Summary 7-8'!G20</f>
        <v>3277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482095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482095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475750</v>
      </c>
      <c r="C2634" s="2" t="s">
        <v>573</v>
      </c>
      <c r="D2634" s="2" t="str">
        <f t="shared" si="40"/>
        <v>Error?</v>
      </c>
    </row>
    <row r="2635" spans="1:4" x14ac:dyDescent="0.2">
      <c r="A2635" s="5">
        <v>2574</v>
      </c>
      <c r="B2635" s="138">
        <f>'Acct Summary 7-8'!E17</f>
        <v>475750</v>
      </c>
      <c r="C2635" s="2" t="s">
        <v>573</v>
      </c>
      <c r="D2635" s="2" t="str">
        <f t="shared" si="40"/>
        <v>Error?</v>
      </c>
    </row>
    <row r="2636" spans="1:4" x14ac:dyDescent="0.2">
      <c r="A2636" s="5">
        <v>2575</v>
      </c>
      <c r="B2636" s="138">
        <f>'Acct Summary 7-8'!E20</f>
        <v>6345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447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447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631705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1481033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409230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1481033</v>
      </c>
      <c r="D2912" s="2" t="str">
        <f t="shared" si="44"/>
        <v>Error?</v>
      </c>
    </row>
    <row r="2913" spans="1:4" x14ac:dyDescent="0.2">
      <c r="A2913" s="5">
        <v>2852</v>
      </c>
      <c r="B2913" s="138">
        <f>'Assets-Liab 5-6'!I41</f>
        <v>1481033</v>
      </c>
      <c r="C2913" s="2" t="s">
        <v>573</v>
      </c>
      <c r="D2913" s="2" t="str">
        <f t="shared" si="44"/>
        <v>Error?</v>
      </c>
    </row>
    <row r="2914" spans="1:4" x14ac:dyDescent="0.2">
      <c r="A2914" s="5">
        <v>2853</v>
      </c>
      <c r="B2914" s="138">
        <f>'Assets-Liab 5-6'!L33</f>
        <v>409230</v>
      </c>
      <c r="D2914" s="2" t="str">
        <f t="shared" si="44"/>
        <v>Error?</v>
      </c>
    </row>
    <row r="2915" spans="1:4" x14ac:dyDescent="0.2">
      <c r="A2915" s="10">
        <v>2854</v>
      </c>
      <c r="D2915" s="2" t="str">
        <f t="shared" si="44"/>
        <v>OK</v>
      </c>
    </row>
    <row r="2916" spans="1:4" x14ac:dyDescent="0.2">
      <c r="A2916" s="5">
        <v>2855</v>
      </c>
      <c r="B2916" s="138">
        <f>'Assets-Liab 5-6'!L34</f>
        <v>409230</v>
      </c>
      <c r="C2916" s="2" t="s">
        <v>573</v>
      </c>
      <c r="D2916" s="2" t="str">
        <f t="shared" si="44"/>
        <v>Error?</v>
      </c>
    </row>
    <row r="2917" spans="1:4" x14ac:dyDescent="0.2">
      <c r="A2917" s="5">
        <v>2856</v>
      </c>
      <c r="B2917" s="138">
        <f>'Assets-Liab 5-6'!L41</f>
        <v>409230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352047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352047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68974</v>
      </c>
      <c r="D3055" s="2" t="str">
        <f t="shared" si="46"/>
        <v>Error?</v>
      </c>
    </row>
    <row r="3056" spans="1:4" x14ac:dyDescent="0.2">
      <c r="A3056" s="5">
        <v>2995</v>
      </c>
      <c r="B3056" s="138">
        <f>'Expenditures 15-22'!D10</f>
        <v>7938</v>
      </c>
      <c r="D3056" s="2" t="str">
        <f t="shared" si="46"/>
        <v>Error?</v>
      </c>
    </row>
    <row r="3057" spans="1:4" x14ac:dyDescent="0.2">
      <c r="A3057" s="5">
        <v>2996</v>
      </c>
      <c r="B3057" s="138">
        <f>'Expenditures 15-22'!E10</f>
        <v>13584</v>
      </c>
      <c r="D3057" s="2" t="str">
        <f t="shared" si="46"/>
        <v>Error?</v>
      </c>
    </row>
    <row r="3058" spans="1:4" x14ac:dyDescent="0.2">
      <c r="A3058" s="5">
        <v>2997</v>
      </c>
      <c r="B3058" s="138">
        <f>'Expenditures 15-22'!F10</f>
        <v>62942</v>
      </c>
      <c r="D3058" s="2" t="str">
        <f t="shared" si="46"/>
        <v>Error?</v>
      </c>
    </row>
    <row r="3059" spans="1:4" x14ac:dyDescent="0.2">
      <c r="A3059" s="5">
        <v>2998</v>
      </c>
      <c r="B3059" s="138">
        <f>'Expenditures 15-22'!G10</f>
        <v>7976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161414</v>
      </c>
      <c r="C3062" s="2" t="s">
        <v>573</v>
      </c>
      <c r="D3062" s="2" t="str">
        <f t="shared" si="46"/>
        <v>Error?</v>
      </c>
    </row>
    <row r="3063" spans="1:4" x14ac:dyDescent="0.2">
      <c r="A3063" s="10">
        <v>3002</v>
      </c>
      <c r="D3063" s="2" t="str">
        <f t="shared" si="46"/>
        <v>OK</v>
      </c>
    </row>
    <row r="3064" spans="1:4" x14ac:dyDescent="0.2">
      <c r="A3064" s="5">
        <v>3003</v>
      </c>
      <c r="B3064" s="138">
        <f>'Expenditures 15-22'!D219</f>
        <v>947</v>
      </c>
      <c r="D3064" s="2" t="str">
        <f t="shared" si="46"/>
        <v>Error?</v>
      </c>
    </row>
    <row r="3065" spans="1:4" x14ac:dyDescent="0.2">
      <c r="A3065" s="5">
        <v>3004</v>
      </c>
      <c r="B3065" s="138">
        <f>'Expenditures 15-22'!K219</f>
        <v>947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110617</v>
      </c>
      <c r="C3225" s="2" t="s">
        <v>573</v>
      </c>
      <c r="D3225" s="2" t="str">
        <f t="shared" si="49"/>
        <v>Error?</v>
      </c>
    </row>
    <row r="3226" spans="1:4" x14ac:dyDescent="0.2">
      <c r="A3226" s="5">
        <v>3165</v>
      </c>
      <c r="B3226" s="138">
        <f>'Acct Summary 7-8'!I8</f>
        <v>110617</v>
      </c>
      <c r="C3226" s="2" t="s">
        <v>573</v>
      </c>
      <c r="D3226" s="2" t="str">
        <f t="shared" si="49"/>
        <v>Error?</v>
      </c>
    </row>
    <row r="3227" spans="1:4" x14ac:dyDescent="0.2">
      <c r="A3227" s="5">
        <v>3166</v>
      </c>
      <c r="B3227" s="138">
        <f>'Acct Summary 7-8'!I20</f>
        <v>110617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283483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1735000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1735000</v>
      </c>
      <c r="C3238" s="2" t="s">
        <v>573</v>
      </c>
      <c r="D3238" s="2" t="str">
        <f t="shared" si="49"/>
        <v>Error?</v>
      </c>
    </row>
    <row r="3239" spans="1:4" x14ac:dyDescent="0.2">
      <c r="A3239" s="5">
        <v>3178</v>
      </c>
      <c r="B3239" s="138">
        <f>'Acct Summary 7-8'!D78</f>
        <v>1889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45700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3277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6345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1735000</v>
      </c>
      <c r="C3318" s="2" t="s">
        <v>573</v>
      </c>
      <c r="D3318" s="2" t="str">
        <f t="shared" si="50"/>
        <v>Error?</v>
      </c>
    </row>
    <row r="3319" spans="1:4" x14ac:dyDescent="0.2">
      <c r="A3319" s="5">
        <v>3258</v>
      </c>
      <c r="B3319" s="138">
        <f>'Acct Summary 7-8'!I77</f>
        <v>-1735000</v>
      </c>
      <c r="C3319" s="2" t="s">
        <v>573</v>
      </c>
      <c r="D3319" s="2" t="str">
        <f t="shared" si="50"/>
        <v>Error?</v>
      </c>
    </row>
    <row r="3320" spans="1:4" x14ac:dyDescent="0.2">
      <c r="A3320" s="5">
        <v>3259</v>
      </c>
      <c r="B3320" s="138">
        <f>'Acct Summary 7-8'!I78</f>
        <v>-1624383</v>
      </c>
      <c r="C3320" s="2" t="s">
        <v>573</v>
      </c>
      <c r="D3320" s="2" t="str">
        <f t="shared" si="50"/>
        <v>Error?</v>
      </c>
    </row>
    <row r="3321" spans="1:4" x14ac:dyDescent="0.2">
      <c r="A3321" s="5">
        <v>3260</v>
      </c>
      <c r="B3321" s="138">
        <f>'Acct Summary 7-8'!I79</f>
        <v>3105416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1481033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520242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79397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608429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44485</v>
      </c>
      <c r="D3387" s="2" t="str">
        <f t="shared" si="51"/>
        <v>Error?</v>
      </c>
    </row>
    <row r="3388" spans="1:4" x14ac:dyDescent="0.2">
      <c r="A3388" s="5">
        <v>3327</v>
      </c>
      <c r="B3388" s="138">
        <f>'Expenditures 15-22'!D217</f>
        <v>33285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44485</v>
      </c>
      <c r="C3390" s="2" t="s">
        <v>573</v>
      </c>
      <c r="D3390" s="2" t="str">
        <f t="shared" si="51"/>
        <v>Error?</v>
      </c>
    </row>
    <row r="3391" spans="1:4" x14ac:dyDescent="0.2">
      <c r="A3391" s="5">
        <v>3330</v>
      </c>
      <c r="B3391" s="138">
        <f>'Expenditures 15-22'!K217</f>
        <v>33285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1619</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2537300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660571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112978</v>
      </c>
      <c r="D3417" s="2" t="str">
        <f t="shared" si="52"/>
        <v>Error?</v>
      </c>
    </row>
    <row r="3418" spans="1:4" x14ac:dyDescent="0.2">
      <c r="A3418" s="10">
        <v>3357</v>
      </c>
      <c r="D3418" s="2" t="str">
        <f t="shared" si="52"/>
        <v>OK</v>
      </c>
    </row>
    <row r="3419" spans="1:4" x14ac:dyDescent="0.2">
      <c r="A3419" s="5">
        <v>3358</v>
      </c>
      <c r="B3419" s="138">
        <f>'Assets-Liab 5-6'!F4</f>
        <v>245637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169764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849328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409230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123024</v>
      </c>
      <c r="C3446" s="2" t="s">
        <v>573</v>
      </c>
      <c r="D3446" s="2" t="str">
        <f t="shared" si="52"/>
        <v>Error?</v>
      </c>
    </row>
    <row r="3447" spans="1:4" x14ac:dyDescent="0.2">
      <c r="A3447" s="5">
        <v>3386</v>
      </c>
      <c r="B3447" s="138">
        <f>'Tax Sched 23'!D16</f>
        <v>123024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123330</v>
      </c>
      <c r="C3449" s="2" t="s">
        <v>573</v>
      </c>
      <c r="D3449" s="2" t="str">
        <f t="shared" si="52"/>
        <v>Error?</v>
      </c>
    </row>
    <row r="3450" spans="1:4" x14ac:dyDescent="0.2">
      <c r="A3450" s="5">
        <v>3389</v>
      </c>
      <c r="B3450" s="138">
        <f>'Tax Sched 23'!E16</f>
        <v>123330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63159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63159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63159</v>
      </c>
      <c r="D3567" s="2" t="str">
        <f t="shared" si="54"/>
        <v>Error?</v>
      </c>
    </row>
    <row r="3568" spans="1:4" x14ac:dyDescent="0.2">
      <c r="A3568" s="5">
        <v>3507</v>
      </c>
      <c r="B3568" s="138">
        <f>'Assets-Liab 5-6'!K41</f>
        <v>63159</v>
      </c>
      <c r="C3568" s="2" t="s">
        <v>573</v>
      </c>
      <c r="D3568" s="2" t="str">
        <f t="shared" si="54"/>
        <v>Error?</v>
      </c>
    </row>
    <row r="3569" spans="1:4" x14ac:dyDescent="0.2">
      <c r="A3569" s="5">
        <v>3508</v>
      </c>
      <c r="B3569" s="138">
        <f>'Acct Summary 7-8'!K4</f>
        <v>50719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50719</v>
      </c>
      <c r="C3571" s="2" t="s">
        <v>573</v>
      </c>
      <c r="D3571" s="2" t="str">
        <f t="shared" si="54"/>
        <v>Error?</v>
      </c>
    </row>
    <row r="3572" spans="1:4" x14ac:dyDescent="0.2">
      <c r="A3572" s="5">
        <v>3511</v>
      </c>
      <c r="B3572" s="138">
        <f>'Acct Summary 7-8'!K13</f>
        <v>99455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99455</v>
      </c>
      <c r="C3575" s="2" t="s">
        <v>573</v>
      </c>
      <c r="D3575" s="2" t="str">
        <f t="shared" si="54"/>
        <v>Error?</v>
      </c>
    </row>
    <row r="3576" spans="1:4" x14ac:dyDescent="0.2">
      <c r="A3576" s="5">
        <v>3515</v>
      </c>
      <c r="B3576" s="138">
        <f>'Acct Summary 7-8'!K20</f>
        <v>-48736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-48736</v>
      </c>
      <c r="C3588" s="2" t="s">
        <v>573</v>
      </c>
      <c r="D3588" s="2" t="str">
        <f t="shared" si="55"/>
        <v>Error?</v>
      </c>
    </row>
    <row r="3589" spans="1:4" x14ac:dyDescent="0.2">
      <c r="A3589" s="5">
        <v>3528</v>
      </c>
      <c r="B3589" s="138">
        <f>'Acct Summary 7-8'!K79</f>
        <v>111895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63159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34282</v>
      </c>
      <c r="D3632" s="2" t="str">
        <f t="shared" si="55"/>
        <v>Error?</v>
      </c>
    </row>
    <row r="3633" spans="1:4" x14ac:dyDescent="0.2">
      <c r="A3633" s="5">
        <v>3572</v>
      </c>
      <c r="B3633" s="138">
        <f>'Expenditures 15-22'!E350</f>
        <v>34282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34282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65173</v>
      </c>
      <c r="D3646" s="2" t="str">
        <f t="shared" si="55"/>
        <v>Error?</v>
      </c>
    </row>
    <row r="3647" spans="1:4" x14ac:dyDescent="0.2">
      <c r="A3647" s="5">
        <v>3586</v>
      </c>
      <c r="B3647" s="138">
        <f>'Expenditures 15-22'!G350</f>
        <v>65173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65173</v>
      </c>
      <c r="C3649" s="2" t="s">
        <v>573</v>
      </c>
      <c r="D3649" s="2" t="str">
        <f t="shared" si="56"/>
        <v>Error?</v>
      </c>
    </row>
    <row r="3650" spans="1:4" x14ac:dyDescent="0.2">
      <c r="A3650" s="5">
        <v>3589</v>
      </c>
      <c r="B3650" s="138">
        <f>'Expenditures 15-22'!G367</f>
        <v>65173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99455</v>
      </c>
      <c r="C3669" s="2" t="s">
        <v>573</v>
      </c>
      <c r="D3669" s="2" t="str">
        <f t="shared" si="56"/>
        <v>Error?</v>
      </c>
    </row>
    <row r="3670" spans="1:4" x14ac:dyDescent="0.2">
      <c r="A3670" s="5">
        <v>3609</v>
      </c>
      <c r="B3670" s="138">
        <f>'Expenditures 15-22'!K350</f>
        <v>99455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99455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99455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-48736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19707</v>
      </c>
      <c r="C3725" s="2" t="s">
        <v>573</v>
      </c>
      <c r="D3725" s="2" t="str">
        <f t="shared" si="57"/>
        <v>Error?</v>
      </c>
    </row>
    <row r="3726" spans="1:4" x14ac:dyDescent="0.2">
      <c r="A3726" s="5">
        <v>3665</v>
      </c>
      <c r="B3726" s="138">
        <f>'Tax Sched 23'!D13</f>
        <v>19707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19746</v>
      </c>
      <c r="C3728" s="2" t="s">
        <v>573</v>
      </c>
      <c r="D3728" s="2" t="str">
        <f t="shared" si="57"/>
        <v>Error?</v>
      </c>
    </row>
    <row r="3729" spans="1:4" x14ac:dyDescent="0.2">
      <c r="A3729" s="5">
        <v>3668</v>
      </c>
      <c r="B3729" s="138">
        <f>'Tax Sched 23'!E13</f>
        <v>19746</v>
      </c>
      <c r="D3729" s="2" t="str">
        <f t="shared" si="57"/>
        <v>Error?</v>
      </c>
    </row>
    <row r="3730" spans="1:4" x14ac:dyDescent="0.2">
      <c r="A3730" s="5">
        <v>3669</v>
      </c>
      <c r="B3730" s="138">
        <f>'ICR Computation 30'!E10</f>
        <v>160239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371794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6685992</v>
      </c>
      <c r="C4122" s="2" t="s">
        <v>573</v>
      </c>
      <c r="D4122" s="2" t="str">
        <f t="shared" si="63"/>
        <v>Error?</v>
      </c>
    </row>
    <row r="4123" spans="1:4" x14ac:dyDescent="0.2">
      <c r="A4123" s="5">
        <v>4062</v>
      </c>
      <c r="B4123" s="138">
        <f>'Acct Summary 7-8'!D10</f>
        <v>1237762</v>
      </c>
      <c r="C4123" s="2" t="s">
        <v>573</v>
      </c>
      <c r="D4123" s="2" t="str">
        <f t="shared" si="63"/>
        <v>Error?</v>
      </c>
    </row>
    <row r="4124" spans="1:4" x14ac:dyDescent="0.2">
      <c r="A4124" s="5">
        <v>4063</v>
      </c>
      <c r="B4124" s="138">
        <f>'Acct Summary 7-8'!E10</f>
        <v>482095</v>
      </c>
      <c r="C4124" s="2" t="s">
        <v>573</v>
      </c>
      <c r="D4124" s="2" t="str">
        <f t="shared" si="63"/>
        <v>Error?</v>
      </c>
    </row>
    <row r="4125" spans="1:4" x14ac:dyDescent="0.2">
      <c r="A4125" s="5">
        <v>4064</v>
      </c>
      <c r="B4125" s="138">
        <f>'Acct Summary 7-8'!F10</f>
        <v>377841</v>
      </c>
      <c r="C4125" s="2" t="s">
        <v>573</v>
      </c>
      <c r="D4125" s="2" t="str">
        <f t="shared" si="63"/>
        <v>Error?</v>
      </c>
    </row>
    <row r="4126" spans="1:4" x14ac:dyDescent="0.2">
      <c r="A4126" s="5">
        <v>4065</v>
      </c>
      <c r="B4126" s="138">
        <f>'Acct Summary 7-8'!G10</f>
        <v>253700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110617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50719</v>
      </c>
      <c r="C4130" s="2" t="s">
        <v>573</v>
      </c>
      <c r="D4130" s="2" t="str">
        <f t="shared" si="63"/>
        <v>Error?</v>
      </c>
    </row>
    <row r="4131" spans="1:4" x14ac:dyDescent="0.2">
      <c r="A4131" s="5">
        <v>4070</v>
      </c>
      <c r="B4131" s="138">
        <f>'Acct Summary 7-8'!C18</f>
        <v>371794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6402509</v>
      </c>
      <c r="C4136" s="2" t="s">
        <v>573</v>
      </c>
      <c r="D4136" s="2" t="str">
        <f t="shared" si="63"/>
        <v>Error?</v>
      </c>
    </row>
    <row r="4137" spans="1:4" x14ac:dyDescent="0.2">
      <c r="A4137" s="5">
        <v>4076</v>
      </c>
      <c r="B4137" s="138">
        <f>'Acct Summary 7-8'!D19</f>
        <v>2970873</v>
      </c>
      <c r="C4137" s="2" t="s">
        <v>573</v>
      </c>
      <c r="D4137" s="2" t="str">
        <f t="shared" si="63"/>
        <v>Error?</v>
      </c>
    </row>
    <row r="4138" spans="1:4" x14ac:dyDescent="0.2">
      <c r="A4138" s="5">
        <v>4077</v>
      </c>
      <c r="B4138" s="138">
        <f>'Acct Summary 7-8'!E19</f>
        <v>475750</v>
      </c>
      <c r="C4138" s="2" t="s">
        <v>573</v>
      </c>
      <c r="D4138" s="2" t="str">
        <f t="shared" si="63"/>
        <v>Error?</v>
      </c>
    </row>
    <row r="4139" spans="1:4" x14ac:dyDescent="0.2">
      <c r="A4139" s="5">
        <v>4078</v>
      </c>
      <c r="B4139" s="138">
        <f>'Acct Summary 7-8'!F19</f>
        <v>332141</v>
      </c>
      <c r="C4139" s="2" t="s">
        <v>573</v>
      </c>
      <c r="D4139" s="2" t="str">
        <f t="shared" si="63"/>
        <v>Error?</v>
      </c>
    </row>
    <row r="4140" spans="1:4" x14ac:dyDescent="0.2">
      <c r="A4140" s="5">
        <v>4079</v>
      </c>
      <c r="B4140" s="138">
        <f>'Acct Summary 7-8'!G19</f>
        <v>250423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99455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2155943</v>
      </c>
      <c r="C4171" s="2" t="s">
        <v>573</v>
      </c>
      <c r="D4171" s="2" t="str">
        <f t="shared" si="64"/>
        <v>Error?</v>
      </c>
    </row>
    <row r="4172" spans="1:4" x14ac:dyDescent="0.2">
      <c r="A4172" s="5">
        <v>4111</v>
      </c>
      <c r="B4172" s="138">
        <f>'Short-Term Long-Term Debt 24'!J49</f>
        <v>2042965</v>
      </c>
      <c r="C4172" s="2" t="s">
        <v>573</v>
      </c>
      <c r="D4172" s="2" t="str">
        <f t="shared" si="64"/>
        <v>Error?</v>
      </c>
    </row>
    <row r="4173" spans="1:4" x14ac:dyDescent="0.2">
      <c r="A4173" s="5">
        <v>4112</v>
      </c>
      <c r="B4173" s="138">
        <f>'Short-Term Long-Term Debt 24'!H49</f>
        <v>226289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-27804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78516</v>
      </c>
      <c r="D4210" s="2" t="str">
        <f t="shared" si="64"/>
        <v>Error?</v>
      </c>
    </row>
    <row r="4211" spans="1:4" x14ac:dyDescent="0.2">
      <c r="A4211" s="5">
        <v>4150</v>
      </c>
      <c r="B4211" s="138">
        <f>'Expenditures 15-22'!K206</f>
        <v>78516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1230.3</v>
      </c>
      <c r="C4265" s="2" t="s">
        <v>573</v>
      </c>
      <c r="D4265" s="2" t="str">
        <f t="shared" si="65"/>
        <v>Error?</v>
      </c>
      <c r="E4265" s="128"/>
    </row>
    <row r="4266" spans="1:5" x14ac:dyDescent="0.2">
      <c r="A4266" s="12">
        <v>4205</v>
      </c>
      <c r="B4266" s="138">
        <f>('FP Info 3'!F10)*100000</f>
        <v>200.3</v>
      </c>
      <c r="C4266" s="2" t="s">
        <v>573</v>
      </c>
      <c r="D4266" s="2" t="str">
        <f t="shared" si="65"/>
        <v>Error?</v>
      </c>
      <c r="E4266" s="128"/>
    </row>
    <row r="4267" spans="1:5" x14ac:dyDescent="0.2">
      <c r="A4267" s="12">
        <v>4206</v>
      </c>
      <c r="B4267" s="138">
        <f>('FP Info 3'!H10)*100000</f>
        <v>130</v>
      </c>
      <c r="C4267" s="2" t="s">
        <v>573</v>
      </c>
      <c r="D4267" s="2" t="str">
        <f t="shared" si="65"/>
        <v>Error?</v>
      </c>
      <c r="E4267" s="128"/>
    </row>
    <row r="4268" spans="1:5" x14ac:dyDescent="0.2">
      <c r="A4268" s="12">
        <v>4207</v>
      </c>
      <c r="B4268" s="138">
        <f>('FP Info 3'!J10)*100000</f>
        <v>1561</v>
      </c>
      <c r="C4268" s="2" t="s">
        <v>573</v>
      </c>
      <c r="D4268" s="2" t="str">
        <f t="shared" si="65"/>
        <v>Error?</v>
      </c>
    </row>
    <row r="4269" spans="1:5" x14ac:dyDescent="0.2">
      <c r="A4269" s="12">
        <v>4208</v>
      </c>
      <c r="B4269" s="138">
        <f>'FP Info 3'!J16</f>
        <v>6650741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11180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91723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27472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4244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193225374</v>
      </c>
      <c r="D4995" s="2" t="str">
        <f t="shared" si="77"/>
        <v>Error?</v>
      </c>
    </row>
    <row r="4996" spans="1:4" x14ac:dyDescent="0.2">
      <c r="A4996" s="12">
        <v>4935</v>
      </c>
      <c r="B4996" s="138">
        <f>'FP Info 3'!H31</f>
        <v>13332550.806000002</v>
      </c>
      <c r="D4996" s="2" t="str">
        <f t="shared" si="77"/>
        <v>Error?</v>
      </c>
    </row>
    <row r="4997" spans="1:4" x14ac:dyDescent="0.2">
      <c r="A4997" s="12">
        <v>4936</v>
      </c>
      <c r="B4997" s="138">
        <f>'FP Info 3'!H37</f>
        <v>2155943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19707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2231710</v>
      </c>
      <c r="D5061" s="2" t="str">
        <f t="shared" si="78"/>
        <v>Error?</v>
      </c>
    </row>
    <row r="5062" spans="1:4" x14ac:dyDescent="0.2">
      <c r="A5062" s="10">
        <v>5001</v>
      </c>
      <c r="D5062" s="2" t="str">
        <f t="shared" si="78"/>
        <v>OK</v>
      </c>
    </row>
    <row r="5063" spans="1:4" x14ac:dyDescent="0.2">
      <c r="A5063" s="5">
        <v>5002</v>
      </c>
      <c r="B5063" s="138">
        <f>'Revenues 9-14'!C7</f>
        <v>29541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2280958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275497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275497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44446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44446</v>
      </c>
      <c r="C5090" s="2" t="s">
        <v>573</v>
      </c>
      <c r="D5090" s="2" t="str">
        <f t="shared" si="78"/>
        <v>Error?</v>
      </c>
    </row>
    <row r="5091" spans="1:4" x14ac:dyDescent="0.2">
      <c r="A5091" s="5">
        <v>5030</v>
      </c>
      <c r="B5091" s="138">
        <f>'Revenues 9-14'!C70</f>
        <v>4405</v>
      </c>
      <c r="D5091" s="2" t="str">
        <f t="shared" si="78"/>
        <v>Error?</v>
      </c>
    </row>
    <row r="5092" spans="1:4" x14ac:dyDescent="0.2">
      <c r="A5092" s="5">
        <v>5031</v>
      </c>
      <c r="B5092" s="138">
        <f>'Revenues 9-14'!C71</f>
        <v>58577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9958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180209</v>
      </c>
      <c r="C5096" s="2" t="s">
        <v>573</v>
      </c>
      <c r="D5096" s="2" t="str">
        <f t="shared" si="78"/>
        <v>Error?</v>
      </c>
    </row>
    <row r="5097" spans="1:4" x14ac:dyDescent="0.2">
      <c r="A5097" s="5">
        <v>5036</v>
      </c>
      <c r="B5097" s="138">
        <f>'Revenues 9-14'!C77</f>
        <v>72256</v>
      </c>
      <c r="D5097" s="2" t="str">
        <f t="shared" si="78"/>
        <v>Error?</v>
      </c>
    </row>
    <row r="5098" spans="1:4" x14ac:dyDescent="0.2">
      <c r="A5098" s="5">
        <v>5037</v>
      </c>
      <c r="B5098" s="138">
        <f>'Revenues 9-14'!C78</f>
        <v>5455</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2238</v>
      </c>
      <c r="D5101" s="2" t="str">
        <f t="shared" si="78"/>
        <v>Error?</v>
      </c>
    </row>
    <row r="5102" spans="1:4" x14ac:dyDescent="0.2">
      <c r="A5102" s="5">
        <v>5041</v>
      </c>
      <c r="B5102" s="138">
        <f>'Revenues 9-14'!C82</f>
        <v>79949</v>
      </c>
      <c r="C5102" s="2" t="s">
        <v>573</v>
      </c>
      <c r="D5102" s="2" t="str">
        <f t="shared" si="78"/>
        <v>Error?</v>
      </c>
    </row>
    <row r="5103" spans="1:4" x14ac:dyDescent="0.2">
      <c r="A5103" s="5">
        <v>5042</v>
      </c>
      <c r="B5103" s="138">
        <f>'Revenues 9-14'!C84</f>
        <v>44857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44857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15648</v>
      </c>
      <c r="D5119" s="2" t="str">
        <f t="shared" ref="D5119:D5182" si="79">IF(ISBLANK(B5119),"OK",IF(A5119-B5119=0,"OK","Error?"))</f>
        <v>Error?</v>
      </c>
    </row>
    <row r="5120" spans="1:4" x14ac:dyDescent="0.2">
      <c r="A5120" s="5">
        <v>5059</v>
      </c>
      <c r="B5120" s="138">
        <f>'Revenues 9-14'!C108</f>
        <v>32309</v>
      </c>
      <c r="C5120" s="2" t="s">
        <v>573</v>
      </c>
      <c r="D5120" s="2" t="str">
        <f t="shared" si="79"/>
        <v>Error?</v>
      </c>
    </row>
    <row r="5121" spans="1:4" x14ac:dyDescent="0.2">
      <c r="A5121" s="5">
        <v>5060</v>
      </c>
      <c r="B5121" s="138">
        <f>'Revenues 9-14'!C109</f>
        <v>2938225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2506038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2506038</v>
      </c>
      <c r="C5132" s="2" t="s">
        <v>573</v>
      </c>
      <c r="D5132" s="2" t="str">
        <f t="shared" si="79"/>
        <v>Error?</v>
      </c>
    </row>
    <row r="5133" spans="1:4" x14ac:dyDescent="0.2">
      <c r="A5133" s="5">
        <v>5072</v>
      </c>
      <c r="B5133" s="138">
        <f>'Revenues 9-14'!C125</f>
        <v>13010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238964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251974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480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10114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2570</v>
      </c>
      <c r="D5167" s="2" t="str">
        <f t="shared" si="79"/>
        <v>Error?</v>
      </c>
    </row>
    <row r="5168" spans="1:4" x14ac:dyDescent="0.2">
      <c r="A5168" s="5">
        <v>5107</v>
      </c>
      <c r="B5168" s="138">
        <f>'Revenues 9-14'!C148</f>
        <v>34051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302953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2808991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137162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21122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158284</v>
      </c>
      <c r="C5246" s="2" t="s">
        <v>573</v>
      </c>
      <c r="D5246" s="2" t="str">
        <f t="shared" si="80"/>
        <v>Error?</v>
      </c>
    </row>
    <row r="5247" spans="1:4" x14ac:dyDescent="0.2">
      <c r="A5247" s="5">
        <v>5186</v>
      </c>
      <c r="B5247" s="138">
        <f>'Revenues 9-14'!C200</f>
        <v>201618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201618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38904</v>
      </c>
      <c r="D5278" s="2" t="str">
        <f t="shared" si="81"/>
        <v>Error?</v>
      </c>
    </row>
    <row r="5279" spans="1:4" x14ac:dyDescent="0.2">
      <c r="A5279" s="5">
        <v>5218</v>
      </c>
      <c r="B5279" s="138">
        <f>'Revenues 9-14'!C214</f>
        <v>37801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76705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566982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566982</v>
      </c>
      <c r="C5326" s="2" t="s">
        <v>573</v>
      </c>
      <c r="D5326" s="2" t="str">
        <f t="shared" si="82"/>
        <v>Error?</v>
      </c>
    </row>
    <row r="5327" spans="1:5" x14ac:dyDescent="0.2">
      <c r="A5327" s="5">
        <v>5266</v>
      </c>
      <c r="B5327" s="138">
        <f>'Revenues 9-14'!C268</f>
        <v>6314198</v>
      </c>
      <c r="C5327" s="2" t="s">
        <v>573</v>
      </c>
      <c r="D5327" s="2" t="str">
        <f t="shared" si="82"/>
        <v>Error?</v>
      </c>
    </row>
    <row r="5328" spans="1:5" x14ac:dyDescent="0.2">
      <c r="A5328" s="5">
        <v>5267</v>
      </c>
      <c r="B5328" s="138">
        <f>'Revenues 9-14'!D5</f>
        <v>378929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378929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16094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16094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7394</v>
      </c>
      <c r="D5354" s="2" t="str">
        <f t="shared" si="82"/>
        <v>Error?</v>
      </c>
    </row>
    <row r="5355" spans="1:4" x14ac:dyDescent="0.2">
      <c r="A5355" s="5">
        <v>5294</v>
      </c>
      <c r="B5355" s="138">
        <f>'Revenues 9-14'!D108</f>
        <v>7394</v>
      </c>
      <c r="C5355" s="2" t="s">
        <v>573</v>
      </c>
      <c r="D5355" s="2" t="str">
        <f t="shared" si="82"/>
        <v>Error?</v>
      </c>
    </row>
    <row r="5356" spans="1:4" x14ac:dyDescent="0.2">
      <c r="A5356" s="5">
        <v>5295</v>
      </c>
      <c r="B5356" s="138">
        <f>'Revenues 9-14'!D109</f>
        <v>402417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835345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835345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835345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1237762</v>
      </c>
      <c r="C5508" s="2" t="s">
        <v>573</v>
      </c>
      <c r="D5508" s="2" t="str">
        <f t="shared" si="85"/>
        <v>Error?</v>
      </c>
    </row>
    <row r="5509" spans="1:4" x14ac:dyDescent="0.2">
      <c r="A5509" s="5">
        <v>5448</v>
      </c>
      <c r="B5509" s="138">
        <f>'Revenues 9-14'!E5</f>
        <v>479889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479889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482095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482095</v>
      </c>
      <c r="C5552" s="2" t="s">
        <v>573</v>
      </c>
      <c r="D5552" s="2" t="str">
        <f t="shared" si="85"/>
        <v>Error?</v>
      </c>
    </row>
    <row r="5553" spans="1:4" x14ac:dyDescent="0.2">
      <c r="A5553" s="5">
        <v>5492</v>
      </c>
      <c r="B5553" s="138">
        <f>'Revenues 9-14'!F5</f>
        <v>246052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246052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4152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4152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436</v>
      </c>
      <c r="D5586" s="2" t="str">
        <f t="shared" si="86"/>
        <v>Error?</v>
      </c>
    </row>
    <row r="5587" spans="1:4" x14ac:dyDescent="0.2">
      <c r="A5587" s="5">
        <v>5526</v>
      </c>
      <c r="B5587" s="138">
        <f>'Revenues 9-14'!F108</f>
        <v>436</v>
      </c>
      <c r="C5587" s="2" t="s">
        <v>573</v>
      </c>
      <c r="D5587" s="2" t="str">
        <f t="shared" si="86"/>
        <v>Error?</v>
      </c>
    </row>
    <row r="5588" spans="1:4" x14ac:dyDescent="0.2">
      <c r="A5588" s="5">
        <v>5527</v>
      </c>
      <c r="B5588" s="138">
        <f>'Revenues 9-14'!F109</f>
        <v>250640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1619</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1619</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14331</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14331</v>
      </c>
      <c r="C5614" s="2" t="s">
        <v>573</v>
      </c>
      <c r="D5614" s="2" t="str">
        <f t="shared" si="86"/>
        <v>Error?</v>
      </c>
    </row>
    <row r="5615" spans="1:4" x14ac:dyDescent="0.2">
      <c r="A5615" s="5">
        <v>5554</v>
      </c>
      <c r="B5615" s="138">
        <f>'Revenues 9-14'!F152</f>
        <v>75966</v>
      </c>
      <c r="D5615" s="2" t="str">
        <f t="shared" si="86"/>
        <v>Error?</v>
      </c>
    </row>
    <row r="5616" spans="1:4" x14ac:dyDescent="0.2">
      <c r="A5616" s="10">
        <v>5555</v>
      </c>
      <c r="D5616" s="2" t="str">
        <f t="shared" si="86"/>
        <v>OK</v>
      </c>
    </row>
    <row r="5617" spans="1:5" x14ac:dyDescent="0.2">
      <c r="A5617" s="5">
        <v>5556</v>
      </c>
      <c r="B5617" s="138">
        <f>'Revenues 9-14'!F153</f>
        <v>35285</v>
      </c>
      <c r="D5617" s="2" t="str">
        <f t="shared" si="86"/>
        <v>Error?</v>
      </c>
    </row>
    <row r="5618" spans="1:5" x14ac:dyDescent="0.2">
      <c r="A5618" s="5">
        <v>5557</v>
      </c>
      <c r="B5618" s="138">
        <f>'Revenues 9-14'!F155</f>
        <v>111251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125582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125582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377841</v>
      </c>
      <c r="C5720" s="2" t="s">
        <v>573</v>
      </c>
      <c r="D5720" s="2" t="str">
        <f t="shared" si="88"/>
        <v>Error?</v>
      </c>
    </row>
    <row r="5721" spans="1:4" x14ac:dyDescent="0.2">
      <c r="A5721" s="5">
        <v>5660</v>
      </c>
      <c r="B5721" s="138">
        <f>'Revenues 9-14'!G5</f>
        <v>98446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123024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221470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28758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28758</v>
      </c>
      <c r="C5730" s="2" t="s">
        <v>573</v>
      </c>
      <c r="D5730" s="2" t="str">
        <f t="shared" si="88"/>
        <v>Error?</v>
      </c>
    </row>
    <row r="5731" spans="1:4" x14ac:dyDescent="0.2">
      <c r="A5731" s="5">
        <v>5670</v>
      </c>
      <c r="B5731" s="138">
        <f>'Revenues 9-14'!G65</f>
        <v>3472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253700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83664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83664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26953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26953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110617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49233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49233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1486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1486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50719</v>
      </c>
      <c r="C6023" s="2" t="s">
        <v>573</v>
      </c>
      <c r="D6023" s="2" t="str">
        <f t="shared" si="93"/>
        <v>Error?</v>
      </c>
    </row>
    <row r="6024" spans="1:5" x14ac:dyDescent="0.2">
      <c r="A6024" s="5">
        <v>5963</v>
      </c>
      <c r="B6024" s="138">
        <f>'Revenues 9-14'!G109</f>
        <v>253700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110617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50719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107269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26395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138237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138237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138237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138237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138237</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283483</v>
      </c>
      <c r="D6267" s="2" t="str">
        <f t="shared" si="96"/>
        <v>Error?</v>
      </c>
      <c r="E6267" s="2" t="s">
        <v>190</v>
      </c>
    </row>
    <row r="6268" spans="1:5" x14ac:dyDescent="0.2">
      <c r="A6268">
        <v>6207</v>
      </c>
      <c r="B6268" s="138">
        <f>'Acct Summary 7-8'!D82</f>
        <v>1889</v>
      </c>
      <c r="D6268" s="2" t="str">
        <f t="shared" si="96"/>
        <v>Error?</v>
      </c>
      <c r="E6268" s="2" t="s">
        <v>190</v>
      </c>
    </row>
    <row r="6269" spans="1:5" x14ac:dyDescent="0.2">
      <c r="A6269">
        <v>6208</v>
      </c>
      <c r="B6269" s="138">
        <f>'Acct Summary 7-8'!E82</f>
        <v>6345</v>
      </c>
      <c r="D6269" s="2" t="str">
        <f t="shared" si="96"/>
        <v>Error?</v>
      </c>
      <c r="E6269" s="2" t="s">
        <v>190</v>
      </c>
    </row>
    <row r="6270" spans="1:5" x14ac:dyDescent="0.2">
      <c r="A6270">
        <v>6209</v>
      </c>
      <c r="B6270" s="138">
        <f>'Acct Summary 7-8'!F82</f>
        <v>45700</v>
      </c>
      <c r="D6270" s="2" t="str">
        <f t="shared" si="96"/>
        <v>Error?</v>
      </c>
      <c r="E6270" s="2" t="s">
        <v>190</v>
      </c>
    </row>
    <row r="6271" spans="1:5" x14ac:dyDescent="0.2">
      <c r="A6271">
        <v>6210</v>
      </c>
      <c r="B6271" s="138">
        <f>'Acct Summary 7-8'!G82</f>
        <v>3277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-1624383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-48736</v>
      </c>
      <c r="D6275" s="2" t="str">
        <f t="shared" si="97"/>
        <v>Error?</v>
      </c>
      <c r="E6275" s="2" t="s">
        <v>190</v>
      </c>
    </row>
    <row r="6276" spans="1:5" x14ac:dyDescent="0.2">
      <c r="A6276">
        <v>6215</v>
      </c>
      <c r="B6276" s="138">
        <f>'Acct Summary 7-8'!C83</f>
        <v>6.6490676674094057E-2</v>
      </c>
      <c r="D6276" s="2" t="str">
        <f t="shared" si="97"/>
        <v>Error?</v>
      </c>
      <c r="E6276" s="2" t="s">
        <v>190</v>
      </c>
    </row>
    <row r="6277" spans="1:5" x14ac:dyDescent="0.2">
      <c r="A6277">
        <v>6216</v>
      </c>
      <c r="B6277" s="138">
        <f>'Acct Summary 7-8'!D83</f>
        <v>2.8596471840271523E-3</v>
      </c>
      <c r="D6277" s="2" t="str">
        <f t="shared" si="97"/>
        <v>Error?</v>
      </c>
      <c r="E6277" s="2" t="s">
        <v>190</v>
      </c>
    </row>
    <row r="6278" spans="1:5" x14ac:dyDescent="0.2">
      <c r="A6278">
        <v>6217</v>
      </c>
      <c r="B6278" s="138">
        <f>'Acct Summary 7-8'!E83</f>
        <v>5.6161376551186956E-2</v>
      </c>
      <c r="D6278" s="2" t="str">
        <f t="shared" si="97"/>
        <v>Error?</v>
      </c>
      <c r="E6278" s="2" t="s">
        <v>190</v>
      </c>
    </row>
    <row r="6279" spans="1:5" x14ac:dyDescent="0.2">
      <c r="A6279">
        <v>6218</v>
      </c>
      <c r="B6279" s="138">
        <f>'Acct Summary 7-8'!F83</f>
        <v>0.18604689033003985</v>
      </c>
      <c r="D6279" s="2" t="str">
        <f t="shared" si="97"/>
        <v>Error?</v>
      </c>
      <c r="E6279" s="2" t="s">
        <v>190</v>
      </c>
    </row>
    <row r="6280" spans="1:5" x14ac:dyDescent="0.2">
      <c r="A6280">
        <v>6219</v>
      </c>
      <c r="B6280" s="138">
        <f>'Acct Summary 7-8'!G83</f>
        <v>1.9303268066256686E-2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-1.096790550919527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-0.77163982963631472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137806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137806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7400</v>
      </c>
      <c r="D6339" s="2" t="str">
        <f t="shared" si="98"/>
        <v>Error?</v>
      </c>
      <c r="E6339" s="2" t="s">
        <v>190</v>
      </c>
    </row>
    <row r="6340" spans="1:5" x14ac:dyDescent="0.2">
      <c r="A6340">
        <v>6279</v>
      </c>
      <c r="B6340" s="138">
        <f>'Revenues 9-14'!C102</f>
        <v>9261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138237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9634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14501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138237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138237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5297</v>
      </c>
      <c r="D7067" s="2" t="str">
        <f t="shared" si="109"/>
        <v>Error?</v>
      </c>
    </row>
    <row r="7068" spans="1:4" x14ac:dyDescent="0.2">
      <c r="A7068">
        <v>7007</v>
      </c>
      <c r="B7068" s="138">
        <f>'Expenditures 15-22'!K205</f>
        <v>5297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158</v>
      </c>
      <c r="D7079" s="2" t="str">
        <f t="shared" si="109"/>
        <v>Error?</v>
      </c>
    </row>
    <row r="7080" spans="1:4" x14ac:dyDescent="0.2">
      <c r="A7080">
        <v>7019</v>
      </c>
      <c r="B7080" s="138">
        <f>'Expenditures 15-22'!K226</f>
        <v>158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113477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113477</v>
      </c>
      <c r="D7153" s="2" t="str">
        <f t="shared" si="110"/>
        <v>Error?</v>
      </c>
    </row>
    <row r="7154" spans="1:4" x14ac:dyDescent="0.2">
      <c r="A7154">
        <v>7093</v>
      </c>
      <c r="B7154" s="138">
        <f>'Expenditures 15-22'!C323</f>
        <v>20313</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23813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947</v>
      </c>
      <c r="D7198" s="2" t="str">
        <f t="shared" si="111"/>
        <v>Error?</v>
      </c>
    </row>
    <row r="7199" spans="1:4" x14ac:dyDescent="0.2">
      <c r="A7199">
        <v>7138</v>
      </c>
      <c r="B7199" s="138">
        <f>'Expenditures 15-22'!C330</f>
        <v>20313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117924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138237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20313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117924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138237</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10907</v>
      </c>
      <c r="D7263" s="2" t="str">
        <f t="shared" si="112"/>
        <v>Error?</v>
      </c>
    </row>
    <row r="7264" spans="1:4" x14ac:dyDescent="0.2">
      <c r="A7264">
        <f t="shared" si="113"/>
        <v>7203</v>
      </c>
      <c r="B7264" s="138">
        <f>'Expenditures 15-22'!D17</f>
        <v>164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3430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419431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7400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34051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41451</v>
      </c>
      <c r="D7719" s="2" t="str">
        <f t="shared" si="126"/>
        <v>Error?</v>
      </c>
      <c r="E7719" s="2" t="s">
        <v>827</v>
      </c>
    </row>
    <row r="7720" spans="1:6" x14ac:dyDescent="0.2">
      <c r="A7720">
        <v>7659</v>
      </c>
      <c r="B7720" s="138">
        <f>'Rest Tax Levies-Tort Im 25'!H14</f>
        <v>29541</v>
      </c>
      <c r="D7720" s="2" t="str">
        <f t="shared" si="126"/>
        <v>Error?</v>
      </c>
      <c r="E7720" s="2" t="s">
        <v>827</v>
      </c>
    </row>
    <row r="7721" spans="1:6" x14ac:dyDescent="0.2">
      <c r="A7721">
        <v>7660</v>
      </c>
      <c r="B7721" s="138">
        <f>'Rest Tax Levies-Tort Im 25'!K14</f>
        <v>41451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1735000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0</v>
      </c>
      <c r="D7797" s="2" t="str">
        <f t="shared" si="127"/>
        <v>Error?</v>
      </c>
      <c r="E7797" s="4" t="s">
        <v>1903</v>
      </c>
    </row>
    <row r="7798" spans="1:5" x14ac:dyDescent="0.2">
      <c r="A7798">
        <v>7737</v>
      </c>
      <c r="B7798" s="138">
        <f>'Contracts Paid in CY 29'!F37</f>
        <v>0</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1988</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Salem CHSD 600</v>
      </c>
      <c r="B7" s="2383"/>
      <c r="C7" s="2383"/>
      <c r="D7" s="2420"/>
      <c r="E7" s="2421">
        <f>COVER!A13</f>
        <v>13058600016</v>
      </c>
      <c r="F7" s="2422"/>
      <c r="G7" s="2389" t="str">
        <f>COVER!T23</f>
        <v>060-001832</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Leymone Hardcastle &amp; Co., Ltd.</v>
      </c>
      <c r="H9" s="2396"/>
      <c r="I9" s="2396"/>
      <c r="J9" s="2396"/>
      <c r="K9" s="2396"/>
      <c r="L9" s="2397"/>
    </row>
    <row r="10" spans="1:29" ht="13.5" customHeight="1" x14ac:dyDescent="0.2">
      <c r="A10" s="2379" t="str">
        <f>COVER!A38</f>
        <v>Brad Detering</v>
      </c>
      <c r="B10" s="2380"/>
      <c r="C10" s="2380"/>
      <c r="D10" s="2380"/>
      <c r="E10" s="2380"/>
      <c r="F10" s="2381"/>
      <c r="G10" s="2395" t="str">
        <f>COVER!T17</f>
        <v>200 West Main Street</v>
      </c>
      <c r="H10" s="2408"/>
      <c r="I10" s="2408"/>
      <c r="J10" s="2408"/>
      <c r="K10" s="2408"/>
      <c r="L10" s="2409"/>
    </row>
    <row r="11" spans="1:29" ht="13.5" customHeight="1" x14ac:dyDescent="0.2">
      <c r="A11" s="1184" t="s">
        <v>1519</v>
      </c>
      <c r="B11" s="1185"/>
      <c r="C11" s="1186"/>
      <c r="D11" s="1191"/>
      <c r="E11" s="1186"/>
      <c r="F11" s="1190"/>
      <c r="G11" s="2395" t="str">
        <f>COVER!T19</f>
        <v>Salem</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f>COVER!T25</f>
        <v>0</v>
      </c>
      <c r="J13" s="2417"/>
      <c r="K13" s="2417"/>
      <c r="L13" s="2418"/>
    </row>
    <row r="14" spans="1:29" ht="13.5" customHeight="1" x14ac:dyDescent="0.2">
      <c r="A14" s="2395" t="str">
        <f>COVER!A19</f>
        <v>1200 N. Broadway</v>
      </c>
      <c r="B14" s="2408"/>
      <c r="C14" s="2408"/>
      <c r="D14" s="2408"/>
      <c r="E14" s="2408"/>
      <c r="F14" s="2409"/>
      <c r="G14" s="1195" t="s">
        <v>1185</v>
      </c>
      <c r="H14" s="1193"/>
      <c r="I14" s="1193"/>
      <c r="J14" s="1193"/>
      <c r="K14" s="1193"/>
      <c r="L14" s="1194"/>
    </row>
    <row r="15" spans="1:29" ht="13.5" customHeight="1" x14ac:dyDescent="0.2">
      <c r="A15" s="2395" t="str">
        <f>COVER!A21</f>
        <v>Salem</v>
      </c>
      <c r="B15" s="2408"/>
      <c r="C15" s="2408"/>
      <c r="D15" s="2408"/>
      <c r="E15" s="2408"/>
      <c r="F15" s="2409"/>
      <c r="G15" s="2405" t="str">
        <f>COVER!T15</f>
        <v>Sara E. Hanks, CPA</v>
      </c>
      <c r="H15" s="2406"/>
      <c r="I15" s="2406"/>
      <c r="J15" s="2406"/>
      <c r="K15" s="2406"/>
      <c r="L15" s="2407"/>
    </row>
    <row r="16" spans="1:29" ht="12.2" customHeight="1" x14ac:dyDescent="0.2">
      <c r="A16" s="2385">
        <f>COVER!A25</f>
        <v>62881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618-548-1002</v>
      </c>
      <c r="H18" s="2383"/>
      <c r="I18" s="2383"/>
      <c r="J18" s="2383"/>
      <c r="K18" s="2382" t="str">
        <f>COVER!X21</f>
        <v>618-548-1018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&amp;LSee accompanying notes to the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33"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Salem CHSD 600</v>
      </c>
      <c r="B1" s="2419"/>
      <c r="C1" s="2419"/>
      <c r="D1" s="2419"/>
    </row>
    <row r="2" spans="1:11" s="1212" customFormat="1" ht="12.75" x14ac:dyDescent="0.2">
      <c r="A2" s="2424">
        <f>'Single Audit Cover'!E7</f>
        <v>13058600016</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Footer>&amp;LSee accompanying notes to the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Salem CHSD 600</v>
      </c>
      <c r="B1" s="2427"/>
      <c r="C1" s="2427"/>
      <c r="D1" s="2427"/>
      <c r="E1" s="2427"/>
    </row>
    <row r="2" spans="1:5" x14ac:dyDescent="0.2">
      <c r="A2" s="2428">
        <f>'Single Audit Cover'!E7</f>
        <v>13058600016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566982</v>
      </c>
    </row>
    <row r="11" spans="1:5" ht="18" customHeight="1" x14ac:dyDescent="0.2">
      <c r="A11" s="1258" t="s">
        <v>1240</v>
      </c>
      <c r="B11" s="1259"/>
      <c r="C11" s="1259"/>
    </row>
    <row r="12" spans="1:5" x14ac:dyDescent="0.2">
      <c r="A12" s="1258" t="s">
        <v>1239</v>
      </c>
      <c r="B12" s="1259" t="s">
        <v>1238</v>
      </c>
      <c r="C12" s="1259"/>
      <c r="D12" s="1261">
        <f>SUM('Revenues 9-14'!C112:D112,'Revenues 9-14'!F112:G112)</f>
        <v>1619</v>
      </c>
    </row>
    <row r="13" spans="1:5" x14ac:dyDescent="0.2">
      <c r="A13" s="1258" t="s">
        <v>1237</v>
      </c>
      <c r="B13" s="1259"/>
      <c r="C13" s="1259"/>
    </row>
    <row r="14" spans="1:5" x14ac:dyDescent="0.2">
      <c r="A14" s="1258" t="s">
        <v>1727</v>
      </c>
      <c r="B14" s="1259"/>
      <c r="C14" s="1259"/>
      <c r="D14" s="1261">
        <f>'ICR Computation 30'!E11</f>
        <v>26395</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-91723</v>
      </c>
    </row>
    <row r="19" spans="1:4" ht="13.5" thickBot="1" x14ac:dyDescent="0.25">
      <c r="A19" s="1262" t="s">
        <v>1235</v>
      </c>
      <c r="D19" s="1263">
        <f>SUM(D10:D17)</f>
        <v>503273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503273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503273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35"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Salem CHSD 600</v>
      </c>
      <c r="C1" s="2431"/>
      <c r="D1" s="2431"/>
      <c r="E1" s="2431"/>
      <c r="F1" s="2431"/>
      <c r="G1" s="2431"/>
      <c r="H1" s="2431"/>
      <c r="I1" s="2431"/>
      <c r="J1" s="2431"/>
      <c r="K1" s="2431"/>
      <c r="L1" s="2431"/>
      <c r="M1" s="2431"/>
    </row>
    <row r="2" spans="2:14" ht="15" x14ac:dyDescent="0.2">
      <c r="B2" s="2432">
        <f>'Single Audit Cover'!E7</f>
        <v>13058600016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Salem CHSD 600</v>
      </c>
      <c r="B1" s="2436"/>
      <c r="C1" s="2436"/>
      <c r="D1" s="2436"/>
      <c r="E1" s="2436"/>
      <c r="F1" s="2436"/>
    </row>
    <row r="2" spans="1:7" ht="13.5" customHeight="1" x14ac:dyDescent="0.2">
      <c r="A2" s="2432">
        <f>'Single Audit Cover'!E7</f>
        <v>13058600016</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5" t="s">
        <v>1270</v>
      </c>
      <c r="D15" s="2440" t="s">
        <v>1269</v>
      </c>
      <c r="E15" s="2440"/>
      <c r="F15" s="2440"/>
    </row>
    <row r="16" spans="1:7" ht="13.5" customHeight="1" x14ac:dyDescent="0.2">
      <c r="A16" s="1279"/>
      <c r="B16" s="1273" t="s">
        <v>1268</v>
      </c>
      <c r="C16" s="1845"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2"/>
      <c r="E33" s="1283"/>
    </row>
    <row r="34" spans="1:6" ht="13.5" customHeight="1" x14ac:dyDescent="0.2">
      <c r="A34" s="328" t="s">
        <v>1838</v>
      </c>
      <c r="B34" s="328"/>
      <c r="C34" s="1286">
        <v>0</v>
      </c>
      <c r="D34" s="1902" t="s">
        <v>1589</v>
      </c>
      <c r="E34" s="2444">
        <f>+C33+C34</f>
        <v>0</v>
      </c>
      <c r="F34" s="2445"/>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4"/>
      <c r="C50" s="1844"/>
      <c r="D50" s="1844"/>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firstPageNumber="39" orientation="portrait"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89" colorId="8" zoomScaleNormal="110" workbookViewId="0">
      <selection activeCell="F9" sqref="F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2066</v>
      </c>
      <c r="C53" s="179">
        <v>22</v>
      </c>
      <c r="D53" s="247" t="s">
        <v>1462</v>
      </c>
      <c r="E53" s="248"/>
      <c r="F53" s="249"/>
      <c r="G53" s="249" t="s">
        <v>1461</v>
      </c>
      <c r="H53" s="250" t="s">
        <v>2077</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2070</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36" right="0.32" top="0.77" bottom="0.65" header="0.47" footer="0.37"/>
  <pageSetup scale="80" firstPageNumber="2" orientation="portrait" useFirstPageNumber="1" r:id="rId1"/>
  <headerFooter differentOddEven="1" alignWithMargins="0">
    <oddHeader>&amp;CSalem Community High School District #600</oddHeader>
    <oddFooter>&amp;L&amp;9See accompanying notes to the financial statements.
&amp;C- 7 -</oddFooter>
    <evenHeader>&amp;CSalem Community High School District #600</evenHeader>
    <evenFooter>&amp;L&amp;9See accompanying notes to the financial statements.
&amp;C- 8 -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13" zoomScaleNormal="110" workbookViewId="0">
      <selection activeCell="C48" sqref="C4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Salem CHSD 600</v>
      </c>
      <c r="C1" s="2452"/>
      <c r="D1" s="2452"/>
      <c r="E1" s="2452"/>
      <c r="F1" s="2452"/>
      <c r="G1" s="2452"/>
      <c r="H1" s="2452"/>
      <c r="I1" s="2452"/>
      <c r="J1" s="1406"/>
    </row>
    <row r="2" spans="2:10" s="317" customFormat="1" ht="12.75" customHeight="1" x14ac:dyDescent="0.2">
      <c r="B2" s="2453">
        <f>'Single Audit Cover'!E7</f>
        <v>13058600016</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2113</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2"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Salem CHSD 600</v>
      </c>
      <c r="C1" s="2451"/>
      <c r="D1" s="2451"/>
      <c r="E1" s="2451"/>
      <c r="F1" s="2451"/>
      <c r="G1" s="2451"/>
      <c r="H1" s="2451"/>
      <c r="I1" s="2451"/>
      <c r="J1" s="2451"/>
      <c r="K1" s="2451"/>
      <c r="L1" s="1371"/>
      <c r="M1" s="1371"/>
    </row>
    <row r="2" spans="1:13" ht="12" customHeight="1" x14ac:dyDescent="0.2">
      <c r="B2" s="2453">
        <f>'Single Audit Cover'!E7</f>
        <v>13058600016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2088</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2089</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2090</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2091</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2092</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2093</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2094</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statements.&amp;C- 39 -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Salem CHSD 600</v>
      </c>
      <c r="C1" s="2478"/>
      <c r="D1" s="2478"/>
      <c r="E1" s="2478"/>
      <c r="F1" s="2478"/>
      <c r="G1" s="2478"/>
      <c r="H1" s="2478"/>
      <c r="I1" s="2478"/>
      <c r="J1" s="2478"/>
      <c r="K1" s="2478"/>
      <c r="L1" s="1449"/>
    </row>
    <row r="2" spans="1:12" ht="12.75" customHeight="1" x14ac:dyDescent="0.2">
      <c r="B2" s="2479">
        <f>'Single Audit Cover'!E7</f>
        <v>13058600016</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topLeftCell="A38"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Salem CHSD 600</v>
      </c>
      <c r="C1" s="2451"/>
      <c r="D1" s="2451"/>
      <c r="E1" s="1469"/>
    </row>
    <row r="2" spans="2:5" s="1279" customFormat="1" ht="12.75" customHeight="1" x14ac:dyDescent="0.2">
      <c r="B2" s="2453">
        <f>'Single Audit Cover'!E7</f>
        <v>13058600016</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&amp;LSee accompanying notes to the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10" colorId="8"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193225374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1.2303E-2</v>
      </c>
      <c r="E10" s="356" t="s">
        <v>1005</v>
      </c>
      <c r="F10" s="355">
        <v>2.003E-3</v>
      </c>
      <c r="G10" s="356" t="s">
        <v>1005</v>
      </c>
      <c r="H10" s="355">
        <v>1.2999999999999999E-3</v>
      </c>
      <c r="I10" s="356" t="s">
        <v>1006</v>
      </c>
      <c r="J10" s="1731">
        <f>ROUND(D10+F10+H10,5)</f>
        <v>1.5610000000000001E-2</v>
      </c>
      <c r="K10" s="222"/>
      <c r="L10" s="355">
        <v>4.4200000000000001E-4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8040418</v>
      </c>
      <c r="E16" s="356"/>
      <c r="F16" s="1732">
        <f>SUM('Acct Summary 7-8'!C17,'Acct Summary 7-8'!D17,'Acct Summary 7-8'!F17)</f>
        <v>9333729</v>
      </c>
      <c r="G16" s="356"/>
      <c r="H16" s="1732">
        <f>SUM(D16-F16)</f>
        <v>-1293311</v>
      </c>
      <c r="I16" s="222"/>
      <c r="J16" s="1732">
        <f>SUM('Acct Summary 7-8'!C81,'Acct Summary 7-8'!D81,'Acct Summary 7-8'!F81,'Acct Summary 7-8'!I81)</f>
        <v>6650741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734">
        <f>IF(B31="X",(J7*0.069),IF(B32="X",(J7*0.138),"Enter x in a.or b."))</f>
        <v>13332550.806000002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2155943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98" bottom="0.75" header="0.57999999999999996" footer="0.38"/>
  <pageSetup scale="90" firstPageNumber="3" orientation="portrait" useFirstPageNumber="1" r:id="rId1"/>
  <headerFooter alignWithMargins="0">
    <oddHeader>&amp;CSalem Community High School District #600</oddHeader>
    <oddFooter>&amp;L&amp;9See accompanying notes to the financial statements.
&amp;C- 9 -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4"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Salem CHSD 600</v>
      </c>
      <c r="E7" s="391"/>
      <c r="G7" s="252"/>
      <c r="H7" s="387"/>
      <c r="I7" s="387"/>
      <c r="J7" s="387"/>
      <c r="K7" s="387"/>
      <c r="L7" s="329"/>
      <c r="M7" s="329"/>
      <c r="N7" s="329"/>
      <c r="O7" s="329"/>
      <c r="P7" s="329"/>
    </row>
    <row r="8" spans="1:18" ht="12.75" x14ac:dyDescent="0.2">
      <c r="A8" s="329"/>
      <c r="B8" s="329"/>
      <c r="C8" s="389" t="s">
        <v>1125</v>
      </c>
      <c r="D8" s="392">
        <f>COVER!A13</f>
        <v>13058600016</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6650741</v>
      </c>
      <c r="I12" s="404"/>
      <c r="J12" s="404"/>
      <c r="K12" s="405">
        <f>TRUNC((H12/H13*100000),5)/100000</f>
        <v>0.82716358770000009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8040418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9333729</v>
      </c>
      <c r="I17" s="404"/>
      <c r="J17" s="416"/>
      <c r="K17" s="405">
        <f>TRUNC((H17/H18*100000),5)/100000</f>
        <v>1.1608512144000001</v>
      </c>
      <c r="L17" s="406"/>
      <c r="M17" s="417" t="s">
        <v>1171</v>
      </c>
      <c r="O17" s="418" t="str">
        <f>IF(AND(O16="2", J20 &gt; 2),"1",IF(AND(O16 = "1", J20 &gt; 2),"2",IF(AND(O16="1", J20 &gt;1),"1","0")))</f>
        <v>1</v>
      </c>
      <c r="P17" s="218"/>
    </row>
    <row r="18" spans="1:18" s="408" customFormat="1" ht="11.25" x14ac:dyDescent="0.2">
      <c r="A18" s="218"/>
      <c r="B18" s="401"/>
      <c r="C18" s="2099" t="s">
        <v>1317</v>
      </c>
      <c r="D18" s="2100"/>
      <c r="E18" s="218"/>
      <c r="F18" s="419" t="s">
        <v>794</v>
      </c>
      <c r="G18" s="402"/>
      <c r="H18" s="403">
        <f>SUM('Acct Summary 7-8'!C8+'Acct Summary 7-8'!D8+'Acct Summary 7-8'!F8+'Acct Summary 7-8'!I8)+H19</f>
        <v>8040418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4.5207217000000002</v>
      </c>
      <c r="K20" s="405">
        <f>IF(K17&lt;=1,"0",IF(AND(O16="2", J20 &gt; 2),TRUNC(((K12-0.1)/(K17-1)*100),5)/100,IF(AND(O16 = "1", J20 &gt; 2),TRUNC(((K12-0.1)/(K17-1)*100),5)/100,IF(AND(O16="1", J20 &gt;1),TRUNC(((K12-0.1)/(K17-1)*100),5)/100,""))))</f>
        <v>4.5207217000000002</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6650741</v>
      </c>
      <c r="I24" s="422"/>
      <c r="J24" s="422"/>
      <c r="K24" s="423">
        <f>TRUNC(((H24/H25*100000)/100000),2)</f>
        <v>256.51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25927.025000000001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2563810.8749199999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2155943</v>
      </c>
      <c r="I32" s="420"/>
      <c r="J32" s="420"/>
      <c r="K32" s="423">
        <f>TRUNC(100-((((H32/H33*100))*100)/100),2)</f>
        <v>83.82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13332550.806000002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47" right="0.3" top="0.8" bottom="0.68" header="0.48" footer="0.33"/>
  <pageSetup scale="85" firstPageNumber="4" orientation="landscape" useFirstPageNumber="1" r:id="rId3"/>
  <headerFooter alignWithMargins="0">
    <oddHeader>&amp;CSalem Community High School District #600</oddHeader>
    <oddFooter>&amp;L&amp;9See accompanying notes to the financial statements.
&amp;C- 10 -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pane="bottomLeft" activeCell="G41" sqref="G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2537300</v>
      </c>
      <c r="D4" s="466">
        <v>660571</v>
      </c>
      <c r="E4" s="466">
        <v>112978</v>
      </c>
      <c r="F4" s="466">
        <v>245637</v>
      </c>
      <c r="G4" s="466">
        <v>169764</v>
      </c>
      <c r="H4" s="466">
        <v>0</v>
      </c>
      <c r="I4" s="466">
        <v>849328</v>
      </c>
      <c r="J4" s="467">
        <v>0</v>
      </c>
      <c r="K4" s="466">
        <v>63159</v>
      </c>
      <c r="L4" s="466">
        <v>409230</v>
      </c>
      <c r="M4" s="468"/>
      <c r="N4" s="469"/>
    </row>
    <row r="5" spans="1:14" x14ac:dyDescent="0.2">
      <c r="A5" s="463" t="s">
        <v>992</v>
      </c>
      <c r="B5" s="470">
        <v>120</v>
      </c>
      <c r="C5" s="465">
        <v>1726200</v>
      </c>
      <c r="D5" s="466"/>
      <c r="E5" s="466"/>
      <c r="F5" s="466"/>
      <c r="G5" s="466"/>
      <c r="H5" s="466"/>
      <c r="I5" s="466">
        <v>631705</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4263500</v>
      </c>
      <c r="D13" s="1736">
        <f t="shared" ref="D13:L13" si="0">SUM(D4:D12)</f>
        <v>660571</v>
      </c>
      <c r="E13" s="1736">
        <f t="shared" si="0"/>
        <v>112978</v>
      </c>
      <c r="F13" s="1736">
        <f t="shared" si="0"/>
        <v>245637</v>
      </c>
      <c r="G13" s="1736">
        <f t="shared" si="0"/>
        <v>169764</v>
      </c>
      <c r="H13" s="1736">
        <f t="shared" si="0"/>
        <v>0</v>
      </c>
      <c r="I13" s="1736">
        <f t="shared" si="0"/>
        <v>1481033</v>
      </c>
      <c r="J13" s="1736">
        <f t="shared" si="0"/>
        <v>0</v>
      </c>
      <c r="K13" s="1736">
        <f t="shared" si="0"/>
        <v>63159</v>
      </c>
      <c r="L13" s="1736">
        <f t="shared" si="0"/>
        <v>409230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103413</v>
      </c>
      <c r="N16" s="484"/>
    </row>
    <row r="17" spans="1:14" s="485" customFormat="1" ht="12.75" customHeight="1" x14ac:dyDescent="0.2">
      <c r="A17" s="482" t="s">
        <v>1403</v>
      </c>
      <c r="B17" s="483">
        <v>230</v>
      </c>
      <c r="C17" s="477"/>
      <c r="D17" s="477"/>
      <c r="E17" s="477"/>
      <c r="F17" s="477"/>
      <c r="G17" s="477"/>
      <c r="H17" s="477"/>
      <c r="I17" s="477"/>
      <c r="J17" s="477"/>
      <c r="K17" s="477"/>
      <c r="L17" s="477"/>
      <c r="M17" s="467">
        <v>13115390</v>
      </c>
      <c r="N17" s="484"/>
    </row>
    <row r="18" spans="1:14" s="485" customFormat="1" ht="12.75" customHeight="1" x14ac:dyDescent="0.2">
      <c r="A18" s="482" t="s">
        <v>1404</v>
      </c>
      <c r="B18" s="483">
        <v>240</v>
      </c>
      <c r="C18" s="477"/>
      <c r="D18" s="477"/>
      <c r="E18" s="477"/>
      <c r="F18" s="477"/>
      <c r="G18" s="477"/>
      <c r="H18" s="477"/>
      <c r="I18" s="477"/>
      <c r="J18" s="477"/>
      <c r="K18" s="477"/>
      <c r="L18" s="477"/>
      <c r="M18" s="467">
        <v>1146257</v>
      </c>
      <c r="N18" s="484"/>
    </row>
    <row r="19" spans="1:14" s="485" customFormat="1" ht="12.75" customHeight="1" x14ac:dyDescent="0.2">
      <c r="A19" s="482" t="s">
        <v>1405</v>
      </c>
      <c r="B19" s="483">
        <v>250</v>
      </c>
      <c r="C19" s="477"/>
      <c r="D19" s="477"/>
      <c r="E19" s="477"/>
      <c r="F19" s="477"/>
      <c r="G19" s="477"/>
      <c r="H19" s="477"/>
      <c r="I19" s="477"/>
      <c r="J19" s="477"/>
      <c r="K19" s="477"/>
      <c r="L19" s="477"/>
      <c r="M19" s="467">
        <v>1824773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112978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2042965</v>
      </c>
    </row>
    <row r="23" spans="1:14" ht="13.5" customHeight="1" thickBot="1" x14ac:dyDescent="0.25">
      <c r="A23" s="1735" t="s">
        <v>643</v>
      </c>
      <c r="B23" s="1740"/>
      <c r="C23" s="468"/>
      <c r="D23" s="468"/>
      <c r="E23" s="468"/>
      <c r="F23" s="468"/>
      <c r="G23" s="468"/>
      <c r="H23" s="468"/>
      <c r="I23" s="468"/>
      <c r="J23" s="468"/>
      <c r="K23" s="468"/>
      <c r="L23" s="468"/>
      <c r="M23" s="1687">
        <f>SUM(M15:M22)</f>
        <v>16189833</v>
      </c>
      <c r="N23" s="1687">
        <f>SUM(N21:N22)</f>
        <v>2155943</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409230</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409230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2155943</v>
      </c>
    </row>
    <row r="37" spans="1:14" ht="13.5" thickBot="1" x14ac:dyDescent="0.25">
      <c r="A37" s="1735" t="s">
        <v>653</v>
      </c>
      <c r="B37" s="1740"/>
      <c r="C37" s="477"/>
      <c r="D37" s="477"/>
      <c r="E37" s="477"/>
      <c r="F37" s="477"/>
      <c r="G37" s="477"/>
      <c r="H37" s="477"/>
      <c r="I37" s="477"/>
      <c r="J37" s="477"/>
      <c r="K37" s="477"/>
      <c r="L37" s="480"/>
      <c r="M37" s="468"/>
      <c r="N37" s="1687">
        <f>SUM(N36:N36)</f>
        <v>2155943</v>
      </c>
    </row>
    <row r="38" spans="1:14" s="329" customFormat="1" ht="13.5" customHeight="1" thickTop="1" x14ac:dyDescent="0.2">
      <c r="A38" s="496" t="s">
        <v>420</v>
      </c>
      <c r="B38" s="483">
        <v>714</v>
      </c>
      <c r="C38" s="466">
        <v>21928</v>
      </c>
      <c r="D38" s="466"/>
      <c r="E38" s="466"/>
      <c r="F38" s="466"/>
      <c r="G38" s="466">
        <v>12596</v>
      </c>
      <c r="H38" s="466"/>
      <c r="I38" s="466"/>
      <c r="J38" s="467"/>
      <c r="K38" s="466"/>
      <c r="L38" s="481"/>
      <c r="M38" s="497"/>
      <c r="N38" s="497"/>
    </row>
    <row r="39" spans="1:14" s="329" customFormat="1" ht="13.5" customHeight="1" x14ac:dyDescent="0.2">
      <c r="A39" s="496" t="s">
        <v>342</v>
      </c>
      <c r="B39" s="483">
        <v>730</v>
      </c>
      <c r="C39" s="466">
        <v>4241572</v>
      </c>
      <c r="D39" s="466">
        <v>660571</v>
      </c>
      <c r="E39" s="466">
        <v>112978</v>
      </c>
      <c r="F39" s="466">
        <v>245637</v>
      </c>
      <c r="G39" s="466">
        <v>157168</v>
      </c>
      <c r="H39" s="466">
        <v>0</v>
      </c>
      <c r="I39" s="466">
        <v>1481033</v>
      </c>
      <c r="J39" s="467">
        <v>0</v>
      </c>
      <c r="K39" s="466">
        <v>63159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16189833</v>
      </c>
      <c r="N40" s="497"/>
    </row>
    <row r="41" spans="1:14" ht="13.5" customHeight="1" thickBot="1" x14ac:dyDescent="0.25">
      <c r="A41" s="1735" t="s">
        <v>655</v>
      </c>
      <c r="B41" s="1705"/>
      <c r="C41" s="1687">
        <f>(SUM(C34,C37,C38,C39))</f>
        <v>4263500</v>
      </c>
      <c r="D41" s="1687">
        <f t="shared" ref="D41:L41" si="2">SUM(D34,D37,D38:D39)</f>
        <v>660571</v>
      </c>
      <c r="E41" s="1687">
        <f t="shared" si="2"/>
        <v>112978</v>
      </c>
      <c r="F41" s="1687">
        <f t="shared" si="2"/>
        <v>245637</v>
      </c>
      <c r="G41" s="1687">
        <f t="shared" si="2"/>
        <v>169764</v>
      </c>
      <c r="H41" s="1687">
        <f t="shared" si="2"/>
        <v>0</v>
      </c>
      <c r="I41" s="1687">
        <f t="shared" si="2"/>
        <v>1481033</v>
      </c>
      <c r="J41" s="1687">
        <f t="shared" si="2"/>
        <v>0</v>
      </c>
      <c r="K41" s="1687">
        <f t="shared" si="2"/>
        <v>63159</v>
      </c>
      <c r="L41" s="1687">
        <f t="shared" si="2"/>
        <v>409230</v>
      </c>
      <c r="M41" s="1687">
        <f>SUM(M40)</f>
        <v>16189833</v>
      </c>
      <c r="N41" s="1687">
        <f>SUM(N37)</f>
        <v>2155943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1" right="0.15" top="0.86" bottom="0.5" header="0.43" footer="0.26"/>
  <pageSetup scale="75" firstPageNumber="11" orientation="landscape" useFirstPageNumber="1" r:id="rId1"/>
  <headerFooter alignWithMargins="0">
    <oddHeader xml:space="preserve">&amp;C&amp;"Arial,Bold"&amp;9Salem Community High School District #600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1" activePane="bottomLeft" state="frozen"/>
      <selection pane="bottomLeft" activeCell="D26" sqref="D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7" t="s">
        <v>1499</v>
      </c>
      <c r="B4" s="1928">
        <v>1000</v>
      </c>
      <c r="C4" s="1741">
        <f>'Revenues 9-14'!C109</f>
        <v>2938225</v>
      </c>
      <c r="D4" s="1741">
        <f>'Revenues 9-14'!D109</f>
        <v>402417</v>
      </c>
      <c r="E4" s="1741">
        <f>'Revenues 9-14'!E109</f>
        <v>482095</v>
      </c>
      <c r="F4" s="1741">
        <f>'Revenues 9-14'!F109</f>
        <v>250640</v>
      </c>
      <c r="G4" s="1741">
        <f>'Revenues 9-14'!G109</f>
        <v>253700</v>
      </c>
      <c r="H4" s="1741">
        <f>'Revenues 9-14'!H109</f>
        <v>0</v>
      </c>
      <c r="I4" s="1741">
        <f>'Revenues 9-14'!I109</f>
        <v>110617</v>
      </c>
      <c r="J4" s="1741">
        <f>'Revenues 9-14'!J109</f>
        <v>138237</v>
      </c>
      <c r="K4" s="1741">
        <f>'Revenues 9-14'!K109</f>
        <v>50719</v>
      </c>
      <c r="L4" s="347"/>
    </row>
    <row r="5" spans="1:13" ht="15.75" customHeight="1" x14ac:dyDescent="0.2">
      <c r="A5" s="1576" t="s">
        <v>1500</v>
      </c>
      <c r="B5" s="1577">
        <v>2000</v>
      </c>
      <c r="C5" s="1742">
        <f>'Revenues 9-14'!C114</f>
        <v>0</v>
      </c>
      <c r="D5" s="1742">
        <f>'Revenues 9-14'!D114</f>
        <v>0</v>
      </c>
      <c r="E5" s="508"/>
      <c r="F5" s="1742">
        <f>'Revenues 9-14'!F114</f>
        <v>1619</v>
      </c>
      <c r="G5" s="1742">
        <f>'Revenues 9-14'!G114</f>
        <v>0</v>
      </c>
      <c r="H5" s="509" t="s">
        <v>1169</v>
      </c>
      <c r="I5" s="510" t="s">
        <v>1169</v>
      </c>
      <c r="J5" s="511" t="s">
        <v>1169</v>
      </c>
      <c r="K5" s="512" t="s">
        <v>1169</v>
      </c>
      <c r="L5" s="347"/>
    </row>
    <row r="6" spans="1:13" ht="15.75" customHeight="1" x14ac:dyDescent="0.2">
      <c r="A6" s="1576" t="s">
        <v>1501</v>
      </c>
      <c r="B6" s="1578">
        <v>3000</v>
      </c>
      <c r="C6" s="1742">
        <f>'Revenues 9-14'!C170</f>
        <v>2808991</v>
      </c>
      <c r="D6" s="1742">
        <f>'Revenues 9-14'!D170</f>
        <v>835345</v>
      </c>
      <c r="E6" s="1742">
        <f>'Revenues 9-14'!E170</f>
        <v>0</v>
      </c>
      <c r="F6" s="1742">
        <f>'Revenues 9-14'!F170</f>
        <v>125582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566982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6314198</v>
      </c>
      <c r="D8" s="1687">
        <f t="shared" ref="D8:K8" si="0">SUM(D4:D7)</f>
        <v>1237762</v>
      </c>
      <c r="E8" s="1687">
        <f t="shared" si="0"/>
        <v>482095</v>
      </c>
      <c r="F8" s="1687">
        <f t="shared" si="0"/>
        <v>377841</v>
      </c>
      <c r="G8" s="1687">
        <f t="shared" si="0"/>
        <v>253700</v>
      </c>
      <c r="H8" s="1687">
        <f t="shared" si="0"/>
        <v>0</v>
      </c>
      <c r="I8" s="1687">
        <f t="shared" si="0"/>
        <v>110617</v>
      </c>
      <c r="J8" s="1687">
        <f t="shared" si="0"/>
        <v>138237</v>
      </c>
      <c r="K8" s="1687">
        <f t="shared" si="0"/>
        <v>50719</v>
      </c>
      <c r="L8" s="347"/>
    </row>
    <row r="9" spans="1:13" ht="15.75" thickTop="1" x14ac:dyDescent="0.2">
      <c r="A9" s="514" t="s">
        <v>1653</v>
      </c>
      <c r="B9" s="515">
        <v>3998</v>
      </c>
      <c r="C9" s="481">
        <v>371794</v>
      </c>
      <c r="D9" s="516"/>
      <c r="E9" s="481"/>
      <c r="F9" s="481"/>
      <c r="G9" s="517"/>
      <c r="H9" s="481"/>
      <c r="I9" s="509" t="s">
        <v>1169</v>
      </c>
      <c r="J9" s="478"/>
      <c r="K9" s="481"/>
      <c r="L9" s="347"/>
    </row>
    <row r="10" spans="1:13" s="519" customFormat="1" ht="13.5" thickBot="1" x14ac:dyDescent="0.25">
      <c r="A10" s="1735" t="s">
        <v>1173</v>
      </c>
      <c r="B10" s="1708"/>
      <c r="C10" s="1687">
        <f>SUM(C8:C9)</f>
        <v>6685992</v>
      </c>
      <c r="D10" s="1687">
        <f t="shared" ref="D10:K10" si="1">SUM(D8:D9)</f>
        <v>1237762</v>
      </c>
      <c r="E10" s="1687">
        <f t="shared" si="1"/>
        <v>482095</v>
      </c>
      <c r="F10" s="1687">
        <f t="shared" si="1"/>
        <v>377841</v>
      </c>
      <c r="G10" s="1687">
        <f t="shared" si="1"/>
        <v>253700</v>
      </c>
      <c r="H10" s="1687">
        <f t="shared" si="1"/>
        <v>0</v>
      </c>
      <c r="I10" s="1687">
        <f t="shared" si="1"/>
        <v>110617</v>
      </c>
      <c r="J10" s="1687">
        <f t="shared" si="1"/>
        <v>138237</v>
      </c>
      <c r="K10" s="1687">
        <f t="shared" si="1"/>
        <v>50719</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1">
        <f>'Expenditures 15-22'!K33</f>
        <v>3913159</v>
      </c>
      <c r="D12" s="520" t="s">
        <v>1169</v>
      </c>
      <c r="E12" s="468" t="s">
        <v>1169</v>
      </c>
      <c r="F12" s="468" t="s">
        <v>1169</v>
      </c>
      <c r="G12" s="1741">
        <f>'Expenditures 15-22'!K229</f>
        <v>97327</v>
      </c>
      <c r="H12" s="521"/>
      <c r="I12" s="468" t="s">
        <v>1169</v>
      </c>
      <c r="J12" s="468" t="s">
        <v>1169</v>
      </c>
      <c r="K12" s="521" t="s">
        <v>1169</v>
      </c>
      <c r="L12" s="347"/>
    </row>
    <row r="13" spans="1:13" ht="15.75" customHeight="1" x14ac:dyDescent="0.2">
      <c r="A13" s="1576" t="s">
        <v>457</v>
      </c>
      <c r="B13" s="1578">
        <v>2000</v>
      </c>
      <c r="C13" s="1742">
        <f>'Expenditures 15-22'!K74</f>
        <v>1765509</v>
      </c>
      <c r="D13" s="1742">
        <f>'Expenditures 15-22'!K129</f>
        <v>2970873</v>
      </c>
      <c r="E13" s="469" t="s">
        <v>1169</v>
      </c>
      <c r="F13" s="1742">
        <f>'Expenditures 15-22'!K184</f>
        <v>248328</v>
      </c>
      <c r="G13" s="1742">
        <f>'Expenditures 15-22'!K279</f>
        <v>153096</v>
      </c>
      <c r="H13" s="1742">
        <f>'Expenditures 15-22'!K303</f>
        <v>0</v>
      </c>
      <c r="I13" s="468" t="s">
        <v>1169</v>
      </c>
      <c r="J13" s="1742">
        <f>'Expenditures 15-22'!K330</f>
        <v>138237</v>
      </c>
      <c r="K13" s="1746">
        <f>'Expenditures 15-22'!K352</f>
        <v>99455</v>
      </c>
      <c r="L13" s="347"/>
    </row>
    <row r="14" spans="1:13" ht="15.75" customHeight="1" x14ac:dyDescent="0.2">
      <c r="A14" s="1576" t="s">
        <v>449</v>
      </c>
      <c r="B14" s="1578">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352047</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475750</v>
      </c>
      <c r="F16" s="1742">
        <f>'Expenditures 15-22'!K208</f>
        <v>83813</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6030715</v>
      </c>
      <c r="D17" s="1687">
        <f t="shared" si="2"/>
        <v>2970873</v>
      </c>
      <c r="E17" s="1687">
        <f t="shared" si="2"/>
        <v>475750</v>
      </c>
      <c r="F17" s="1687">
        <f t="shared" si="2"/>
        <v>332141</v>
      </c>
      <c r="G17" s="1687">
        <f t="shared" si="2"/>
        <v>250423</v>
      </c>
      <c r="H17" s="1687">
        <f t="shared" si="2"/>
        <v>0</v>
      </c>
      <c r="I17" s="468"/>
      <c r="J17" s="1687">
        <f>SUM(J12:J16)</f>
        <v>138237</v>
      </c>
      <c r="K17" s="1687">
        <f>SUM(K12:K16)</f>
        <v>99455</v>
      </c>
      <c r="L17" s="347"/>
    </row>
    <row r="18" spans="1:12" ht="15" customHeight="1" thickTop="1" x14ac:dyDescent="0.2">
      <c r="A18" s="1743" t="s">
        <v>1654</v>
      </c>
      <c r="B18" s="1744">
        <v>4180</v>
      </c>
      <c r="C18" s="1741">
        <f t="shared" ref="C18:H18" si="3">C9</f>
        <v>371794</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6402509</v>
      </c>
      <c r="D19" s="1687">
        <f t="shared" si="4"/>
        <v>2970873</v>
      </c>
      <c r="E19" s="1687">
        <f t="shared" si="4"/>
        <v>475750</v>
      </c>
      <c r="F19" s="1687">
        <f t="shared" si="4"/>
        <v>332141</v>
      </c>
      <c r="G19" s="1687">
        <f t="shared" si="4"/>
        <v>250423</v>
      </c>
      <c r="H19" s="1687">
        <f t="shared" si="4"/>
        <v>0</v>
      </c>
      <c r="I19" s="468"/>
      <c r="J19" s="1687">
        <f>SUM(J17:J18)</f>
        <v>138237</v>
      </c>
      <c r="K19" s="1687">
        <f>SUM(K17:K18)</f>
        <v>99455</v>
      </c>
      <c r="L19" s="347"/>
    </row>
    <row r="20" spans="1:12" ht="16.5" thickTop="1" thickBot="1" x14ac:dyDescent="0.25">
      <c r="A20" s="2124" t="s">
        <v>1655</v>
      </c>
      <c r="B20" s="2125"/>
      <c r="C20" s="1745">
        <f>C8-C17</f>
        <v>283483</v>
      </c>
      <c r="D20" s="1745">
        <f t="shared" ref="D20:K20" si="5">D8-D17</f>
        <v>-1733111</v>
      </c>
      <c r="E20" s="1745">
        <f t="shared" si="5"/>
        <v>6345</v>
      </c>
      <c r="F20" s="1745">
        <f t="shared" si="5"/>
        <v>45700</v>
      </c>
      <c r="G20" s="1745">
        <f t="shared" si="5"/>
        <v>3277</v>
      </c>
      <c r="H20" s="1745">
        <f t="shared" si="5"/>
        <v>0</v>
      </c>
      <c r="I20" s="1745">
        <f t="shared" si="5"/>
        <v>110617</v>
      </c>
      <c r="J20" s="1745">
        <f t="shared" si="5"/>
        <v>0</v>
      </c>
      <c r="K20" s="1745">
        <f t="shared" si="5"/>
        <v>-48736</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1735000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2">
        <f>SUM(C24:C43)</f>
        <v>0</v>
      </c>
      <c r="D44" s="1702">
        <f t="shared" ref="D44:K44" si="6">SUM(D24:D43)</f>
        <v>1735000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1735000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2">
        <f t="shared" ref="C76:K76" si="7">SUM(C47:C75)</f>
        <v>0</v>
      </c>
      <c r="D76" s="1702">
        <f t="shared" si="7"/>
        <v>0</v>
      </c>
      <c r="E76" s="1702">
        <f t="shared" si="7"/>
        <v>0</v>
      </c>
      <c r="F76" s="1702">
        <f t="shared" si="7"/>
        <v>0</v>
      </c>
      <c r="G76" s="1702">
        <f t="shared" si="7"/>
        <v>0</v>
      </c>
      <c r="H76" s="1702">
        <f t="shared" si="7"/>
        <v>0</v>
      </c>
      <c r="I76" s="1702">
        <f t="shared" si="7"/>
        <v>1735000</v>
      </c>
      <c r="J76" s="1702">
        <f t="shared" si="7"/>
        <v>0</v>
      </c>
      <c r="K76" s="1702">
        <f t="shared" si="7"/>
        <v>0</v>
      </c>
      <c r="L76" s="524"/>
    </row>
    <row r="77" spans="1:12" ht="14.25" thickTop="1" thickBot="1" x14ac:dyDescent="0.25">
      <c r="A77" s="2116" t="s">
        <v>1177</v>
      </c>
      <c r="B77" s="2117"/>
      <c r="C77" s="1702">
        <f t="shared" ref="C77:K77" si="8">C44-C76</f>
        <v>0</v>
      </c>
      <c r="D77" s="1702">
        <f t="shared" si="8"/>
        <v>1735000</v>
      </c>
      <c r="E77" s="1702">
        <f t="shared" si="8"/>
        <v>0</v>
      </c>
      <c r="F77" s="1702">
        <f t="shared" si="8"/>
        <v>0</v>
      </c>
      <c r="G77" s="1702">
        <f t="shared" si="8"/>
        <v>0</v>
      </c>
      <c r="H77" s="1702">
        <f t="shared" si="8"/>
        <v>0</v>
      </c>
      <c r="I77" s="1702">
        <f t="shared" si="8"/>
        <v>-1735000</v>
      </c>
      <c r="J77" s="1702">
        <f t="shared" si="8"/>
        <v>0</v>
      </c>
      <c r="K77" s="1702">
        <f t="shared" si="8"/>
        <v>0</v>
      </c>
      <c r="L77" s="347"/>
    </row>
    <row r="78" spans="1:12" ht="21.75" customHeight="1" thickTop="1" thickBot="1" x14ac:dyDescent="0.25">
      <c r="A78" s="2120" t="s">
        <v>597</v>
      </c>
      <c r="B78" s="2121"/>
      <c r="C78" s="1701">
        <f t="shared" ref="C78:K78" si="9">C20+C77</f>
        <v>283483</v>
      </c>
      <c r="D78" s="1701">
        <f t="shared" si="9"/>
        <v>1889</v>
      </c>
      <c r="E78" s="1701">
        <f t="shared" si="9"/>
        <v>6345</v>
      </c>
      <c r="F78" s="1701">
        <f t="shared" si="9"/>
        <v>45700</v>
      </c>
      <c r="G78" s="1701">
        <f t="shared" si="9"/>
        <v>3277</v>
      </c>
      <c r="H78" s="1701">
        <f t="shared" si="9"/>
        <v>0</v>
      </c>
      <c r="I78" s="1701">
        <f t="shared" si="9"/>
        <v>-1624383</v>
      </c>
      <c r="J78" s="1701">
        <f t="shared" si="9"/>
        <v>0</v>
      </c>
      <c r="K78" s="1701">
        <f t="shared" si="9"/>
        <v>-48736</v>
      </c>
      <c r="L78" s="533"/>
    </row>
    <row r="79" spans="1:12" ht="13.5" thickTop="1" x14ac:dyDescent="0.2">
      <c r="A79" s="1494" t="s">
        <v>1948</v>
      </c>
      <c r="B79" s="534"/>
      <c r="C79" s="478">
        <v>3980017</v>
      </c>
      <c r="D79" s="535">
        <v>658682</v>
      </c>
      <c r="E79" s="535">
        <v>106633</v>
      </c>
      <c r="F79" s="535">
        <v>199937</v>
      </c>
      <c r="G79" s="535">
        <v>166487</v>
      </c>
      <c r="H79" s="535">
        <v>0</v>
      </c>
      <c r="I79" s="535">
        <v>3105416</v>
      </c>
      <c r="J79" s="535">
        <v>0</v>
      </c>
      <c r="K79" s="535">
        <v>111895</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1949</v>
      </c>
      <c r="B81" s="2119"/>
      <c r="C81" s="1687">
        <f>(SUM(C78:C80))</f>
        <v>4263500</v>
      </c>
      <c r="D81" s="1687">
        <f>SUM(D78:D80)</f>
        <v>660571</v>
      </c>
      <c r="E81" s="1687">
        <f t="shared" ref="E81:K81" si="10">SUM(E78:E80)</f>
        <v>112978</v>
      </c>
      <c r="F81" s="1687">
        <f t="shared" si="10"/>
        <v>245637</v>
      </c>
      <c r="G81" s="1687">
        <f t="shared" si="10"/>
        <v>169764</v>
      </c>
      <c r="H81" s="1687">
        <f t="shared" si="10"/>
        <v>0</v>
      </c>
      <c r="I81" s="1687">
        <f t="shared" si="10"/>
        <v>1481033</v>
      </c>
      <c r="J81" s="1687">
        <f t="shared" si="10"/>
        <v>0</v>
      </c>
      <c r="K81" s="1687">
        <f t="shared" si="10"/>
        <v>63159</v>
      </c>
      <c r="L81" s="347"/>
    </row>
    <row r="82" spans="1:12" ht="0.75" customHeight="1" thickTop="1" thickBot="1" x14ac:dyDescent="0.25">
      <c r="A82" s="536" t="s">
        <v>343</v>
      </c>
      <c r="B82" s="537"/>
      <c r="C82" s="538">
        <f>(C81-C79)</f>
        <v>283483</v>
      </c>
      <c r="D82" s="538">
        <f t="shared" ref="D82:K82" si="11">(D81-D79)</f>
        <v>1889</v>
      </c>
      <c r="E82" s="538">
        <f t="shared" si="11"/>
        <v>6345</v>
      </c>
      <c r="F82" s="538">
        <f t="shared" si="11"/>
        <v>45700</v>
      </c>
      <c r="G82" s="538">
        <f t="shared" si="11"/>
        <v>3277</v>
      </c>
      <c r="H82" s="538">
        <f t="shared" si="11"/>
        <v>0</v>
      </c>
      <c r="I82" s="538">
        <f t="shared" si="11"/>
        <v>-1624383</v>
      </c>
      <c r="J82" s="538">
        <f t="shared" si="11"/>
        <v>0</v>
      </c>
      <c r="K82" s="538">
        <f t="shared" si="11"/>
        <v>-48736</v>
      </c>
    </row>
    <row r="83" spans="1:12" ht="14.25" hidden="1" thickTop="1" thickBot="1" x14ac:dyDescent="0.25">
      <c r="A83" s="539" t="s">
        <v>344</v>
      </c>
      <c r="B83" s="464"/>
      <c r="C83" s="540">
        <f>C82/C81</f>
        <v>6.6490676674094057E-2</v>
      </c>
      <c r="D83" s="540">
        <f t="shared" ref="D83:K83" si="12">D82/D81</f>
        <v>2.8596471840271523E-3</v>
      </c>
      <c r="E83" s="540">
        <f t="shared" si="12"/>
        <v>5.6161376551186956E-2</v>
      </c>
      <c r="F83" s="540">
        <f t="shared" si="12"/>
        <v>0.18604689033003985</v>
      </c>
      <c r="G83" s="540">
        <f t="shared" si="12"/>
        <v>1.9303268066256686E-2</v>
      </c>
      <c r="H83" s="540" t="e">
        <f t="shared" si="12"/>
        <v>#DIV/0!</v>
      </c>
      <c r="I83" s="540">
        <f t="shared" si="12"/>
        <v>-1.096790550919527</v>
      </c>
      <c r="J83" s="540" t="e">
        <f t="shared" si="12"/>
        <v>#DIV/0!</v>
      </c>
      <c r="K83" s="540">
        <f t="shared" si="12"/>
        <v>-0.77163982963631472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3" right="0" top="0.8" bottom="0.53" header="0.28999999999999998" footer="0.28000000000000003"/>
  <pageSetup scale="73" firstPageNumber="13" orientation="landscape" useFirstPageNumber="1" r:id="rId1"/>
  <headerFooter alignWithMargins="0">
    <oddHeader xml:space="preserve">&amp;C&amp;"Arial,Bold"&amp;9Salem Community High School District #600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2231710</v>
      </c>
      <c r="D5" s="481">
        <v>378929</v>
      </c>
      <c r="E5" s="466">
        <v>479889</v>
      </c>
      <c r="F5" s="548">
        <v>246052</v>
      </c>
      <c r="G5" s="466">
        <v>98446</v>
      </c>
      <c r="H5" s="466"/>
      <c r="I5" s="466">
        <v>83664</v>
      </c>
      <c r="J5" s="467">
        <v>137806</v>
      </c>
      <c r="K5" s="466">
        <v>49233</v>
      </c>
    </row>
    <row r="6" spans="1:12" ht="15" x14ac:dyDescent="0.2">
      <c r="A6" s="463" t="s">
        <v>1662</v>
      </c>
      <c r="B6" s="470">
        <v>1130</v>
      </c>
      <c r="C6" s="466">
        <v>19707</v>
      </c>
      <c r="D6" s="466"/>
      <c r="E6" s="475"/>
      <c r="F6" s="475"/>
      <c r="G6" s="468"/>
      <c r="H6" s="468"/>
      <c r="I6" s="468"/>
      <c r="J6" s="468"/>
      <c r="K6" s="468"/>
    </row>
    <row r="7" spans="1:12" x14ac:dyDescent="0.2">
      <c r="A7" s="463" t="s">
        <v>110</v>
      </c>
      <c r="B7" s="549">
        <v>1140</v>
      </c>
      <c r="C7" s="466">
        <v>29541</v>
      </c>
      <c r="D7" s="466"/>
      <c r="E7" s="468"/>
      <c r="F7" s="467"/>
      <c r="G7" s="467"/>
      <c r="H7" s="467"/>
      <c r="I7" s="468"/>
      <c r="J7" s="468"/>
      <c r="K7" s="468"/>
    </row>
    <row r="8" spans="1:12" x14ac:dyDescent="0.2">
      <c r="A8" s="463" t="s">
        <v>413</v>
      </c>
      <c r="B8" s="470">
        <v>1150</v>
      </c>
      <c r="C8" s="475"/>
      <c r="D8" s="475"/>
      <c r="E8" s="477"/>
      <c r="F8" s="477"/>
      <c r="G8" s="481">
        <v>123024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2280958</v>
      </c>
      <c r="D12" s="1706">
        <f t="shared" si="0"/>
        <v>378929</v>
      </c>
      <c r="E12" s="1706">
        <f t="shared" si="0"/>
        <v>479889</v>
      </c>
      <c r="F12" s="1706">
        <f t="shared" si="0"/>
        <v>246052</v>
      </c>
      <c r="G12" s="1706">
        <f t="shared" si="0"/>
        <v>221470</v>
      </c>
      <c r="H12" s="1706">
        <f t="shared" si="0"/>
        <v>0</v>
      </c>
      <c r="I12" s="1706">
        <f t="shared" si="0"/>
        <v>83664</v>
      </c>
      <c r="J12" s="1706">
        <f t="shared" si="0"/>
        <v>137806</v>
      </c>
      <c r="K12" s="1687">
        <f t="shared" si="0"/>
        <v>49233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275497</v>
      </c>
      <c r="D16" s="466"/>
      <c r="E16" s="466"/>
      <c r="F16" s="466"/>
      <c r="G16" s="466">
        <v>28758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275497</v>
      </c>
      <c r="D18" s="1709">
        <f t="shared" ref="D18:K18" si="1">SUM(D14:D17)</f>
        <v>0</v>
      </c>
      <c r="E18" s="1709">
        <f t="shared" si="1"/>
        <v>0</v>
      </c>
      <c r="F18" s="1709">
        <f t="shared" si="1"/>
        <v>0</v>
      </c>
      <c r="G18" s="1709">
        <f t="shared" si="1"/>
        <v>28758</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44446</v>
      </c>
      <c r="D65" s="466">
        <v>16094</v>
      </c>
      <c r="E65" s="466">
        <v>2206</v>
      </c>
      <c r="F65" s="467">
        <v>4152</v>
      </c>
      <c r="G65" s="466">
        <v>3472</v>
      </c>
      <c r="H65" s="466"/>
      <c r="I65" s="466">
        <v>26953</v>
      </c>
      <c r="J65" s="467">
        <v>431</v>
      </c>
      <c r="K65" s="466">
        <v>1486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44446</v>
      </c>
      <c r="D67" s="1687">
        <f t="shared" ref="D67:K67" si="2">SUM(D65:D66)</f>
        <v>16094</v>
      </c>
      <c r="E67" s="1687">
        <f t="shared" si="2"/>
        <v>2206</v>
      </c>
      <c r="F67" s="1687">
        <f t="shared" si="2"/>
        <v>4152</v>
      </c>
      <c r="G67" s="1687">
        <f t="shared" si="2"/>
        <v>3472</v>
      </c>
      <c r="H67" s="1687">
        <f t="shared" si="2"/>
        <v>0</v>
      </c>
      <c r="I67" s="1687">
        <f t="shared" si="2"/>
        <v>26953</v>
      </c>
      <c r="J67" s="1687">
        <f t="shared" si="2"/>
        <v>431</v>
      </c>
      <c r="K67" s="1687">
        <f t="shared" si="2"/>
        <v>1486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107269</v>
      </c>
      <c r="D69" s="468"/>
      <c r="E69" s="468"/>
      <c r="F69" s="468"/>
      <c r="G69" s="468"/>
      <c r="H69" s="468"/>
      <c r="I69" s="468"/>
      <c r="J69" s="468"/>
      <c r="K69" s="468"/>
    </row>
    <row r="70" spans="1:11" ht="12.75" customHeight="1" x14ac:dyDescent="0.2">
      <c r="A70" s="463" t="s">
        <v>997</v>
      </c>
      <c r="B70" s="470">
        <v>1612</v>
      </c>
      <c r="C70" s="551">
        <v>4405</v>
      </c>
      <c r="D70" s="468"/>
      <c r="E70" s="468"/>
      <c r="F70" s="468"/>
      <c r="G70" s="468"/>
      <c r="H70" s="468"/>
      <c r="I70" s="468"/>
      <c r="J70" s="468"/>
      <c r="K70" s="468"/>
    </row>
    <row r="71" spans="1:11" ht="12.75" customHeight="1" x14ac:dyDescent="0.2">
      <c r="A71" s="463" t="s">
        <v>273</v>
      </c>
      <c r="B71" s="470">
        <v>1613</v>
      </c>
      <c r="C71" s="551">
        <v>58577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9958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180209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72256</v>
      </c>
      <c r="D77" s="466"/>
      <c r="E77" s="468"/>
      <c r="F77" s="468"/>
      <c r="G77" s="468"/>
      <c r="H77" s="468"/>
      <c r="I77" s="468"/>
      <c r="J77" s="468"/>
      <c r="K77" s="468"/>
    </row>
    <row r="78" spans="1:11" ht="12.75" customHeight="1" x14ac:dyDescent="0.2">
      <c r="A78" s="463" t="s">
        <v>76</v>
      </c>
      <c r="B78" s="470">
        <v>1719</v>
      </c>
      <c r="C78" s="551">
        <v>5455</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2238</v>
      </c>
      <c r="D81" s="466"/>
      <c r="E81" s="468"/>
      <c r="F81" s="468"/>
      <c r="G81" s="468"/>
      <c r="H81" s="468"/>
      <c r="I81" s="468"/>
      <c r="J81" s="468"/>
      <c r="K81" s="468"/>
    </row>
    <row r="82" spans="1:11" ht="12.75" customHeight="1" thickBot="1" x14ac:dyDescent="0.25">
      <c r="A82" s="1707" t="s">
        <v>241</v>
      </c>
      <c r="B82" s="1708"/>
      <c r="C82" s="1706">
        <f>SUM(C77:C81)</f>
        <v>79949</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44857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44857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7400</v>
      </c>
      <c r="D101" s="526"/>
      <c r="E101" s="480"/>
      <c r="F101" s="526"/>
      <c r="G101" s="475"/>
      <c r="H101" s="526"/>
      <c r="I101" s="468"/>
      <c r="J101" s="475"/>
      <c r="K101" s="475"/>
    </row>
    <row r="102" spans="1:12" ht="12.75" customHeight="1" x14ac:dyDescent="0.2">
      <c r="A102" s="463" t="s">
        <v>247</v>
      </c>
      <c r="B102" s="470">
        <v>1980</v>
      </c>
      <c r="C102" s="489">
        <v>9261</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15648</v>
      </c>
      <c r="D107" s="466">
        <v>7394</v>
      </c>
      <c r="E107" s="466"/>
      <c r="F107" s="466">
        <v>436</v>
      </c>
      <c r="G107" s="466"/>
      <c r="H107" s="466"/>
      <c r="I107" s="466"/>
      <c r="J107" s="467"/>
      <c r="K107" s="466"/>
    </row>
    <row r="108" spans="1:12" ht="12.75" customHeight="1" thickBot="1" x14ac:dyDescent="0.25">
      <c r="A108" s="1707" t="s">
        <v>487</v>
      </c>
      <c r="B108" s="1711"/>
      <c r="C108" s="1706">
        <f>SUM(C95:C107)</f>
        <v>32309</v>
      </c>
      <c r="D108" s="1706">
        <f t="shared" ref="D108:K108" si="3">SUM(D95:D107)</f>
        <v>7394</v>
      </c>
      <c r="E108" s="1706">
        <f t="shared" si="3"/>
        <v>0</v>
      </c>
      <c r="F108" s="1706">
        <f t="shared" si="3"/>
        <v>436</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2938225</v>
      </c>
      <c r="D109" s="1714">
        <f t="shared" si="4"/>
        <v>402417</v>
      </c>
      <c r="E109" s="1714">
        <f t="shared" si="4"/>
        <v>482095</v>
      </c>
      <c r="F109" s="1714">
        <f t="shared" si="4"/>
        <v>250640</v>
      </c>
      <c r="G109" s="1714">
        <f t="shared" si="4"/>
        <v>253700</v>
      </c>
      <c r="H109" s="1714">
        <f t="shared" si="4"/>
        <v>0</v>
      </c>
      <c r="I109" s="1714">
        <f t="shared" si="4"/>
        <v>110617</v>
      </c>
      <c r="J109" s="1714">
        <f t="shared" si="4"/>
        <v>138237</v>
      </c>
      <c r="K109" s="1701">
        <f t="shared" si="4"/>
        <v>50719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v>1619</v>
      </c>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1619</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2506038</v>
      </c>
      <c r="D117" s="481">
        <v>835345</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2506038</v>
      </c>
      <c r="D122" s="1706">
        <f t="shared" si="5"/>
        <v>835345</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13010</v>
      </c>
      <c r="D125" s="561"/>
      <c r="E125" s="468"/>
      <c r="F125" s="548">
        <v>14331</v>
      </c>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238964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251974</v>
      </c>
      <c r="D132" s="1706">
        <f>SUM(D125:D131)</f>
        <v>0</v>
      </c>
      <c r="E132" s="469" t="s">
        <v>1169</v>
      </c>
      <c r="F132" s="1706">
        <f>SUM(F125:F131)</f>
        <v>14331</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480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9634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10114</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2570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34051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75966</v>
      </c>
      <c r="G152" s="467"/>
      <c r="H152" s="468"/>
      <c r="I152" s="468"/>
      <c r="J152" s="468"/>
      <c r="K152" s="468"/>
    </row>
    <row r="153" spans="1:11" ht="12.75" customHeight="1" x14ac:dyDescent="0.2">
      <c r="A153" s="463" t="s">
        <v>1057</v>
      </c>
      <c r="B153" s="562">
        <v>3510</v>
      </c>
      <c r="C153" s="551"/>
      <c r="D153" s="466"/>
      <c r="E153" s="561"/>
      <c r="F153" s="466">
        <v>35285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111251</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4244</v>
      </c>
      <c r="D168" s="580"/>
      <c r="E168" s="580"/>
      <c r="F168" s="580"/>
      <c r="G168" s="581"/>
      <c r="H168" s="582"/>
      <c r="I168" s="581"/>
      <c r="J168" s="581"/>
      <c r="K168" s="582"/>
    </row>
    <row r="169" spans="1:11" ht="12.75" customHeight="1" thickTop="1" thickBot="1" x14ac:dyDescent="0.25">
      <c r="A169" s="2142" t="s">
        <v>398</v>
      </c>
      <c r="B169" s="2143"/>
      <c r="C169" s="1721">
        <f t="shared" ref="C169:K169" si="6">SUM(C132,C141,C145,C146:C150,C155,C156:C167,C168)</f>
        <v>302953</v>
      </c>
      <c r="D169" s="1721">
        <f t="shared" si="6"/>
        <v>0</v>
      </c>
      <c r="E169" s="1721">
        <f t="shared" si="6"/>
        <v>0</v>
      </c>
      <c r="F169" s="1721">
        <f t="shared" si="6"/>
        <v>125582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2808991</v>
      </c>
      <c r="D170" s="1714">
        <f t="shared" si="7"/>
        <v>835345</v>
      </c>
      <c r="E170" s="1714">
        <f t="shared" si="7"/>
        <v>0</v>
      </c>
      <c r="F170" s="1714">
        <f t="shared" si="7"/>
        <v>125582</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137162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21122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158284</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201618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201618</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38904</v>
      </c>
      <c r="D213" s="466"/>
      <c r="E213" s="468"/>
      <c r="F213" s="466"/>
      <c r="G213" s="466"/>
      <c r="H213" s="468"/>
      <c r="I213" s="468"/>
      <c r="J213" s="468"/>
      <c r="K213" s="468"/>
    </row>
    <row r="214" spans="1:11" ht="12.75" customHeight="1" x14ac:dyDescent="0.2">
      <c r="A214" s="463" t="s">
        <v>1054</v>
      </c>
      <c r="B214" s="470">
        <v>4625</v>
      </c>
      <c r="C214" s="551">
        <v>37801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76705</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27472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1936</v>
      </c>
      <c r="B261" s="470">
        <v>4981</v>
      </c>
      <c r="C261" s="575"/>
      <c r="D261" s="576"/>
      <c r="E261" s="468"/>
      <c r="F261" s="576"/>
      <c r="G261" s="576"/>
      <c r="H261" s="468"/>
      <c r="I261" s="468"/>
      <c r="J261" s="468"/>
      <c r="K261" s="468"/>
    </row>
    <row r="262" spans="1:11" ht="12.75" customHeight="1" thickTop="1" thickBot="1" x14ac:dyDescent="0.25">
      <c r="A262" s="1930"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11180</v>
      </c>
      <c r="D263" s="576"/>
      <c r="E263" s="468"/>
      <c r="F263" s="576"/>
      <c r="G263" s="576"/>
      <c r="H263" s="468"/>
      <c r="I263" s="468"/>
      <c r="J263" s="468"/>
      <c r="K263" s="468"/>
    </row>
    <row r="264" spans="1:11" ht="12.75" customHeight="1" thickTop="1" thickBot="1" x14ac:dyDescent="0.25">
      <c r="A264" s="463" t="s">
        <v>377</v>
      </c>
      <c r="B264" s="470">
        <v>4992</v>
      </c>
      <c r="C264" s="575">
        <v>91723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566982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566982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6314198</v>
      </c>
      <c r="D268" s="1714">
        <f t="shared" si="12"/>
        <v>1237762</v>
      </c>
      <c r="E268" s="1714">
        <f t="shared" si="12"/>
        <v>482095</v>
      </c>
      <c r="F268" s="1714">
        <f t="shared" si="12"/>
        <v>377841</v>
      </c>
      <c r="G268" s="1714">
        <f t="shared" si="12"/>
        <v>253700</v>
      </c>
      <c r="H268" s="1714">
        <f t="shared" si="12"/>
        <v>0</v>
      </c>
      <c r="I268" s="1714">
        <f t="shared" si="12"/>
        <v>110617</v>
      </c>
      <c r="J268" s="1714">
        <f t="shared" si="12"/>
        <v>138237</v>
      </c>
      <c r="K268" s="1701">
        <f t="shared" si="12"/>
        <v>50719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1" right="0.19" top="0.66" bottom="0.43" header="0.26" footer="0.21"/>
  <pageSetup scale="74" firstPageNumber="15" orientation="landscape" useFirstPageNumber="1" r:id="rId1"/>
  <headerFooter alignWithMargins="0">
    <oddHeader>&amp;C&amp;"Arial,Bold"&amp;9Salem Community High School District #600
STATEMENT OF REVENUES RECEIVED/REVENUES (ALL FUNDS)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pane ySplit="2" topLeftCell="A160" activePane="bottomLeft" state="frozen"/>
      <selection pane="bottomLeft" activeCell="N175" sqref="N17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1759564</v>
      </c>
      <c r="D5" s="466">
        <v>380777</v>
      </c>
      <c r="E5" s="466">
        <v>43538</v>
      </c>
      <c r="F5" s="466">
        <v>63884</v>
      </c>
      <c r="G5" s="466">
        <v>26710</v>
      </c>
      <c r="H5" s="466"/>
      <c r="I5" s="467"/>
      <c r="J5" s="467"/>
      <c r="K5" s="1670">
        <f>SUM(C5:J5)</f>
        <v>2274473</v>
      </c>
      <c r="L5" s="466">
        <v>2296914</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c r="D7" s="467"/>
      <c r="E7" s="467"/>
      <c r="F7" s="467"/>
      <c r="G7" s="467"/>
      <c r="H7" s="467"/>
      <c r="I7" s="467"/>
      <c r="J7" s="467"/>
      <c r="K7" s="1670">
        <f t="shared" ref="K7:K32" si="0">SUM(C7:J7)</f>
        <v>0</v>
      </c>
      <c r="L7" s="466">
        <v>0</v>
      </c>
    </row>
    <row r="8" spans="1:14" x14ac:dyDescent="0.2">
      <c r="A8" s="1504" t="s">
        <v>164</v>
      </c>
      <c r="B8" s="614">
        <v>1200</v>
      </c>
      <c r="C8" s="466">
        <v>520242</v>
      </c>
      <c r="D8" s="466">
        <v>79397</v>
      </c>
      <c r="E8" s="466">
        <v>6491</v>
      </c>
      <c r="F8" s="466">
        <v>2299</v>
      </c>
      <c r="G8" s="466"/>
      <c r="H8" s="466"/>
      <c r="I8" s="467"/>
      <c r="J8" s="467"/>
      <c r="K8" s="1670">
        <f t="shared" si="0"/>
        <v>608429</v>
      </c>
      <c r="L8" s="466">
        <v>616364</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v>68974</v>
      </c>
      <c r="D10" s="466">
        <v>7938</v>
      </c>
      <c r="E10" s="466">
        <v>13584</v>
      </c>
      <c r="F10" s="466">
        <v>62942</v>
      </c>
      <c r="G10" s="466">
        <v>7976</v>
      </c>
      <c r="H10" s="466"/>
      <c r="I10" s="467"/>
      <c r="J10" s="467"/>
      <c r="K10" s="1670">
        <f t="shared" si="0"/>
        <v>161414</v>
      </c>
      <c r="L10" s="466">
        <v>168234</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c r="D12" s="466"/>
      <c r="E12" s="466"/>
      <c r="F12" s="466"/>
      <c r="G12" s="466"/>
      <c r="H12" s="466"/>
      <c r="I12" s="467"/>
      <c r="J12" s="467"/>
      <c r="K12" s="1670">
        <f t="shared" si="0"/>
        <v>0</v>
      </c>
      <c r="L12" s="466">
        <v>0</v>
      </c>
    </row>
    <row r="13" spans="1:14" x14ac:dyDescent="0.2">
      <c r="A13" s="1504" t="s">
        <v>723</v>
      </c>
      <c r="B13" s="614">
        <v>1400</v>
      </c>
      <c r="C13" s="466">
        <v>474319</v>
      </c>
      <c r="D13" s="466">
        <v>111187</v>
      </c>
      <c r="E13" s="466">
        <v>56</v>
      </c>
      <c r="F13" s="466">
        <v>9943</v>
      </c>
      <c r="G13" s="466"/>
      <c r="H13" s="466">
        <v>235</v>
      </c>
      <c r="I13" s="467"/>
      <c r="J13" s="467"/>
      <c r="K13" s="1670">
        <f t="shared" si="0"/>
        <v>595740</v>
      </c>
      <c r="L13" s="466">
        <v>603900</v>
      </c>
    </row>
    <row r="14" spans="1:14" x14ac:dyDescent="0.2">
      <c r="A14" s="1504" t="s">
        <v>963</v>
      </c>
      <c r="B14" s="614">
        <v>1500</v>
      </c>
      <c r="C14" s="466">
        <v>153705</v>
      </c>
      <c r="D14" s="466">
        <v>1099</v>
      </c>
      <c r="E14" s="466">
        <v>24150</v>
      </c>
      <c r="F14" s="466">
        <v>31675</v>
      </c>
      <c r="G14" s="466">
        <v>9565</v>
      </c>
      <c r="H14" s="466">
        <v>31033</v>
      </c>
      <c r="I14" s="467"/>
      <c r="J14" s="467"/>
      <c r="K14" s="1670">
        <f t="shared" si="0"/>
        <v>251227</v>
      </c>
      <c r="L14" s="466">
        <v>254186</v>
      </c>
    </row>
    <row r="15" spans="1:14" x14ac:dyDescent="0.2">
      <c r="A15" s="1504" t="s">
        <v>964</v>
      </c>
      <c r="B15" s="614">
        <v>1600</v>
      </c>
      <c r="C15" s="466">
        <v>6623</v>
      </c>
      <c r="D15" s="466">
        <v>752</v>
      </c>
      <c r="E15" s="466"/>
      <c r="F15" s="466"/>
      <c r="G15" s="466"/>
      <c r="H15" s="466"/>
      <c r="I15" s="467"/>
      <c r="J15" s="467"/>
      <c r="K15" s="1670">
        <f t="shared" si="0"/>
        <v>7375</v>
      </c>
      <c r="L15" s="466">
        <v>7379</v>
      </c>
    </row>
    <row r="16" spans="1:14" x14ac:dyDescent="0.2">
      <c r="A16" s="1504" t="s">
        <v>987</v>
      </c>
      <c r="B16" s="614" t="s">
        <v>424</v>
      </c>
      <c r="C16" s="466"/>
      <c r="D16" s="466"/>
      <c r="E16" s="466"/>
      <c r="F16" s="466"/>
      <c r="G16" s="466"/>
      <c r="H16" s="466"/>
      <c r="I16" s="467"/>
      <c r="J16" s="467"/>
      <c r="K16" s="1670">
        <f t="shared" si="0"/>
        <v>0</v>
      </c>
      <c r="L16" s="466">
        <v>0</v>
      </c>
    </row>
    <row r="17" spans="1:12" x14ac:dyDescent="0.2">
      <c r="A17" s="1504" t="s">
        <v>724</v>
      </c>
      <c r="B17" s="614" t="s">
        <v>162</v>
      </c>
      <c r="C17" s="467">
        <v>10907</v>
      </c>
      <c r="D17" s="467">
        <v>164</v>
      </c>
      <c r="E17" s="467"/>
      <c r="F17" s="467">
        <v>3430</v>
      </c>
      <c r="G17" s="467"/>
      <c r="H17" s="467"/>
      <c r="I17" s="467"/>
      <c r="J17" s="467"/>
      <c r="K17" s="1670">
        <f t="shared" si="0"/>
        <v>14501</v>
      </c>
      <c r="L17" s="466">
        <v>15250</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c r="D19" s="466"/>
      <c r="E19" s="466"/>
      <c r="F19" s="466"/>
      <c r="G19" s="466"/>
      <c r="H19" s="466"/>
      <c r="I19" s="467"/>
      <c r="J19" s="467"/>
      <c r="K19" s="1670">
        <f t="shared" si="0"/>
        <v>0</v>
      </c>
      <c r="L19" s="466">
        <v>0</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2994334</v>
      </c>
      <c r="D33" s="1669">
        <f t="shared" ref="D33:L33" si="1">SUM(D5:D32)</f>
        <v>581314</v>
      </c>
      <c r="E33" s="1669">
        <f t="shared" si="1"/>
        <v>87819</v>
      </c>
      <c r="F33" s="1669">
        <f t="shared" si="1"/>
        <v>174173</v>
      </c>
      <c r="G33" s="1669">
        <f t="shared" si="1"/>
        <v>44251</v>
      </c>
      <c r="H33" s="1669">
        <f t="shared" si="1"/>
        <v>31268</v>
      </c>
      <c r="I33" s="1669">
        <f t="shared" si="1"/>
        <v>0</v>
      </c>
      <c r="J33" s="1669">
        <f t="shared" si="1"/>
        <v>0</v>
      </c>
      <c r="K33" s="1669">
        <f t="shared" si="1"/>
        <v>3913159</v>
      </c>
      <c r="L33" s="1669">
        <f t="shared" si="1"/>
        <v>3962227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22053</v>
      </c>
      <c r="D36" s="481"/>
      <c r="E36" s="481"/>
      <c r="F36" s="481">
        <v>405</v>
      </c>
      <c r="G36" s="481"/>
      <c r="H36" s="481"/>
      <c r="I36" s="467"/>
      <c r="J36" s="467"/>
      <c r="K36" s="1670">
        <f t="shared" ref="K36:K41" si="2">SUM(C36:J36)</f>
        <v>22458</v>
      </c>
      <c r="L36" s="466">
        <v>23000</v>
      </c>
    </row>
    <row r="37" spans="1:14" x14ac:dyDescent="0.2">
      <c r="A37" s="1504" t="s">
        <v>1090</v>
      </c>
      <c r="B37" s="614">
        <v>2120</v>
      </c>
      <c r="C37" s="466">
        <v>202547</v>
      </c>
      <c r="D37" s="466">
        <v>30389</v>
      </c>
      <c r="E37" s="466"/>
      <c r="F37" s="466">
        <v>3091</v>
      </c>
      <c r="G37" s="466"/>
      <c r="H37" s="466"/>
      <c r="I37" s="467"/>
      <c r="J37" s="467"/>
      <c r="K37" s="1670">
        <f t="shared" si="2"/>
        <v>236027</v>
      </c>
      <c r="L37" s="466">
        <v>237300</v>
      </c>
    </row>
    <row r="38" spans="1:14" x14ac:dyDescent="0.2">
      <c r="A38" s="1504" t="s">
        <v>198</v>
      </c>
      <c r="B38" s="614">
        <v>2130</v>
      </c>
      <c r="C38" s="466">
        <v>21741</v>
      </c>
      <c r="D38" s="466">
        <v>13699</v>
      </c>
      <c r="E38" s="466"/>
      <c r="F38" s="466">
        <v>211</v>
      </c>
      <c r="G38" s="466"/>
      <c r="H38" s="466">
        <v>130</v>
      </c>
      <c r="I38" s="467"/>
      <c r="J38" s="467"/>
      <c r="K38" s="1670">
        <f t="shared" si="2"/>
        <v>35781</v>
      </c>
      <c r="L38" s="466">
        <v>46350</v>
      </c>
    </row>
    <row r="39" spans="1:14" x14ac:dyDescent="0.2">
      <c r="A39" s="1504" t="s">
        <v>199</v>
      </c>
      <c r="B39" s="614">
        <v>2140</v>
      </c>
      <c r="C39" s="466"/>
      <c r="D39" s="466"/>
      <c r="E39" s="466"/>
      <c r="F39" s="466"/>
      <c r="G39" s="466"/>
      <c r="H39" s="466"/>
      <c r="I39" s="467"/>
      <c r="J39" s="467"/>
      <c r="K39" s="1670">
        <f t="shared" si="2"/>
        <v>0</v>
      </c>
      <c r="L39" s="466">
        <v>0</v>
      </c>
    </row>
    <row r="40" spans="1:14" x14ac:dyDescent="0.2">
      <c r="A40" s="1504" t="s">
        <v>200</v>
      </c>
      <c r="B40" s="614">
        <v>2150</v>
      </c>
      <c r="C40" s="466"/>
      <c r="D40" s="466"/>
      <c r="E40" s="466"/>
      <c r="F40" s="466"/>
      <c r="G40" s="466"/>
      <c r="H40" s="466"/>
      <c r="I40" s="467"/>
      <c r="J40" s="467"/>
      <c r="K40" s="1670">
        <f t="shared" si="2"/>
        <v>0</v>
      </c>
      <c r="L40" s="466">
        <v>0</v>
      </c>
    </row>
    <row r="41" spans="1:14" x14ac:dyDescent="0.2">
      <c r="A41" s="1504" t="s">
        <v>1669</v>
      </c>
      <c r="B41" s="614">
        <v>2190</v>
      </c>
      <c r="C41" s="466">
        <v>35985</v>
      </c>
      <c r="D41" s="466">
        <v>537</v>
      </c>
      <c r="E41" s="466"/>
      <c r="F41" s="466">
        <v>3938</v>
      </c>
      <c r="G41" s="466"/>
      <c r="H41" s="466">
        <v>1905</v>
      </c>
      <c r="I41" s="467"/>
      <c r="J41" s="467"/>
      <c r="K41" s="1670">
        <f t="shared" si="2"/>
        <v>42365</v>
      </c>
      <c r="L41" s="466">
        <v>42850</v>
      </c>
    </row>
    <row r="42" spans="1:14" ht="12.75" customHeight="1" thickBot="1" x14ac:dyDescent="0.25">
      <c r="A42" s="1667" t="s">
        <v>560</v>
      </c>
      <c r="B42" s="1668" t="s">
        <v>716</v>
      </c>
      <c r="C42" s="1669">
        <f>SUM(C36:C41)</f>
        <v>282326</v>
      </c>
      <c r="D42" s="1669">
        <f t="shared" ref="D42:L42" si="3">SUM(D36:D41)</f>
        <v>44625</v>
      </c>
      <c r="E42" s="1669">
        <f t="shared" si="3"/>
        <v>0</v>
      </c>
      <c r="F42" s="1669">
        <f t="shared" si="3"/>
        <v>7645</v>
      </c>
      <c r="G42" s="1669">
        <f t="shared" si="3"/>
        <v>0</v>
      </c>
      <c r="H42" s="1669">
        <f t="shared" si="3"/>
        <v>2035</v>
      </c>
      <c r="I42" s="1669">
        <f t="shared" si="3"/>
        <v>0</v>
      </c>
      <c r="J42" s="1669">
        <f t="shared" si="3"/>
        <v>0</v>
      </c>
      <c r="K42" s="1669">
        <f t="shared" si="3"/>
        <v>336631</v>
      </c>
      <c r="L42" s="1669">
        <f t="shared" si="3"/>
        <v>349500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2511</v>
      </c>
      <c r="D44" s="481">
        <v>125</v>
      </c>
      <c r="E44" s="481">
        <v>6954</v>
      </c>
      <c r="F44" s="481"/>
      <c r="G44" s="481"/>
      <c r="H44" s="481"/>
      <c r="I44" s="467"/>
      <c r="J44" s="467"/>
      <c r="K44" s="1671">
        <f>SUM(C44:J44)</f>
        <v>9590</v>
      </c>
      <c r="L44" s="481">
        <v>20222</v>
      </c>
    </row>
    <row r="45" spans="1:14" x14ac:dyDescent="0.2">
      <c r="A45" s="1504" t="s">
        <v>815</v>
      </c>
      <c r="B45" s="614">
        <v>2220</v>
      </c>
      <c r="C45" s="466">
        <v>72100</v>
      </c>
      <c r="D45" s="466">
        <v>12004</v>
      </c>
      <c r="E45" s="466">
        <v>2171</v>
      </c>
      <c r="F45" s="466">
        <v>15930</v>
      </c>
      <c r="G45" s="466">
        <v>550</v>
      </c>
      <c r="H45" s="466"/>
      <c r="I45" s="467"/>
      <c r="J45" s="467"/>
      <c r="K45" s="1671">
        <f>SUM(C45:J45)</f>
        <v>102755</v>
      </c>
      <c r="L45" s="466">
        <v>106037</v>
      </c>
    </row>
    <row r="46" spans="1:14" x14ac:dyDescent="0.2">
      <c r="A46" s="1504" t="s">
        <v>816</v>
      </c>
      <c r="B46" s="614">
        <v>2230</v>
      </c>
      <c r="C46" s="466"/>
      <c r="D46" s="466"/>
      <c r="E46" s="466"/>
      <c r="F46" s="466"/>
      <c r="G46" s="466"/>
      <c r="H46" s="466"/>
      <c r="I46" s="467"/>
      <c r="J46" s="467"/>
      <c r="K46" s="1671">
        <f>SUM(C46:J46)</f>
        <v>0</v>
      </c>
      <c r="L46" s="466">
        <v>0</v>
      </c>
    </row>
    <row r="47" spans="1:14" ht="12.75" customHeight="1" thickBot="1" x14ac:dyDescent="0.25">
      <c r="A47" s="1667" t="s">
        <v>561</v>
      </c>
      <c r="B47" s="1668" t="s">
        <v>32</v>
      </c>
      <c r="C47" s="1669">
        <f>SUM(C44:C46)</f>
        <v>74611</v>
      </c>
      <c r="D47" s="1669">
        <f t="shared" ref="D47:K47" si="4">SUM(D44:D46)</f>
        <v>12129</v>
      </c>
      <c r="E47" s="1669">
        <f t="shared" si="4"/>
        <v>9125</v>
      </c>
      <c r="F47" s="1669">
        <f t="shared" si="4"/>
        <v>15930</v>
      </c>
      <c r="G47" s="1669">
        <f t="shared" si="4"/>
        <v>550</v>
      </c>
      <c r="H47" s="1669">
        <f t="shared" si="4"/>
        <v>0</v>
      </c>
      <c r="I47" s="1669">
        <f t="shared" si="4"/>
        <v>0</v>
      </c>
      <c r="J47" s="1669">
        <f t="shared" si="4"/>
        <v>0</v>
      </c>
      <c r="K47" s="1669">
        <f t="shared" si="4"/>
        <v>112345</v>
      </c>
      <c r="L47" s="1669">
        <f>SUM(L44:L46)</f>
        <v>126259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8876</v>
      </c>
      <c r="D49" s="481"/>
      <c r="E49" s="481">
        <v>25286</v>
      </c>
      <c r="F49" s="481">
        <v>2031</v>
      </c>
      <c r="G49" s="481"/>
      <c r="H49" s="481">
        <v>4636</v>
      </c>
      <c r="I49" s="467"/>
      <c r="J49" s="467"/>
      <c r="K49" s="1671">
        <f>SUM(C49:J49)</f>
        <v>40829</v>
      </c>
      <c r="L49" s="481">
        <v>42650</v>
      </c>
    </row>
    <row r="50" spans="1:14" x14ac:dyDescent="0.2">
      <c r="A50" s="1504" t="s">
        <v>818</v>
      </c>
      <c r="B50" s="614">
        <v>2320</v>
      </c>
      <c r="C50" s="466">
        <v>153350</v>
      </c>
      <c r="D50" s="466">
        <v>35177</v>
      </c>
      <c r="E50" s="466"/>
      <c r="F50" s="466">
        <v>133</v>
      </c>
      <c r="G50" s="466"/>
      <c r="H50" s="466">
        <v>1464</v>
      </c>
      <c r="I50" s="467"/>
      <c r="J50" s="467"/>
      <c r="K50" s="1671">
        <f>SUM(C50:J50)</f>
        <v>190124</v>
      </c>
      <c r="L50" s="466">
        <v>197750</v>
      </c>
    </row>
    <row r="51" spans="1:14" x14ac:dyDescent="0.2">
      <c r="A51" s="1504" t="s">
        <v>42</v>
      </c>
      <c r="B51" s="614">
        <v>2330</v>
      </c>
      <c r="C51" s="466"/>
      <c r="D51" s="466"/>
      <c r="E51" s="466">
        <v>447</v>
      </c>
      <c r="F51" s="466"/>
      <c r="G51" s="466"/>
      <c r="H51" s="466"/>
      <c r="I51" s="467"/>
      <c r="J51" s="467"/>
      <c r="K51" s="1671">
        <f>SUM(C51:J51)</f>
        <v>447</v>
      </c>
      <c r="L51" s="466">
        <v>0</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162226</v>
      </c>
      <c r="D53" s="1669">
        <f t="shared" ref="D53:L53" si="5">SUM(D49:D52)</f>
        <v>35177</v>
      </c>
      <c r="E53" s="1669">
        <f t="shared" si="5"/>
        <v>25733</v>
      </c>
      <c r="F53" s="1669">
        <f t="shared" si="5"/>
        <v>2164</v>
      </c>
      <c r="G53" s="1669">
        <f t="shared" si="5"/>
        <v>0</v>
      </c>
      <c r="H53" s="1669">
        <f t="shared" si="5"/>
        <v>6100</v>
      </c>
      <c r="I53" s="1669">
        <f t="shared" si="5"/>
        <v>0</v>
      </c>
      <c r="J53" s="1669">
        <f t="shared" si="5"/>
        <v>0</v>
      </c>
      <c r="K53" s="1669">
        <f t="shared" si="5"/>
        <v>231400</v>
      </c>
      <c r="L53" s="1669">
        <f t="shared" si="5"/>
        <v>240400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205627</v>
      </c>
      <c r="D55" s="481">
        <v>60307</v>
      </c>
      <c r="E55" s="481"/>
      <c r="F55" s="481">
        <v>1323</v>
      </c>
      <c r="G55" s="481"/>
      <c r="H55" s="481">
        <v>1106</v>
      </c>
      <c r="I55" s="467"/>
      <c r="J55" s="467"/>
      <c r="K55" s="1671">
        <f>SUM(C55:J55)</f>
        <v>268363</v>
      </c>
      <c r="L55" s="481">
        <v>269605</v>
      </c>
    </row>
    <row r="56" spans="1:14" ht="12.75" customHeight="1" x14ac:dyDescent="0.2">
      <c r="A56" s="1508"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205627</v>
      </c>
      <c r="D57" s="1673">
        <f t="shared" ref="D57:K57" si="6">SUM(D55:D56)</f>
        <v>60307</v>
      </c>
      <c r="E57" s="1673">
        <f t="shared" si="6"/>
        <v>0</v>
      </c>
      <c r="F57" s="1673">
        <f t="shared" si="6"/>
        <v>1323</v>
      </c>
      <c r="G57" s="1673">
        <f t="shared" si="6"/>
        <v>0</v>
      </c>
      <c r="H57" s="1673">
        <f t="shared" si="6"/>
        <v>1106</v>
      </c>
      <c r="I57" s="1673">
        <f t="shared" si="6"/>
        <v>0</v>
      </c>
      <c r="J57" s="1673">
        <f t="shared" si="6"/>
        <v>0</v>
      </c>
      <c r="K57" s="1673">
        <f t="shared" si="6"/>
        <v>268363</v>
      </c>
      <c r="L57" s="1669">
        <f>SUM(L55:L56)</f>
        <v>269605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4" t="s">
        <v>463</v>
      </c>
      <c r="B60" s="614">
        <v>2520</v>
      </c>
      <c r="C60" s="466">
        <v>18766</v>
      </c>
      <c r="D60" s="466">
        <v>18526</v>
      </c>
      <c r="E60" s="466"/>
      <c r="F60" s="466">
        <v>179</v>
      </c>
      <c r="G60" s="466"/>
      <c r="H60" s="466"/>
      <c r="I60" s="467"/>
      <c r="J60" s="467"/>
      <c r="K60" s="1671">
        <f t="shared" si="7"/>
        <v>37471</v>
      </c>
      <c r="L60" s="466">
        <v>57300</v>
      </c>
      <c r="M60" s="609"/>
      <c r="N60" s="609"/>
    </row>
    <row r="61" spans="1:14" s="343" customFormat="1" x14ac:dyDescent="0.2">
      <c r="A61" s="1504" t="s">
        <v>197</v>
      </c>
      <c r="B61" s="614">
        <v>2540</v>
      </c>
      <c r="C61" s="466">
        <v>385716</v>
      </c>
      <c r="D61" s="466">
        <v>53693</v>
      </c>
      <c r="E61" s="466"/>
      <c r="F61" s="466"/>
      <c r="G61" s="466"/>
      <c r="H61" s="466"/>
      <c r="I61" s="467"/>
      <c r="J61" s="467"/>
      <c r="K61" s="1671">
        <f t="shared" si="7"/>
        <v>439409</v>
      </c>
      <c r="L61" s="466">
        <v>453500</v>
      </c>
      <c r="M61" s="609"/>
      <c r="N61" s="609"/>
    </row>
    <row r="62" spans="1:14" s="343" customFormat="1" x14ac:dyDescent="0.2">
      <c r="A62" s="1504" t="s">
        <v>953</v>
      </c>
      <c r="B62" s="614">
        <v>2550</v>
      </c>
      <c r="C62" s="466"/>
      <c r="D62" s="466"/>
      <c r="E62" s="466"/>
      <c r="F62" s="466"/>
      <c r="G62" s="466"/>
      <c r="H62" s="466"/>
      <c r="I62" s="467"/>
      <c r="J62" s="467"/>
      <c r="K62" s="1671">
        <f t="shared" si="7"/>
        <v>0</v>
      </c>
      <c r="L62" s="466">
        <v>0</v>
      </c>
      <c r="M62" s="609"/>
      <c r="N62" s="609"/>
    </row>
    <row r="63" spans="1:14" s="609" customFormat="1" x14ac:dyDescent="0.2">
      <c r="A63" s="1504" t="s">
        <v>100</v>
      </c>
      <c r="B63" s="614">
        <v>2560</v>
      </c>
      <c r="C63" s="466">
        <v>149606</v>
      </c>
      <c r="D63" s="466">
        <v>5964</v>
      </c>
      <c r="E63" s="466">
        <v>2396</v>
      </c>
      <c r="F63" s="466">
        <v>178031</v>
      </c>
      <c r="G63" s="466">
        <v>3630</v>
      </c>
      <c r="H63" s="466">
        <v>195</v>
      </c>
      <c r="I63" s="467"/>
      <c r="J63" s="467"/>
      <c r="K63" s="1671">
        <f t="shared" si="7"/>
        <v>339822</v>
      </c>
      <c r="L63" s="466">
        <v>346600</v>
      </c>
    </row>
    <row r="64" spans="1:14" s="609" customFormat="1" x14ac:dyDescent="0.2">
      <c r="A64" s="1509"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554088</v>
      </c>
      <c r="D65" s="1669">
        <f t="shared" ref="D65:L65" si="8">SUM(D59:D64)</f>
        <v>78183</v>
      </c>
      <c r="E65" s="1669">
        <f t="shared" si="8"/>
        <v>2396</v>
      </c>
      <c r="F65" s="1669">
        <f t="shared" si="8"/>
        <v>178210</v>
      </c>
      <c r="G65" s="1669">
        <f t="shared" si="8"/>
        <v>3630</v>
      </c>
      <c r="H65" s="1669">
        <f t="shared" si="8"/>
        <v>195</v>
      </c>
      <c r="I65" s="1669">
        <f t="shared" si="8"/>
        <v>0</v>
      </c>
      <c r="J65" s="1669">
        <f t="shared" si="8"/>
        <v>0</v>
      </c>
      <c r="K65" s="1669">
        <f t="shared" si="8"/>
        <v>816702</v>
      </c>
      <c r="L65" s="1669">
        <f t="shared" si="8"/>
        <v>857400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c r="F69" s="466"/>
      <c r="G69" s="466"/>
      <c r="H69" s="466"/>
      <c r="I69" s="467"/>
      <c r="J69" s="467"/>
      <c r="K69" s="1671">
        <f>SUM(C69:J69)</f>
        <v>0</v>
      </c>
      <c r="L69" s="466">
        <v>0</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v>68</v>
      </c>
      <c r="G73" s="573"/>
      <c r="H73" s="573"/>
      <c r="I73" s="531"/>
      <c r="J73" s="531"/>
      <c r="K73" s="1669">
        <f>SUM(C73:J73)</f>
        <v>68</v>
      </c>
      <c r="L73" s="576">
        <v>100</v>
      </c>
      <c r="M73" s="609"/>
      <c r="N73" s="609"/>
    </row>
    <row r="74" spans="1:14" ht="12.75" customHeight="1" thickTop="1" thickBot="1" x14ac:dyDescent="0.25">
      <c r="A74" s="1667" t="s">
        <v>811</v>
      </c>
      <c r="B74" s="1675">
        <v>2000</v>
      </c>
      <c r="C74" s="1676">
        <f>SUM(C42,C47,C53,C57,C65,C72,C73)</f>
        <v>1278878</v>
      </c>
      <c r="D74" s="1676">
        <f t="shared" ref="D74:K74" si="10">SUM(D42,D47,D53,D57,D65,D72,D73)</f>
        <v>230421</v>
      </c>
      <c r="E74" s="1676">
        <f t="shared" si="10"/>
        <v>37254</v>
      </c>
      <c r="F74" s="1676">
        <f t="shared" si="10"/>
        <v>205340</v>
      </c>
      <c r="G74" s="1676">
        <f t="shared" si="10"/>
        <v>4180</v>
      </c>
      <c r="H74" s="1676">
        <f t="shared" si="10"/>
        <v>9436</v>
      </c>
      <c r="I74" s="1676">
        <f t="shared" si="10"/>
        <v>0</v>
      </c>
      <c r="J74" s="1676">
        <f t="shared" si="10"/>
        <v>0</v>
      </c>
      <c r="K74" s="1676">
        <f t="shared" si="10"/>
        <v>1765509</v>
      </c>
      <c r="L74" s="1676">
        <f>SUM(L42,L47,L53,L57,L65,L72,L73)</f>
        <v>1843264</v>
      </c>
    </row>
    <row r="75" spans="1:14" s="259" customFormat="1" ht="15.75" customHeight="1" thickTop="1" thickBot="1" x14ac:dyDescent="0.25">
      <c r="A75" s="1610" t="s">
        <v>47</v>
      </c>
      <c r="B75" s="1611" t="s">
        <v>575</v>
      </c>
      <c r="C75" s="573"/>
      <c r="D75" s="573"/>
      <c r="E75" s="573"/>
      <c r="F75" s="573"/>
      <c r="G75" s="573"/>
      <c r="H75" s="573"/>
      <c r="I75" s="531"/>
      <c r="J75" s="531"/>
      <c r="K75" s="1669">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v>0</v>
      </c>
    </row>
    <row r="79" spans="1:14" x14ac:dyDescent="0.2">
      <c r="A79" s="1504" t="s">
        <v>304</v>
      </c>
      <c r="B79" s="614">
        <v>4120</v>
      </c>
      <c r="C79" s="616"/>
      <c r="D79" s="616"/>
      <c r="E79" s="466"/>
      <c r="F79" s="616"/>
      <c r="G79" s="616"/>
      <c r="H79" s="466">
        <v>352047</v>
      </c>
      <c r="I79" s="477"/>
      <c r="J79" s="477"/>
      <c r="K79" s="1670">
        <f t="shared" si="11"/>
        <v>352047</v>
      </c>
      <c r="L79" s="466">
        <v>353000</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v>0</v>
      </c>
    </row>
    <row r="83" spans="1:12" x14ac:dyDescent="0.2">
      <c r="A83" s="1508"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352047</v>
      </c>
      <c r="I84" s="477"/>
      <c r="J84" s="477"/>
      <c r="K84" s="1669">
        <f>SUM(K78:K83)</f>
        <v>352047</v>
      </c>
      <c r="L84" s="1669">
        <f>SUM(L78:L83)</f>
        <v>353000</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v>0</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352047</v>
      </c>
      <c r="I102" s="477"/>
      <c r="J102" s="477"/>
      <c r="K102" s="1676">
        <f>SUM(K84,K92,K100,K101)</f>
        <v>352047</v>
      </c>
      <c r="L102" s="1676">
        <f>SUM(L84,L92,L100,L101)</f>
        <v>353000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4273212</v>
      </c>
      <c r="D114" s="1669">
        <f t="shared" ref="D114:K114" si="13">SUM(D33,D74,D75,D102,D112,D113)</f>
        <v>811735</v>
      </c>
      <c r="E114" s="1669">
        <f t="shared" si="13"/>
        <v>125073</v>
      </c>
      <c r="F114" s="1669">
        <f t="shared" si="13"/>
        <v>379513</v>
      </c>
      <c r="G114" s="1669">
        <f t="shared" si="13"/>
        <v>48431</v>
      </c>
      <c r="H114" s="1669">
        <f>SUM(H33,H74,H75,H102,H112,H113)</f>
        <v>392751</v>
      </c>
      <c r="I114" s="1669">
        <f t="shared" si="13"/>
        <v>0</v>
      </c>
      <c r="J114" s="1669">
        <f t="shared" si="13"/>
        <v>0</v>
      </c>
      <c r="K114" s="1669">
        <f t="shared" si="13"/>
        <v>6030715</v>
      </c>
      <c r="L114" s="1669">
        <f>SUM(L33,L74,L75,L102,L112,L113)</f>
        <v>6158491</v>
      </c>
    </row>
    <row r="115" spans="1:14" ht="13.5" thickTop="1" x14ac:dyDescent="0.2">
      <c r="A115" s="2154" t="s">
        <v>996</v>
      </c>
      <c r="B115" s="2155"/>
      <c r="C115" s="618"/>
      <c r="D115" s="618"/>
      <c r="E115" s="618"/>
      <c r="F115" s="618"/>
      <c r="G115" s="618"/>
      <c r="H115" s="618"/>
      <c r="I115" s="618"/>
      <c r="J115" s="618"/>
      <c r="K115" s="1683">
        <f>'Revenues 9-14'!C268-'Expenditures 15-22'!K114</f>
        <v>283483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c r="H123" s="466"/>
      <c r="I123" s="467"/>
      <c r="J123" s="467"/>
      <c r="K123" s="1669">
        <f>SUM(C123:J123)</f>
        <v>0</v>
      </c>
      <c r="L123" s="466">
        <v>0</v>
      </c>
    </row>
    <row r="124" spans="1:14" ht="14.25" thickTop="1" thickBot="1" x14ac:dyDescent="0.25">
      <c r="A124" s="1504" t="s">
        <v>197</v>
      </c>
      <c r="B124" s="614">
        <v>2540</v>
      </c>
      <c r="C124" s="466">
        <v>42940</v>
      </c>
      <c r="D124" s="466"/>
      <c r="E124" s="466">
        <v>146830</v>
      </c>
      <c r="F124" s="466">
        <v>162505</v>
      </c>
      <c r="G124" s="466">
        <v>2617998</v>
      </c>
      <c r="H124" s="466">
        <v>600</v>
      </c>
      <c r="I124" s="467"/>
      <c r="J124" s="467"/>
      <c r="K124" s="1669">
        <f>SUM(C124:J124)</f>
        <v>2970873</v>
      </c>
      <c r="L124" s="466">
        <v>2976000</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42940</v>
      </c>
      <c r="D127" s="1669">
        <f t="shared" ref="D127:L127" si="14">SUM(D122:D126)</f>
        <v>0</v>
      </c>
      <c r="E127" s="1669">
        <f t="shared" si="14"/>
        <v>146830</v>
      </c>
      <c r="F127" s="1669">
        <f t="shared" si="14"/>
        <v>162505</v>
      </c>
      <c r="G127" s="1669">
        <f t="shared" si="14"/>
        <v>2617998</v>
      </c>
      <c r="H127" s="1669">
        <f t="shared" si="14"/>
        <v>600</v>
      </c>
      <c r="I127" s="1669">
        <f t="shared" si="14"/>
        <v>0</v>
      </c>
      <c r="J127" s="1669">
        <f t="shared" si="14"/>
        <v>0</v>
      </c>
      <c r="K127" s="1669">
        <f t="shared" si="14"/>
        <v>2970873</v>
      </c>
      <c r="L127" s="1669">
        <f t="shared" si="14"/>
        <v>2976000</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42940</v>
      </c>
      <c r="D129" s="1676">
        <f t="shared" ref="D129:L129" si="15">SUM(D120,D127,D128)</f>
        <v>0</v>
      </c>
      <c r="E129" s="1676">
        <f t="shared" si="15"/>
        <v>146830</v>
      </c>
      <c r="F129" s="1676">
        <f t="shared" si="15"/>
        <v>162505</v>
      </c>
      <c r="G129" s="1676">
        <f t="shared" si="15"/>
        <v>2617998</v>
      </c>
      <c r="H129" s="1676">
        <f t="shared" si="15"/>
        <v>600</v>
      </c>
      <c r="I129" s="1676">
        <f t="shared" si="15"/>
        <v>0</v>
      </c>
      <c r="J129" s="1676">
        <f t="shared" si="15"/>
        <v>0</v>
      </c>
      <c r="K129" s="1676">
        <f t="shared" si="15"/>
        <v>2970873</v>
      </c>
      <c r="L129" s="1676">
        <f t="shared" si="15"/>
        <v>2976000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1844</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69">
        <f>SUM(C129,C130,C139,C149,C150)</f>
        <v>42940</v>
      </c>
      <c r="D151" s="1669">
        <f t="shared" ref="D151:K151" si="16">SUM(D129,D130,D139,D149,D150)</f>
        <v>0</v>
      </c>
      <c r="E151" s="1669">
        <f t="shared" si="16"/>
        <v>146830</v>
      </c>
      <c r="F151" s="1669">
        <f t="shared" si="16"/>
        <v>162505</v>
      </c>
      <c r="G151" s="1669">
        <f t="shared" si="16"/>
        <v>2617998</v>
      </c>
      <c r="H151" s="1669">
        <f t="shared" si="16"/>
        <v>600</v>
      </c>
      <c r="I151" s="1669">
        <f t="shared" si="16"/>
        <v>0</v>
      </c>
      <c r="J151" s="1669">
        <f t="shared" si="16"/>
        <v>0</v>
      </c>
      <c r="K151" s="1669">
        <f t="shared" si="16"/>
        <v>2970873</v>
      </c>
      <c r="L151" s="1669">
        <f>SUM(L129,L130,L139,L149,L150)</f>
        <v>2976000</v>
      </c>
    </row>
    <row r="152" spans="1:14" ht="12.75" customHeight="1" thickTop="1" x14ac:dyDescent="0.2">
      <c r="A152" s="2174" t="s">
        <v>1178</v>
      </c>
      <c r="B152" s="2175"/>
      <c r="C152" s="618"/>
      <c r="D152" s="618"/>
      <c r="E152" s="618"/>
      <c r="F152" s="618"/>
      <c r="G152" s="618"/>
      <c r="H152" s="618"/>
      <c r="I152" s="618"/>
      <c r="J152" s="616"/>
      <c r="K152" s="1683">
        <f>'Revenues 9-14'!D268-'Expenditures 15-22'!K151</f>
        <v>-1733111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v>0</v>
      </c>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0</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327227</v>
      </c>
      <c r="I169" s="616"/>
      <c r="J169" s="616"/>
      <c r="K169" s="1670">
        <f>SUM(C169:H169)</f>
        <v>327227</v>
      </c>
      <c r="L169" s="656">
        <v>327227</v>
      </c>
    </row>
    <row r="170" spans="1:14" ht="33.75" customHeight="1" x14ac:dyDescent="0.2">
      <c r="A170" s="669" t="s">
        <v>1670</v>
      </c>
      <c r="B170" s="671" t="s">
        <v>31</v>
      </c>
      <c r="C170" s="616"/>
      <c r="D170" s="616"/>
      <c r="E170" s="616"/>
      <c r="F170" s="616"/>
      <c r="G170" s="616"/>
      <c r="H170" s="569">
        <v>147773</v>
      </c>
      <c r="I170" s="616"/>
      <c r="J170" s="616"/>
      <c r="K170" s="1670">
        <f>SUM(C170:J170)</f>
        <v>147773</v>
      </c>
      <c r="L170" s="569">
        <v>226289</v>
      </c>
    </row>
    <row r="171" spans="1:14" ht="15.75" customHeight="1" x14ac:dyDescent="0.2">
      <c r="A171" s="621" t="s">
        <v>766</v>
      </c>
      <c r="B171" s="672" t="s">
        <v>84</v>
      </c>
      <c r="C171" s="616"/>
      <c r="D171" s="616"/>
      <c r="E171" s="466"/>
      <c r="F171" s="616"/>
      <c r="G171" s="616"/>
      <c r="H171" s="569">
        <v>750</v>
      </c>
      <c r="I171" s="477"/>
      <c r="J171" s="616"/>
      <c r="K171" s="1670">
        <f>SUM(C171:J171)</f>
        <v>750</v>
      </c>
      <c r="L171" s="569">
        <v>750</v>
      </c>
    </row>
    <row r="172" spans="1:14" ht="12.75" customHeight="1" thickBot="1" x14ac:dyDescent="0.25">
      <c r="A172" s="1667" t="s">
        <v>638</v>
      </c>
      <c r="B172" s="1668" t="s">
        <v>492</v>
      </c>
      <c r="C172" s="616"/>
      <c r="D172" s="616"/>
      <c r="E172" s="1676">
        <f>SUM(E168,E169,E170,E171)</f>
        <v>0</v>
      </c>
      <c r="F172" s="616"/>
      <c r="G172" s="616"/>
      <c r="H172" s="1676">
        <f>SUM(H168,H169,H170,H171)</f>
        <v>475750</v>
      </c>
      <c r="I172" s="638"/>
      <c r="J172" s="616"/>
      <c r="K172" s="1676">
        <f>SUM(K168,K169,K170,K171)</f>
        <v>475750</v>
      </c>
      <c r="L172" s="1676">
        <f>SUM(L168,L169,L170,L171)</f>
        <v>554266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475750</v>
      </c>
      <c r="I174" s="638"/>
      <c r="J174" s="616"/>
      <c r="K174" s="1676">
        <f>SUM(K160,K172,K173)</f>
        <v>475750</v>
      </c>
      <c r="L174" s="1676">
        <f>SUM(L160,L172,L173)</f>
        <v>554266</v>
      </c>
    </row>
    <row r="175" spans="1:14" ht="13.5" thickTop="1" x14ac:dyDescent="0.2">
      <c r="A175" s="2154" t="s">
        <v>996</v>
      </c>
      <c r="B175" s="2155"/>
      <c r="C175" s="616"/>
      <c r="D175" s="616"/>
      <c r="E175" s="616"/>
      <c r="F175" s="616"/>
      <c r="G175" s="616"/>
      <c r="H175" s="618"/>
      <c r="I175" s="616"/>
      <c r="J175" s="616"/>
      <c r="K175" s="1683">
        <f>'Revenues 9-14'!E268-'Expenditures 15-22'!K174</f>
        <v>6345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152605</v>
      </c>
      <c r="D182" s="466">
        <v>1468</v>
      </c>
      <c r="E182" s="466">
        <v>51423</v>
      </c>
      <c r="F182" s="466">
        <v>42703</v>
      </c>
      <c r="G182" s="466"/>
      <c r="H182" s="466">
        <v>129</v>
      </c>
      <c r="I182" s="467"/>
      <c r="J182" s="467"/>
      <c r="K182" s="1670">
        <f>SUM(C182:J182)</f>
        <v>248328</v>
      </c>
      <c r="L182" s="466">
        <v>254422</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152605</v>
      </c>
      <c r="D184" s="1676">
        <f t="shared" ref="D184:J184" si="17">SUM(D180,D182,D183)</f>
        <v>1468</v>
      </c>
      <c r="E184" s="1676">
        <f t="shared" si="17"/>
        <v>51423</v>
      </c>
      <c r="F184" s="1676">
        <f t="shared" si="17"/>
        <v>42703</v>
      </c>
      <c r="G184" s="1676">
        <f t="shared" si="17"/>
        <v>0</v>
      </c>
      <c r="H184" s="1676">
        <f t="shared" si="17"/>
        <v>129</v>
      </c>
      <c r="I184" s="1676">
        <f t="shared" si="17"/>
        <v>0</v>
      </c>
      <c r="J184" s="1676">
        <f t="shared" si="17"/>
        <v>0</v>
      </c>
      <c r="K184" s="1676">
        <f>SUM(K180,K182,K183)</f>
        <v>248328</v>
      </c>
      <c r="L184" s="1676">
        <f>SUM(L180, L182:L183)</f>
        <v>254422</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5297</v>
      </c>
      <c r="I205" s="616"/>
      <c r="J205" s="616"/>
      <c r="K205" s="1684">
        <f>SUM(H205)</f>
        <v>5297</v>
      </c>
      <c r="L205" s="535">
        <v>5297</v>
      </c>
    </row>
    <row r="206" spans="1:14" ht="30" customHeight="1" x14ac:dyDescent="0.2">
      <c r="A206" s="681" t="s">
        <v>1671</v>
      </c>
      <c r="B206" s="672" t="s">
        <v>31</v>
      </c>
      <c r="C206" s="616"/>
      <c r="D206" s="616"/>
      <c r="E206" s="616"/>
      <c r="F206" s="616"/>
      <c r="G206" s="616"/>
      <c r="H206" s="466">
        <v>78516</v>
      </c>
      <c r="I206" s="616"/>
      <c r="J206" s="616"/>
      <c r="K206" s="1670">
        <f>SUM(H206)</f>
        <v>78516</v>
      </c>
      <c r="L206" s="466">
        <v>78516</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83813</v>
      </c>
      <c r="I208" s="616"/>
      <c r="J208" s="616"/>
      <c r="K208" s="1676">
        <f>SUM(K204,K205,K206,K207)</f>
        <v>83813</v>
      </c>
      <c r="L208" s="1676">
        <f>SUM(L204,L205,L206,L207)</f>
        <v>83813</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152605</v>
      </c>
      <c r="D210" s="1669">
        <f>SUM(D184,D185)</f>
        <v>1468</v>
      </c>
      <c r="E210" s="1669">
        <f>SUM(E184,E185,E196)</f>
        <v>51423</v>
      </c>
      <c r="F210" s="1669">
        <f>SUM(F184,F185)</f>
        <v>42703</v>
      </c>
      <c r="G210" s="1669">
        <f>SUM(G184,G185)</f>
        <v>0</v>
      </c>
      <c r="H210" s="1669">
        <f>SUM(H184,H185,H196,H208,H209)</f>
        <v>83942</v>
      </c>
      <c r="I210" s="1669">
        <f>SUM(I184,I185)</f>
        <v>0</v>
      </c>
      <c r="J210" s="1669">
        <f>SUM(J184,J185)</f>
        <v>0</v>
      </c>
      <c r="K210" s="1670">
        <f>SUM(K184,K185,K196,K208,K209)</f>
        <v>332141</v>
      </c>
      <c r="L210" s="1669">
        <f>SUM(L184,L185,L196,L208,L209)</f>
        <v>338235</v>
      </c>
    </row>
    <row r="211" spans="1:14" ht="13.5" thickTop="1" x14ac:dyDescent="0.2">
      <c r="A211" s="2154" t="s">
        <v>996</v>
      </c>
      <c r="B211" s="2155"/>
      <c r="C211" s="618"/>
      <c r="D211" s="618"/>
      <c r="E211" s="618"/>
      <c r="F211" s="618"/>
      <c r="G211" s="618"/>
      <c r="H211" s="618"/>
      <c r="I211" s="616"/>
      <c r="J211" s="616"/>
      <c r="K211" s="1683">
        <f>'Revenues 9-14'!F268-'Expenditures 15-22'!K210</f>
        <v>45700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44485</v>
      </c>
      <c r="E215" s="616"/>
      <c r="F215" s="616"/>
      <c r="G215" s="616"/>
      <c r="H215" s="616"/>
      <c r="I215" s="616"/>
      <c r="J215" s="616"/>
      <c r="K215" s="1670">
        <f>D215</f>
        <v>44485</v>
      </c>
      <c r="L215" s="466">
        <v>0</v>
      </c>
    </row>
    <row r="216" spans="1:14" x14ac:dyDescent="0.2">
      <c r="A216" s="1504" t="s">
        <v>163</v>
      </c>
      <c r="B216" s="614" t="s">
        <v>967</v>
      </c>
      <c r="C216" s="616"/>
      <c r="D216" s="467"/>
      <c r="E216" s="616"/>
      <c r="F216" s="616"/>
      <c r="G216" s="616"/>
      <c r="H216" s="616"/>
      <c r="I216" s="616"/>
      <c r="J216" s="616"/>
      <c r="K216" s="1670">
        <f t="shared" ref="K216:K228" si="19">D216</f>
        <v>0</v>
      </c>
      <c r="L216" s="466">
        <v>46533</v>
      </c>
    </row>
    <row r="217" spans="1:14" x14ac:dyDescent="0.2">
      <c r="A217" s="1504" t="s">
        <v>164</v>
      </c>
      <c r="B217" s="614">
        <v>1200</v>
      </c>
      <c r="C217" s="616"/>
      <c r="D217" s="466">
        <v>33285</v>
      </c>
      <c r="E217" s="616"/>
      <c r="F217" s="616"/>
      <c r="G217" s="616"/>
      <c r="H217" s="616"/>
      <c r="I217" s="616"/>
      <c r="J217" s="616"/>
      <c r="K217" s="1670">
        <f t="shared" si="19"/>
        <v>33285</v>
      </c>
      <c r="L217" s="466">
        <v>35025</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v>947</v>
      </c>
      <c r="E219" s="616"/>
      <c r="F219" s="616"/>
      <c r="G219" s="616"/>
      <c r="H219" s="616"/>
      <c r="I219" s="616"/>
      <c r="J219" s="616"/>
      <c r="K219" s="1670">
        <f t="shared" si="19"/>
        <v>947</v>
      </c>
      <c r="L219" s="466">
        <v>1250</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v>6623</v>
      </c>
      <c r="E222" s="616"/>
      <c r="F222" s="616"/>
      <c r="G222" s="616"/>
      <c r="H222" s="616"/>
      <c r="I222" s="616"/>
      <c r="J222" s="616"/>
      <c r="K222" s="1670">
        <f t="shared" si="19"/>
        <v>6623</v>
      </c>
      <c r="L222" s="466">
        <v>7053</v>
      </c>
    </row>
    <row r="223" spans="1:14" x14ac:dyDescent="0.2">
      <c r="A223" s="1504" t="s">
        <v>963</v>
      </c>
      <c r="B223" s="614">
        <v>1500</v>
      </c>
      <c r="C223" s="616"/>
      <c r="D223" s="466">
        <v>11733</v>
      </c>
      <c r="E223" s="616"/>
      <c r="F223" s="616"/>
      <c r="G223" s="616"/>
      <c r="H223" s="616"/>
      <c r="I223" s="616"/>
      <c r="J223" s="616"/>
      <c r="K223" s="1670">
        <f t="shared" si="19"/>
        <v>11733</v>
      </c>
      <c r="L223" s="466">
        <v>12500</v>
      </c>
    </row>
    <row r="224" spans="1:14" x14ac:dyDescent="0.2">
      <c r="A224" s="1504" t="s">
        <v>964</v>
      </c>
      <c r="B224" s="614">
        <v>1600</v>
      </c>
      <c r="C224" s="616"/>
      <c r="D224" s="466">
        <v>96</v>
      </c>
      <c r="E224" s="616"/>
      <c r="F224" s="616"/>
      <c r="G224" s="616"/>
      <c r="H224" s="616"/>
      <c r="I224" s="616"/>
      <c r="J224" s="616"/>
      <c r="K224" s="1670">
        <f t="shared" si="19"/>
        <v>96</v>
      </c>
      <c r="L224" s="466">
        <v>250</v>
      </c>
    </row>
    <row r="225" spans="1:12" x14ac:dyDescent="0.2">
      <c r="A225" s="1504" t="s">
        <v>987</v>
      </c>
      <c r="B225" s="614">
        <v>1650</v>
      </c>
      <c r="C225" s="616"/>
      <c r="D225" s="466"/>
      <c r="E225" s="616"/>
      <c r="F225" s="616"/>
      <c r="G225" s="616"/>
      <c r="H225" s="616"/>
      <c r="I225" s="616"/>
      <c r="J225" s="616"/>
      <c r="K225" s="1670">
        <f t="shared" si="19"/>
        <v>0</v>
      </c>
      <c r="L225" s="466">
        <v>0</v>
      </c>
    </row>
    <row r="226" spans="1:12" x14ac:dyDescent="0.2">
      <c r="A226" s="1504" t="s">
        <v>724</v>
      </c>
      <c r="B226" s="614" t="s">
        <v>162</v>
      </c>
      <c r="C226" s="616"/>
      <c r="D226" s="467">
        <v>158</v>
      </c>
      <c r="E226" s="616"/>
      <c r="F226" s="616"/>
      <c r="G226" s="616"/>
      <c r="H226" s="616"/>
      <c r="I226" s="616"/>
      <c r="J226" s="616"/>
      <c r="K226" s="1670">
        <f t="shared" si="19"/>
        <v>158</v>
      </c>
      <c r="L226" s="466">
        <v>250</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97327</v>
      </c>
      <c r="E229" s="616"/>
      <c r="F229" s="616"/>
      <c r="G229" s="616"/>
      <c r="H229" s="616"/>
      <c r="I229" s="616"/>
      <c r="J229" s="616"/>
      <c r="K229" s="1669">
        <f>SUM(K215:K228)</f>
        <v>97327</v>
      </c>
      <c r="L229" s="1669">
        <f>SUM(L215:L228)</f>
        <v>102861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3746</v>
      </c>
      <c r="E232" s="616"/>
      <c r="F232" s="616"/>
      <c r="G232" s="616"/>
      <c r="H232" s="616"/>
      <c r="I232" s="616"/>
      <c r="J232" s="616"/>
      <c r="K232" s="1670">
        <f t="shared" ref="K232:K237" si="20">D232</f>
        <v>3746</v>
      </c>
      <c r="L232" s="466">
        <v>4500</v>
      </c>
    </row>
    <row r="233" spans="1:12" x14ac:dyDescent="0.2">
      <c r="A233" s="1504" t="s">
        <v>1090</v>
      </c>
      <c r="B233" s="614">
        <v>2120</v>
      </c>
      <c r="C233" s="616"/>
      <c r="D233" s="466">
        <v>7362</v>
      </c>
      <c r="E233" s="616"/>
      <c r="F233" s="616"/>
      <c r="G233" s="616"/>
      <c r="H233" s="616"/>
      <c r="I233" s="616"/>
      <c r="J233" s="616"/>
      <c r="K233" s="1670">
        <f t="shared" si="20"/>
        <v>7362</v>
      </c>
      <c r="L233" s="466">
        <v>8450</v>
      </c>
    </row>
    <row r="234" spans="1:12" x14ac:dyDescent="0.2">
      <c r="A234" s="1504" t="s">
        <v>198</v>
      </c>
      <c r="B234" s="614">
        <v>2130</v>
      </c>
      <c r="C234" s="616"/>
      <c r="D234" s="466">
        <v>414</v>
      </c>
      <c r="E234" s="616"/>
      <c r="F234" s="616"/>
      <c r="G234" s="616"/>
      <c r="H234" s="616"/>
      <c r="I234" s="616"/>
      <c r="J234" s="616"/>
      <c r="K234" s="1670">
        <f t="shared" si="20"/>
        <v>414</v>
      </c>
      <c r="L234" s="466">
        <v>550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c r="E236" s="616"/>
      <c r="F236" s="616"/>
      <c r="G236" s="616"/>
      <c r="H236" s="616"/>
      <c r="I236" s="616"/>
      <c r="J236" s="616"/>
      <c r="K236" s="1670">
        <f t="shared" si="20"/>
        <v>0</v>
      </c>
      <c r="L236" s="466">
        <v>0</v>
      </c>
    </row>
    <row r="237" spans="1:12" x14ac:dyDescent="0.2">
      <c r="A237" s="1504" t="s">
        <v>165</v>
      </c>
      <c r="B237" s="614">
        <v>2190</v>
      </c>
      <c r="C237" s="616"/>
      <c r="D237" s="466">
        <v>684</v>
      </c>
      <c r="E237" s="616"/>
      <c r="F237" s="616"/>
      <c r="G237" s="616"/>
      <c r="H237" s="616"/>
      <c r="I237" s="616"/>
      <c r="J237" s="616"/>
      <c r="K237" s="1670">
        <f t="shared" si="20"/>
        <v>684</v>
      </c>
      <c r="L237" s="466">
        <v>950</v>
      </c>
    </row>
    <row r="238" spans="1:12" ht="12.75" customHeight="1" thickBot="1" x14ac:dyDescent="0.25">
      <c r="A238" s="1667" t="s">
        <v>560</v>
      </c>
      <c r="B238" s="1674" t="s">
        <v>716</v>
      </c>
      <c r="C238" s="616"/>
      <c r="D238" s="1669">
        <f>SUM(D232:D237)</f>
        <v>12206</v>
      </c>
      <c r="E238" s="616"/>
      <c r="F238" s="616"/>
      <c r="G238" s="616"/>
      <c r="H238" s="616"/>
      <c r="I238" s="616"/>
      <c r="J238" s="616"/>
      <c r="K238" s="1669">
        <f>SUM(K232:K237)</f>
        <v>12206</v>
      </c>
      <c r="L238" s="1669">
        <f>SUM(L232:L237)</f>
        <v>14450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24</v>
      </c>
      <c r="E240" s="616"/>
      <c r="F240" s="616"/>
      <c r="G240" s="616"/>
      <c r="H240" s="616"/>
      <c r="I240" s="616"/>
      <c r="J240" s="616"/>
      <c r="K240" s="1671">
        <f>D240</f>
        <v>24</v>
      </c>
      <c r="L240" s="481">
        <v>150</v>
      </c>
    </row>
    <row r="241" spans="1:12" x14ac:dyDescent="0.2">
      <c r="A241" s="1504" t="s">
        <v>815</v>
      </c>
      <c r="B241" s="614">
        <v>2220</v>
      </c>
      <c r="C241" s="616"/>
      <c r="D241" s="466">
        <v>2743</v>
      </c>
      <c r="E241" s="616"/>
      <c r="F241" s="616"/>
      <c r="G241" s="616"/>
      <c r="H241" s="616"/>
      <c r="I241" s="616"/>
      <c r="J241" s="616"/>
      <c r="K241" s="1671">
        <f>D241</f>
        <v>2743</v>
      </c>
      <c r="L241" s="466">
        <v>3200</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2767</v>
      </c>
      <c r="E243" s="616"/>
      <c r="F243" s="616"/>
      <c r="G243" s="616"/>
      <c r="H243" s="616"/>
      <c r="I243" s="616"/>
      <c r="J243" s="616"/>
      <c r="K243" s="1669">
        <f>SUM(K240:K242)</f>
        <v>2767</v>
      </c>
      <c r="L243" s="1669">
        <f>SUM(L240:L242)</f>
        <v>3350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1514</v>
      </c>
      <c r="E245" s="616"/>
      <c r="F245" s="616"/>
      <c r="G245" s="616"/>
      <c r="H245" s="616"/>
      <c r="I245" s="616"/>
      <c r="J245" s="616"/>
      <c r="K245" s="1671">
        <f>D245</f>
        <v>1514</v>
      </c>
      <c r="L245" s="481">
        <v>1950</v>
      </c>
    </row>
    <row r="246" spans="1:12" x14ac:dyDescent="0.2">
      <c r="A246" s="1504" t="s">
        <v>818</v>
      </c>
      <c r="B246" s="614">
        <v>2320</v>
      </c>
      <c r="C246" s="616"/>
      <c r="D246" s="466">
        <v>8040</v>
      </c>
      <c r="E246" s="616"/>
      <c r="F246" s="616"/>
      <c r="G246" s="616"/>
      <c r="H246" s="616"/>
      <c r="I246" s="616"/>
      <c r="J246" s="616"/>
      <c r="K246" s="1671">
        <f t="shared" ref="K246:K256" si="21">D246</f>
        <v>8040</v>
      </c>
      <c r="L246" s="466">
        <v>8750</v>
      </c>
    </row>
    <row r="247" spans="1:12" x14ac:dyDescent="0.2">
      <c r="A247" s="1504" t="s">
        <v>819</v>
      </c>
      <c r="B247" s="614">
        <v>2330</v>
      </c>
      <c r="C247" s="616"/>
      <c r="D247" s="466"/>
      <c r="E247" s="616"/>
      <c r="F247" s="616"/>
      <c r="G247" s="616"/>
      <c r="H247" s="616"/>
      <c r="I247" s="616"/>
      <c r="J247" s="616"/>
      <c r="K247" s="1671">
        <f t="shared" si="21"/>
        <v>0</v>
      </c>
      <c r="L247" s="466">
        <v>0</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1805</v>
      </c>
      <c r="B249" s="683" t="s">
        <v>282</v>
      </c>
      <c r="C249" s="616"/>
      <c r="D249" s="474"/>
      <c r="E249" s="616"/>
      <c r="F249" s="616"/>
      <c r="G249" s="616"/>
      <c r="H249" s="616"/>
      <c r="I249" s="616"/>
      <c r="J249" s="616"/>
      <c r="K249" s="1671">
        <f t="shared" si="21"/>
        <v>0</v>
      </c>
      <c r="L249" s="466">
        <v>0</v>
      </c>
    </row>
    <row r="250" spans="1:12" x14ac:dyDescent="0.2">
      <c r="A250" s="1505" t="s">
        <v>1806</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9554</v>
      </c>
      <c r="E257" s="616"/>
      <c r="F257" s="616"/>
      <c r="G257" s="616"/>
      <c r="H257" s="616"/>
      <c r="I257" s="616"/>
      <c r="J257" s="616"/>
      <c r="K257" s="1669">
        <f>SUM(K245:K256)</f>
        <v>9554</v>
      </c>
      <c r="L257" s="1669">
        <f>SUM(L245:L256)</f>
        <v>10700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8450</v>
      </c>
      <c r="E259" s="616"/>
      <c r="F259" s="616"/>
      <c r="G259" s="616"/>
      <c r="H259" s="616"/>
      <c r="I259" s="616"/>
      <c r="J259" s="616"/>
      <c r="K259" s="1671">
        <f>D259</f>
        <v>8450</v>
      </c>
      <c r="L259" s="481">
        <v>8950</v>
      </c>
    </row>
    <row r="260" spans="1:14" s="597" customFormat="1" x14ac:dyDescent="0.2">
      <c r="A260" s="1522"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8450</v>
      </c>
      <c r="E261" s="616"/>
      <c r="F261" s="616"/>
      <c r="G261" s="616"/>
      <c r="H261" s="616"/>
      <c r="I261" s="616"/>
      <c r="J261" s="616"/>
      <c r="K261" s="1669">
        <f>SUM(K259:K260)</f>
        <v>8450</v>
      </c>
      <c r="L261" s="1669">
        <f>SUM(L259:L260)</f>
        <v>8950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v>6506</v>
      </c>
      <c r="E264" s="616"/>
      <c r="F264" s="616"/>
      <c r="G264" s="616"/>
      <c r="H264" s="616"/>
      <c r="I264" s="616"/>
      <c r="J264" s="616"/>
      <c r="K264" s="1671">
        <f t="shared" ref="K264:K269" si="22">D264</f>
        <v>6506</v>
      </c>
      <c r="L264" s="466">
        <v>7150</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v>73229</v>
      </c>
      <c r="E266" s="616"/>
      <c r="F266" s="616"/>
      <c r="G266" s="616"/>
      <c r="H266" s="616"/>
      <c r="I266" s="616"/>
      <c r="J266" s="616"/>
      <c r="K266" s="1671">
        <f t="shared" si="22"/>
        <v>73229</v>
      </c>
      <c r="L266" s="466">
        <v>74793</v>
      </c>
    </row>
    <row r="267" spans="1:14" x14ac:dyDescent="0.2">
      <c r="A267" s="1504" t="s">
        <v>953</v>
      </c>
      <c r="B267" s="614">
        <v>2550</v>
      </c>
      <c r="C267" s="616"/>
      <c r="D267" s="466">
        <v>21341</v>
      </c>
      <c r="E267" s="616"/>
      <c r="F267" s="616"/>
      <c r="G267" s="616"/>
      <c r="H267" s="616"/>
      <c r="I267" s="616"/>
      <c r="J267" s="616"/>
      <c r="K267" s="1671">
        <f t="shared" si="22"/>
        <v>21341</v>
      </c>
      <c r="L267" s="466">
        <v>22250</v>
      </c>
    </row>
    <row r="268" spans="1:14" x14ac:dyDescent="0.2">
      <c r="A268" s="1504" t="s">
        <v>100</v>
      </c>
      <c r="B268" s="614">
        <v>2560</v>
      </c>
      <c r="C268" s="616"/>
      <c r="D268" s="466">
        <v>19043</v>
      </c>
      <c r="E268" s="616"/>
      <c r="F268" s="616"/>
      <c r="G268" s="616"/>
      <c r="H268" s="616"/>
      <c r="I268" s="616"/>
      <c r="J268" s="616"/>
      <c r="K268" s="1671">
        <f t="shared" si="22"/>
        <v>19043</v>
      </c>
      <c r="L268" s="466">
        <v>20700</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120119</v>
      </c>
      <c r="E270" s="616"/>
      <c r="F270" s="616"/>
      <c r="G270" s="616"/>
      <c r="H270" s="616"/>
      <c r="I270" s="616"/>
      <c r="J270" s="616"/>
      <c r="K270" s="1669">
        <f>SUM(K263:K269)</f>
        <v>120119</v>
      </c>
      <c r="L270" s="1669">
        <f>SUM(L263:L269)</f>
        <v>124893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153096</v>
      </c>
      <c r="E279" s="616"/>
      <c r="F279" s="616"/>
      <c r="G279" s="616"/>
      <c r="H279" s="616"/>
      <c r="I279" s="616"/>
      <c r="J279" s="616"/>
      <c r="K279" s="1676">
        <f>SUM(K238,K243,K257,K261,K270,K277,K278)</f>
        <v>153096</v>
      </c>
      <c r="L279" s="1676">
        <f>SUM(L238,L243,L257,L261,L270,L277,L278)</f>
        <v>162343</v>
      </c>
    </row>
    <row r="280" spans="1:12" ht="15.75" customHeight="1" thickTop="1" thickBot="1" x14ac:dyDescent="0.25">
      <c r="A280" s="1624" t="s">
        <v>875</v>
      </c>
      <c r="B280" s="1613">
        <v>3000</v>
      </c>
      <c r="C280" s="616"/>
      <c r="D280" s="576"/>
      <c r="E280" s="616"/>
      <c r="F280" s="616"/>
      <c r="G280" s="616"/>
      <c r="H280" s="616"/>
      <c r="I280" s="616"/>
      <c r="J280" s="616"/>
      <c r="K280" s="1678">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9">
        <f>SUM(D229,D279,D280,D285)</f>
        <v>250423</v>
      </c>
      <c r="E295" s="616"/>
      <c r="F295" s="616"/>
      <c r="G295" s="616"/>
      <c r="H295" s="1669">
        <f>H293</f>
        <v>0</v>
      </c>
      <c r="I295" s="616"/>
      <c r="J295" s="616"/>
      <c r="K295" s="1669">
        <f>SUM(K229,K279,K280,K285,K293,K294)</f>
        <v>250423</v>
      </c>
      <c r="L295" s="1669">
        <f>SUM(L229,L279,L280,L285,L293,L294)</f>
        <v>265204</v>
      </c>
    </row>
    <row r="296" spans="1:14" ht="13.5" thickTop="1" x14ac:dyDescent="0.2">
      <c r="A296" s="2154" t="s">
        <v>996</v>
      </c>
      <c r="B296" s="2155"/>
      <c r="C296" s="616"/>
      <c r="D296" s="618"/>
      <c r="E296" s="616"/>
      <c r="F296" s="616"/>
      <c r="G296" s="616"/>
      <c r="H296" s="687"/>
      <c r="I296" s="616"/>
      <c r="J296" s="616"/>
      <c r="K296" s="1683">
        <f>'Revenues 9-14'!G268-'Expenditures 15-22'!K295</f>
        <v>3277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0">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v>0</v>
      </c>
      <c r="M321" s="665"/>
      <c r="N321" s="665"/>
    </row>
    <row r="322" spans="1:14" s="674" customFormat="1" x14ac:dyDescent="0.2">
      <c r="A322" s="1519" t="s">
        <v>238</v>
      </c>
      <c r="B322" s="697" t="s">
        <v>284</v>
      </c>
      <c r="C322" s="467"/>
      <c r="D322" s="467"/>
      <c r="E322" s="467">
        <v>113477</v>
      </c>
      <c r="F322" s="467"/>
      <c r="G322" s="467"/>
      <c r="H322" s="467"/>
      <c r="I322" s="467"/>
      <c r="J322" s="467"/>
      <c r="K322" s="1670">
        <f t="shared" si="24"/>
        <v>113477</v>
      </c>
      <c r="L322" s="467">
        <v>113500</v>
      </c>
      <c r="M322" s="665"/>
      <c r="N322" s="665"/>
    </row>
    <row r="323" spans="1:14" s="674" customFormat="1" x14ac:dyDescent="0.2">
      <c r="A323" s="1519" t="s">
        <v>702</v>
      </c>
      <c r="B323" s="697" t="s">
        <v>285</v>
      </c>
      <c r="C323" s="467">
        <v>20313</v>
      </c>
      <c r="D323" s="467"/>
      <c r="E323" s="467">
        <v>3500</v>
      </c>
      <c r="F323" s="467"/>
      <c r="G323" s="467"/>
      <c r="H323" s="467"/>
      <c r="I323" s="467"/>
      <c r="J323" s="467"/>
      <c r="K323" s="1670">
        <f t="shared" si="24"/>
        <v>23813</v>
      </c>
      <c r="L323" s="467">
        <v>23814</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v>947</v>
      </c>
      <c r="F327" s="467"/>
      <c r="G327" s="467"/>
      <c r="H327" s="467"/>
      <c r="I327" s="467"/>
      <c r="J327" s="467"/>
      <c r="K327" s="1670">
        <f t="shared" si="24"/>
        <v>947</v>
      </c>
      <c r="L327" s="467">
        <v>950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20313</v>
      </c>
      <c r="D330" s="1669">
        <f t="shared" ref="D330:J330" si="25">SUM(D319:D329)</f>
        <v>0</v>
      </c>
      <c r="E330" s="1669">
        <f t="shared" si="25"/>
        <v>117924</v>
      </c>
      <c r="F330" s="1669">
        <f t="shared" si="25"/>
        <v>0</v>
      </c>
      <c r="G330" s="1669">
        <f t="shared" si="25"/>
        <v>0</v>
      </c>
      <c r="H330" s="1669">
        <f t="shared" si="25"/>
        <v>0</v>
      </c>
      <c r="I330" s="1669">
        <f t="shared" si="25"/>
        <v>0</v>
      </c>
      <c r="J330" s="1669">
        <f t="shared" si="25"/>
        <v>0</v>
      </c>
      <c r="K330" s="1669">
        <f>SUM(K319:K329)</f>
        <v>138237</v>
      </c>
      <c r="L330" s="1669">
        <f>SUM(L319:L329)</f>
        <v>138264</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20313</v>
      </c>
      <c r="D342" s="1669">
        <f>SUM(D330)</f>
        <v>0</v>
      </c>
      <c r="E342" s="1669">
        <f>SUM(E330)</f>
        <v>117924</v>
      </c>
      <c r="F342" s="1669">
        <f>SUM(F330)</f>
        <v>0</v>
      </c>
      <c r="G342" s="1669">
        <f>SUM(G330)</f>
        <v>0</v>
      </c>
      <c r="H342" s="1669">
        <f>SUM(H330,H334,H340)</f>
        <v>0</v>
      </c>
      <c r="I342" s="1669">
        <f>SUM(I330)</f>
        <v>0</v>
      </c>
      <c r="J342" s="1669">
        <f>SUM(J330)</f>
        <v>0</v>
      </c>
      <c r="K342" s="1669">
        <f>SUM(K330,K334,K340)</f>
        <v>138237</v>
      </c>
      <c r="L342" s="1676">
        <f>SUM(L330,L340,L341)</f>
        <v>138264</v>
      </c>
    </row>
    <row r="343" spans="1:14" ht="12.75" customHeight="1" thickTop="1" x14ac:dyDescent="0.2">
      <c r="A343" s="2167" t="s">
        <v>996</v>
      </c>
      <c r="B343" s="2168"/>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v>0</v>
      </c>
    </row>
    <row r="349" spans="1:14" x14ac:dyDescent="0.2">
      <c r="A349" s="1504" t="s">
        <v>197</v>
      </c>
      <c r="B349" s="614">
        <v>2540</v>
      </c>
      <c r="C349" s="466"/>
      <c r="D349" s="466"/>
      <c r="E349" s="466">
        <v>34282</v>
      </c>
      <c r="F349" s="466"/>
      <c r="G349" s="466">
        <v>65173</v>
      </c>
      <c r="H349" s="466"/>
      <c r="I349" s="467"/>
      <c r="J349" s="467"/>
      <c r="K349" s="1670">
        <f>SUM(C349:J349)</f>
        <v>99455</v>
      </c>
      <c r="L349" s="466">
        <v>100000</v>
      </c>
    </row>
    <row r="350" spans="1:14" ht="12.75" customHeight="1" thickBot="1" x14ac:dyDescent="0.25">
      <c r="A350" s="1667" t="s">
        <v>719</v>
      </c>
      <c r="B350" s="1668" t="s">
        <v>35</v>
      </c>
      <c r="C350" s="1669">
        <f>SUM(C348:C349)</f>
        <v>0</v>
      </c>
      <c r="D350" s="1669">
        <f t="shared" ref="D350:L350" si="26">SUM(D348:D349)</f>
        <v>0</v>
      </c>
      <c r="E350" s="1669">
        <f t="shared" si="26"/>
        <v>34282</v>
      </c>
      <c r="F350" s="1669">
        <f t="shared" si="26"/>
        <v>0</v>
      </c>
      <c r="G350" s="1669">
        <f t="shared" si="26"/>
        <v>65173</v>
      </c>
      <c r="H350" s="1669">
        <f t="shared" si="26"/>
        <v>0</v>
      </c>
      <c r="I350" s="1669">
        <f t="shared" si="26"/>
        <v>0</v>
      </c>
      <c r="J350" s="1669">
        <f t="shared" si="26"/>
        <v>0</v>
      </c>
      <c r="K350" s="1669">
        <f t="shared" si="26"/>
        <v>99455</v>
      </c>
      <c r="L350" s="1669">
        <f t="shared" si="26"/>
        <v>100000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34282</v>
      </c>
      <c r="F352" s="1669">
        <f t="shared" si="27"/>
        <v>0</v>
      </c>
      <c r="G352" s="1669">
        <f t="shared" si="27"/>
        <v>65173</v>
      </c>
      <c r="H352" s="1669">
        <f t="shared" si="27"/>
        <v>0</v>
      </c>
      <c r="I352" s="1669">
        <f t="shared" si="27"/>
        <v>0</v>
      </c>
      <c r="J352" s="1669">
        <f t="shared" si="27"/>
        <v>0</v>
      </c>
      <c r="K352" s="1669">
        <f t="shared" si="27"/>
        <v>99455</v>
      </c>
      <c r="L352" s="1669">
        <f t="shared" si="27"/>
        <v>100000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v>0</v>
      </c>
    </row>
    <row r="355" spans="1:14" ht="12.75" customHeight="1" x14ac:dyDescent="0.2">
      <c r="A355" s="1513" t="s">
        <v>1853</v>
      </c>
      <c r="B355" s="690" t="s">
        <v>1846</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34282</v>
      </c>
      <c r="F367" s="1669">
        <f t="shared" si="28"/>
        <v>0</v>
      </c>
      <c r="G367" s="1669">
        <f t="shared" si="28"/>
        <v>65173</v>
      </c>
      <c r="H367" s="1669">
        <f t="shared" si="28"/>
        <v>0</v>
      </c>
      <c r="I367" s="1669">
        <f t="shared" si="28"/>
        <v>0</v>
      </c>
      <c r="J367" s="1669">
        <f t="shared" si="28"/>
        <v>0</v>
      </c>
      <c r="K367" s="1669">
        <f t="shared" si="28"/>
        <v>99455</v>
      </c>
      <c r="L367" s="1669">
        <f t="shared" si="28"/>
        <v>100000</v>
      </c>
    </row>
    <row r="368" spans="1:14" ht="13.5" thickTop="1" x14ac:dyDescent="0.2">
      <c r="A368" s="2154" t="s">
        <v>996</v>
      </c>
      <c r="B368" s="2155"/>
      <c r="C368" s="654"/>
      <c r="D368" s="654"/>
      <c r="E368" s="626"/>
      <c r="F368" s="626"/>
      <c r="G368" s="626"/>
      <c r="H368" s="626"/>
      <c r="I368" s="626"/>
      <c r="J368" s="623"/>
      <c r="K368" s="1670">
        <f>'Revenues 9-14'!K268-'Expenditures 15-22'!K367</f>
        <v>-48736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28000000000000003" right="0.2" top="0.61" bottom="0.39" header="0.26" footer="0.17"/>
  <pageSetup scale="73" firstPageNumber="21" fitToHeight="0" orientation="landscape" useFirstPageNumber="1" r:id="rId1"/>
  <headerFooter alignWithMargins="0">
    <oddHeader>&amp;C&amp;"Arial,Bold"&amp;9Salem Community High School District #600
STATEMENT OF EXPENDITURES DISBURSED/EXPENDITURES, BUDGET TO ACTUAL (ALL FUNDS)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d21dc803-237d-4c68-8692-8d731fd29118"/>
    <ds:schemaRef ds:uri="http://purl.org/dc/dcmitype/"/>
    <ds:schemaRef ds:uri="http://purl.org/dc/terms/"/>
    <ds:schemaRef ds:uri="http://www.w3.org/XML/1998/namespace"/>
    <ds:schemaRef ds:uri="http://schemas.microsoft.com/office/infopath/2007/PartnerControls"/>
    <ds:schemaRef ds:uri="http://purl.org/dc/elements/1.1/"/>
    <ds:schemaRef ds:uri="4d435f69-8686-490b-bd6d-b153bf22ab50"/>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2019-09-24T18:20:06Z</cp:lastPrinted>
  <dcterms:created xsi:type="dcterms:W3CDTF">2003-10-29T19:06:34Z</dcterms:created>
  <dcterms:modified xsi:type="dcterms:W3CDTF">2019-11-26T18:23:14Z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