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7CB2C896-3D30-4CBD-A482-12B088F4D81B}" xr6:coauthVersionLast="36" xr6:coauthVersionMax="36" xr10:uidLastSave="{00000000-0000-0000-0000-000000000000}"/>
  <bookViews>
    <workbookView xWindow="0" yWindow="0" windowWidth="28800" windowHeight="131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4" i="3" l="1"/>
  <c r="C5" i="3"/>
  <c r="C34" i="173" l="1"/>
  <c r="C33" i="173"/>
  <c r="L26" i="179"/>
  <c r="L24" i="179"/>
  <c r="K27" i="179"/>
  <c r="J27" i="179"/>
  <c r="H27" i="179"/>
  <c r="K25" i="179"/>
  <c r="J25" i="179"/>
  <c r="I25" i="179"/>
  <c r="H25" i="179"/>
  <c r="G25" i="179"/>
  <c r="F25" i="179"/>
  <c r="E25" i="179"/>
  <c r="K16" i="185"/>
  <c r="J16" i="185"/>
  <c r="I16" i="185"/>
  <c r="H16" i="185"/>
  <c r="G16" i="185"/>
  <c r="F16" i="185"/>
  <c r="E16" i="185"/>
  <c r="K13" i="185"/>
  <c r="J13" i="185"/>
  <c r="I13" i="185"/>
  <c r="H13" i="185"/>
  <c r="G13" i="185"/>
  <c r="F13" i="185"/>
  <c r="E13" i="185"/>
  <c r="K25" i="184"/>
  <c r="J25" i="184"/>
  <c r="I25" i="184"/>
  <c r="L25" i="184" s="1"/>
  <c r="H25" i="184"/>
  <c r="F25" i="184"/>
  <c r="E25" i="184"/>
  <c r="K22" i="184"/>
  <c r="J22" i="184"/>
  <c r="I22" i="184"/>
  <c r="H22" i="184"/>
  <c r="G22" i="184"/>
  <c r="F22" i="184"/>
  <c r="E22" i="184"/>
  <c r="K19" i="184"/>
  <c r="J19" i="184"/>
  <c r="I19" i="184"/>
  <c r="H19" i="184"/>
  <c r="G19" i="184"/>
  <c r="F19" i="184"/>
  <c r="E19" i="184"/>
  <c r="K15" i="184"/>
  <c r="J15" i="184"/>
  <c r="I15" i="184"/>
  <c r="H15" i="184"/>
  <c r="G15" i="184"/>
  <c r="F15" i="184"/>
  <c r="E15" i="184"/>
  <c r="K17" i="183"/>
  <c r="J17" i="183"/>
  <c r="I17" i="183"/>
  <c r="H17" i="183"/>
  <c r="G17" i="183"/>
  <c r="F17" i="183"/>
  <c r="E17" i="183"/>
  <c r="K14" i="183"/>
  <c r="J14" i="183"/>
  <c r="I14" i="183"/>
  <c r="H14" i="183"/>
  <c r="G14" i="183"/>
  <c r="F14" i="183"/>
  <c r="E14" i="183"/>
  <c r="I21" i="179"/>
  <c r="G21" i="179"/>
  <c r="F21" i="179"/>
  <c r="E21" i="179"/>
  <c r="I18" i="179"/>
  <c r="G18" i="179"/>
  <c r="F18" i="179"/>
  <c r="E18" i="179"/>
  <c r="I15" i="179"/>
  <c r="G15" i="179"/>
  <c r="F15" i="179"/>
  <c r="F27" i="179" s="1"/>
  <c r="E15" i="179"/>
  <c r="L27" i="185"/>
  <c r="L26" i="185"/>
  <c r="L25" i="185"/>
  <c r="L24" i="185"/>
  <c r="L23" i="185"/>
  <c r="L22" i="185"/>
  <c r="L21" i="185"/>
  <c r="L19" i="185"/>
  <c r="L17" i="185"/>
  <c r="L15" i="185"/>
  <c r="L14" i="185"/>
  <c r="L12" i="185"/>
  <c r="L11" i="185"/>
  <c r="B4" i="185"/>
  <c r="L27" i="184"/>
  <c r="L26" i="184"/>
  <c r="L24" i="184"/>
  <c r="L23" i="184"/>
  <c r="L21" i="184"/>
  <c r="L20" i="184"/>
  <c r="L18" i="184"/>
  <c r="L17" i="184"/>
  <c r="L16" i="184"/>
  <c r="L14" i="184"/>
  <c r="L13" i="184"/>
  <c r="L12" i="184"/>
  <c r="L11" i="184"/>
  <c r="B4" i="184"/>
  <c r="L27" i="183"/>
  <c r="L26" i="183"/>
  <c r="L25" i="183"/>
  <c r="L24" i="183"/>
  <c r="L23" i="183"/>
  <c r="L22" i="183"/>
  <c r="L20" i="183"/>
  <c r="L18" i="183"/>
  <c r="L17" i="183"/>
  <c r="L16" i="183"/>
  <c r="L14" i="183"/>
  <c r="L13" i="183"/>
  <c r="L12" i="183"/>
  <c r="L11" i="183"/>
  <c r="B4" i="183"/>
  <c r="E10" i="108"/>
  <c r="D17" i="181"/>
  <c r="L33" i="3"/>
  <c r="N21" i="3"/>
  <c r="D8" i="11"/>
  <c r="G19" i="183" l="1"/>
  <c r="J19" i="183"/>
  <c r="G27" i="179"/>
  <c r="H19" i="183"/>
  <c r="H21" i="183" s="1"/>
  <c r="E27" i="179"/>
  <c r="J21" i="183"/>
  <c r="I27" i="179"/>
  <c r="L15" i="183"/>
  <c r="L27" i="179"/>
  <c r="I19" i="183"/>
  <c r="I21" i="183" s="1"/>
  <c r="K19" i="183"/>
  <c r="K21" i="183" s="1"/>
  <c r="H18" i="185"/>
  <c r="E19" i="183"/>
  <c r="J18" i="185"/>
  <c r="J20" i="185" s="1"/>
  <c r="F19" i="183"/>
  <c r="F21" i="183" s="1"/>
  <c r="K18" i="185"/>
  <c r="G38" i="174"/>
  <c r="E18" i="185"/>
  <c r="F18" i="185"/>
  <c r="L25" i="179"/>
  <c r="L15" i="184"/>
  <c r="L22" i="184"/>
  <c r="G18" i="185"/>
  <c r="G21" i="183"/>
  <c r="L19" i="184"/>
  <c r="L16" i="185"/>
  <c r="L13" i="185"/>
  <c r="I18" i="185"/>
  <c r="H5" i="12"/>
  <c r="H14" i="12" s="1"/>
  <c r="J33" i="8"/>
  <c r="E21" i="183" l="1"/>
  <c r="E20" i="185" s="1"/>
  <c r="F20" i="185"/>
  <c r="D35" i="171" s="1"/>
  <c r="H20" i="185"/>
  <c r="K20" i="185"/>
  <c r="L19" i="183"/>
  <c r="L21" i="183"/>
  <c r="G20" i="185"/>
  <c r="L18" i="185"/>
  <c r="I20" i="185"/>
  <c r="D45" i="174" s="1"/>
  <c r="E4" i="7"/>
  <c r="L20" i="185" l="1"/>
  <c r="D8" i="29"/>
  <c r="C8" i="29"/>
  <c r="F35" i="127"/>
  <c r="F21" i="127"/>
  <c r="F20" i="127"/>
  <c r="F22" i="127" s="1"/>
  <c r="F25" i="127"/>
  <c r="F24" i="127" s="1"/>
  <c r="F26" i="127" s="1"/>
  <c r="F14" i="127"/>
  <c r="F13" i="127"/>
  <c r="F17" i="127"/>
  <c r="F12" i="127"/>
  <c r="F6" i="127"/>
  <c r="F16" i="127"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3" i="179" l="1"/>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5"/>
  <c r="B2" i="184"/>
  <c r="B1" i="184"/>
  <c r="B1" i="183"/>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K130" i="29"/>
  <c r="K185" i="29"/>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B6997" i="106" s="1"/>
  <c r="D6997" i="106" s="1"/>
  <c r="K94" i="29"/>
  <c r="B6999" i="106" s="1"/>
  <c r="D6999" i="106" s="1"/>
  <c r="K95" i="29"/>
  <c r="B7001" i="106" s="1"/>
  <c r="D7001" i="106" s="1"/>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B7090" i="106" s="1"/>
  <c r="D7090" i="106" s="1"/>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74" i="127"/>
  <c r="B75" i="127"/>
  <c r="D26" i="108"/>
  <c r="E26" i="108"/>
  <c r="F26" i="108"/>
  <c r="G26" i="108"/>
  <c r="D27" i="108"/>
  <c r="E27" i="108"/>
  <c r="F27" i="108"/>
  <c r="G27" i="108"/>
  <c r="E28" i="108"/>
  <c r="F28" i="108"/>
  <c r="F36" i="108"/>
  <c r="F37" i="108"/>
  <c r="G28" i="108"/>
  <c r="D36" i="108"/>
  <c r="D37" i="108"/>
  <c r="E31" i="108"/>
  <c r="G31"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H28" i="118"/>
  <c r="H29" i="118"/>
  <c r="D22" i="37"/>
  <c r="L22" i="37"/>
  <c r="D24" i="37"/>
  <c r="B4270" i="106" s="1"/>
  <c r="D4270" i="106" s="1"/>
  <c r="G33" i="108" l="1"/>
  <c r="G38" i="108"/>
  <c r="B6995" i="106"/>
  <c r="D6995" i="106" s="1"/>
  <c r="E38" i="108"/>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F31" i="108"/>
  <c r="F41" i="108" s="1"/>
  <c r="G43" i="108" s="1"/>
  <c r="N22" i="3"/>
  <c r="B283" i="106" s="1"/>
  <c r="D283" i="106" s="1"/>
  <c r="F50" i="34"/>
  <c r="B7047" i="106"/>
  <c r="D7047" i="106" s="1"/>
  <c r="B6289" i="106"/>
  <c r="D6289" i="106" s="1"/>
  <c r="J22" i="37"/>
  <c r="H33" i="118"/>
  <c r="F46" i="34"/>
  <c r="B7074" i="106"/>
  <c r="D7074" i="106" s="1"/>
  <c r="F42" i="34"/>
  <c r="F38" i="34"/>
  <c r="D69" i="36"/>
  <c r="F19" i="7"/>
  <c r="B1807" i="106" s="1"/>
  <c r="D1807" i="106" s="1"/>
  <c r="D11" i="37"/>
  <c r="L5" i="11"/>
  <c r="B2056" i="106" s="1"/>
  <c r="D2056" i="106" s="1"/>
  <c r="B7231" i="106"/>
  <c r="D7231" i="106" s="1"/>
  <c r="D9" i="7"/>
  <c r="B1767" i="106" s="1"/>
  <c r="D1767" i="106" s="1"/>
  <c r="K28" i="118"/>
  <c r="O27" i="118" s="1"/>
  <c r="O29" i="118" s="1"/>
  <c r="J129" i="29"/>
  <c r="B7038" i="106" s="1"/>
  <c r="D7038" i="106" s="1"/>
  <c r="H365" i="29"/>
  <c r="B7242" i="106" s="1"/>
  <c r="D7242" i="106" s="1"/>
  <c r="C342" i="29"/>
  <c r="B7216" i="106" s="1"/>
  <c r="D7216" i="106" s="1"/>
  <c r="G39" i="108"/>
  <c r="G30" i="108"/>
  <c r="E30" i="108"/>
  <c r="L342" i="29"/>
  <c r="F62" i="34"/>
  <c r="F36" i="34"/>
  <c r="J77" i="4"/>
  <c r="B6262" i="106" s="1"/>
  <c r="D6262" i="106" s="1"/>
  <c r="L15" i="11"/>
  <c r="B3459" i="106" s="1"/>
  <c r="D3459" i="106" s="1"/>
  <c r="L13" i="11"/>
  <c r="B2060" i="106" s="1"/>
  <c r="D2060" i="106" s="1"/>
  <c r="F14" i="4"/>
  <c r="B2597" i="106" s="1"/>
  <c r="D2597" i="106" s="1"/>
  <c r="F72" i="34"/>
  <c r="G29" i="108"/>
  <c r="E29" i="108"/>
  <c r="F71" i="34"/>
  <c r="F37" i="34"/>
  <c r="H342" i="29"/>
  <c r="B7221" i="106" s="1"/>
  <c r="D7221" i="106" s="1"/>
  <c r="I129" i="29"/>
  <c r="B7037" i="106" s="1"/>
  <c r="D7037" i="106" s="1"/>
  <c r="H112" i="29"/>
  <c r="B7018" i="106" s="1"/>
  <c r="D7018" i="106" s="1"/>
  <c r="H76" i="4"/>
  <c r="B3298" i="106" s="1"/>
  <c r="D3298" i="106" s="1"/>
  <c r="B2836" i="106"/>
  <c r="D2836" i="106" s="1"/>
  <c r="G15" i="145"/>
  <c r="G14" i="4"/>
  <c r="B2609" i="106" s="1"/>
  <c r="D2609" i="106" s="1"/>
  <c r="F77" i="4"/>
  <c r="B3255" i="106" s="1"/>
  <c r="D3255" i="106" s="1"/>
  <c r="J367" i="29"/>
  <c r="B7245" i="106" s="1"/>
  <c r="D7245" i="106" s="1"/>
  <c r="B7235" i="106"/>
  <c r="D7235" i="106" s="1"/>
  <c r="C129" i="29"/>
  <c r="B1225" i="106" s="1"/>
  <c r="D1225" i="106" s="1"/>
  <c r="D17" i="7"/>
  <c r="B4104" i="106" s="1"/>
  <c r="D4104" i="106" s="1"/>
  <c r="L367" i="29"/>
  <c r="C352" i="29"/>
  <c r="B3621" i="106" s="1"/>
  <c r="D3621" i="106" s="1"/>
  <c r="K76" i="4"/>
  <c r="B3586" i="106" s="1"/>
  <c r="D3586" i="106" s="1"/>
  <c r="K184" i="29"/>
  <c r="F13" i="4" s="1"/>
  <c r="B2596" i="106" s="1"/>
  <c r="D2596" i="106" s="1"/>
  <c r="G210" i="29"/>
  <c r="D6103" i="106"/>
  <c r="B3647" i="106"/>
  <c r="D3647" i="106" s="1"/>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K77" i="4" l="1"/>
  <c r="B3587" i="106" s="1"/>
  <c r="D3587" i="106" s="1"/>
  <c r="B7215" i="106"/>
  <c r="D7215" i="106" s="1"/>
  <c r="B1328" i="106"/>
  <c r="D1328" i="106" s="1"/>
  <c r="K365" i="29"/>
  <c r="K16" i="4" s="1"/>
  <c r="C151" i="29"/>
  <c r="B1226" i="106" s="1"/>
  <c r="D1226" i="106" s="1"/>
  <c r="B1317" i="106"/>
  <c r="D1317" i="106" s="1"/>
  <c r="M23" i="3"/>
  <c r="M40" i="3" s="1"/>
  <c r="B273" i="106"/>
  <c r="D273" i="106" s="1"/>
  <c r="N23" i="3"/>
  <c r="B284" i="106" s="1"/>
  <c r="D284" i="106" s="1"/>
  <c r="D7254" i="106"/>
  <c r="H151" i="29"/>
  <c r="B1273" i="106" s="1"/>
  <c r="D1273" i="106" s="1"/>
  <c r="L16" i="11"/>
  <c r="B2061" i="106" s="1"/>
  <c r="D2061" i="106" s="1"/>
  <c r="B5778" i="106"/>
  <c r="D5778" i="106" s="1"/>
  <c r="G6" i="4"/>
  <c r="B2604" i="106" s="1"/>
  <c r="D2604" i="106" s="1"/>
  <c r="B5770" i="106"/>
  <c r="D5770" i="106" s="1"/>
  <c r="I7" i="4"/>
  <c r="B4444" i="106" s="1"/>
  <c r="D4444" i="106" s="1"/>
  <c r="D7256" i="106"/>
  <c r="D7251" i="106"/>
  <c r="K342" i="29"/>
  <c r="F13" i="34" s="1"/>
  <c r="B1381" i="106"/>
  <c r="D1381" i="106" s="1"/>
  <c r="C114" i="29"/>
  <c r="B757" i="106" s="1"/>
  <c r="D757" i="106" s="1"/>
  <c r="B5527" i="106"/>
  <c r="D5527" i="106" s="1"/>
  <c r="F174" i="34"/>
  <c r="H77" i="4"/>
  <c r="B3299" i="106" s="1"/>
  <c r="D3299" i="106" s="1"/>
  <c r="D7255" i="106"/>
  <c r="D7253" i="106"/>
  <c r="D7250" i="106"/>
  <c r="C367" i="29"/>
  <c r="B3622" i="106" s="1"/>
  <c r="D3622" i="106" s="1"/>
  <c r="D7252" i="106"/>
  <c r="L114" i="29"/>
  <c r="B1365" i="106"/>
  <c r="D1365" i="106" s="1"/>
  <c r="F65" i="34"/>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41" i="3" l="1"/>
  <c r="B281" i="106" s="1"/>
  <c r="D281" i="106" s="1"/>
  <c r="B280" i="106"/>
  <c r="D280" i="106" s="1"/>
  <c r="K367" i="29"/>
  <c r="B3678" i="106" s="1"/>
  <c r="D3678" i="106" s="1"/>
  <c r="B7243" i="106"/>
  <c r="D7243" i="106" s="1"/>
  <c r="B279" i="106"/>
  <c r="D279"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D54" i="36"/>
  <c r="K17" i="4"/>
  <c r="B3575" i="106" s="1"/>
  <c r="D3575" i="106" s="1"/>
  <c r="B6227" i="106"/>
  <c r="D6227" i="106" s="1"/>
  <c r="J20" i="4"/>
  <c r="J78" i="4" s="1"/>
  <c r="F8" i="4"/>
  <c r="B6223" i="106"/>
  <c r="D6223" i="106" s="1"/>
  <c r="J10" i="4"/>
  <c r="B6225" i="106" s="1"/>
  <c r="D62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6230" i="106"/>
  <c r="D6230" i="106" s="1"/>
  <c r="K20" i="4"/>
  <c r="K78" i="4" s="1"/>
  <c r="F10" i="4"/>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175" i="34" l="1"/>
  <c r="F79" i="34"/>
  <c r="B3576" i="106"/>
  <c r="D3576" i="106" s="1"/>
  <c r="D10" i="146"/>
  <c r="F8" i="146"/>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123" i="106"/>
  <c r="D123" i="106" s="1"/>
  <c r="D41" i="3"/>
  <c r="B2912" i="106"/>
  <c r="D2912" i="106" s="1"/>
  <c r="I41" i="3"/>
  <c r="B3567" i="106"/>
  <c r="D3567" i="106" s="1"/>
  <c r="K41" i="3"/>
  <c r="B6216" i="106"/>
  <c r="D6216" i="106" s="1"/>
  <c r="D51" i="36"/>
  <c r="B212" i="106"/>
  <c r="D212" i="106" s="1"/>
  <c r="H41" i="3"/>
  <c r="B3239" i="106"/>
  <c r="D3239"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B92" i="106"/>
  <c r="D92" i="106" s="1"/>
  <c r="C41" i="3"/>
  <c r="B124" i="106"/>
  <c r="D124" i="106" s="1"/>
  <c r="D45" i="36"/>
  <c r="B3568" i="106"/>
  <c r="D3568" i="106" s="1"/>
  <c r="D52" i="36"/>
  <c r="B213" i="106"/>
  <c r="D213" i="106" s="1"/>
  <c r="D49" i="36"/>
  <c r="B189" i="106"/>
  <c r="D189" i="106" s="1"/>
  <c r="G41" i="3"/>
  <c r="B170" i="106"/>
  <c r="D170" i="106" s="1"/>
  <c r="F41" i="3"/>
  <c r="D76" i="36"/>
  <c r="B140" i="106"/>
  <c r="D140" i="106" s="1"/>
  <c r="E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D48" i="36"/>
  <c r="B190" i="106"/>
  <c r="D190" i="106" s="1"/>
  <c r="D47" i="36"/>
  <c r="B171" i="106"/>
  <c r="D171" i="106" s="1"/>
  <c r="B141" i="106"/>
  <c r="D141" i="106" s="1"/>
  <c r="D46"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<sst xmlns="http://schemas.openxmlformats.org/spreadsheetml/2006/main" count="5355" uniqueCount="2192">
  <si>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</si>
  <si>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</si>
  <si>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</si>
  <si>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</si>
  <si>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</si>
  <si>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</si>
  <si>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</si>
  <si>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</si>
  <si>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</si>
  <si>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</si>
  <si>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</si>
  <si>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</si>
  <si>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</si>
  <si>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</si>
  <si>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</si>
  <si>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</si>
  <si>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</si>
  <si>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</si>
  <si>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</si>
  <si>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</si>
  <si>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</si>
  <si>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</si>
  <si>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</si>
  <si>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</si>
  <si>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</si>
  <si>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</si>
  <si>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</si>
  <si>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</si>
  <si>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</si>
  <si>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</si>
  <si>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</si>
  <si>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</si>
  <si>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</si>
  <si>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</si>
  <si>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</si>
  <si>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</si>
  <si>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</si>
  <si>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</si>
  <si>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</si>
  <si>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</si>
  <si>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</si>
  <si>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</si>
  <si>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</si>
  <si>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</si>
  <si>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</si>
  <si>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</si>
  <si>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</si>
  <si>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</si>
  <si>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</si>
  <si>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</si>
  <si>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</si>
  <si>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</si>
  <si>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</si>
  <si>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</si>
  <si>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</si>
  <si>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</si>
  <si>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</si>
  <si>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</si>
  <si>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</si>
  <si>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</si>
  <si>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</si>
  <si>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</si>
  <si>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</si>
  <si>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</si>
  <si>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</si>
  <si>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</si>
  <si>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</si>
  <si>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</si>
  <si>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</si>
  <si>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</si>
  <si>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</si>
  <si>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</si>
  <si>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</si>
  <si>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</si>
  <si>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</si>
  <si>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</si>
  <si>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</si>
  <si>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</si>
  <si>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</si>
  <si>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</si>
  <si>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</si>
  <si>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</si>
  <si>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</si>
  <si>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</si>
  <si>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</si>
  <si>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</si>
  <si>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</si>
  <si>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</si>
  <si>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</si>
  <si>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</si>
  <si>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</si>
  <si>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</si>
  <si>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</si>
  <si>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</si>
  <si>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</si>
  <si>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</si>
  <si>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</si>
  <si>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</si>
  <si>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</si>
  <si>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</si>
  <si>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</si>
  <si>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</si>
  <si>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</si>
  <si>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</si>
  <si>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</si>
  <si>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</si>
  <si>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</si>
  <si>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</si>
  <si>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</si>
  <si>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</si>
  <si>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</si>
  <si>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</si>
  <si>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</si>
  <si>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</si>
  <si>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</si>
  <si>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</si>
  <si>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</si>
  <si>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</si>
  <si>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</si>
  <si>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</si>
  <si>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</si>
  <si>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</si>
  <si>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</si>
  <si>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</si>
  <si>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</si>
  <si>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</si>
  <si>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</si>
  <si>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</si>
  <si>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</si>
  <si>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</si>
  <si>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</si>
  <si>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</si>
  <si>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</si>
  <si>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</si>
  <si>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</si>
  <si>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</si>
  <si>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</si>
  <si>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</si>
  <si>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</si>
  <si>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</si>
  <si>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</si>
  <si>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</si>
  <si>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</si>
  <si>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</si>
  <si>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</si>
  <si>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</si>
  <si>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</si>
  <si>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</si>
  <si>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</si>
  <si>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</si>
  <si>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</si>
  <si>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</si>
  <si>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</si>
  <si>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</si>
  <si>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</si>
  <si>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</si>
  <si>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</si>
  <si>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</si>
  <si>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</si>
  <si>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</si>
  <si>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</si>
  <si>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</si>
  <si>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</si>
  <si>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</si>
  <si>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</si>
  <si>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</si>
  <si>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</si>
  <si>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</si>
  <si>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</si>
  <si>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</si>
  <si>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</si>
  <si>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</si>
  <si>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</si>
  <si>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</si>
  <si>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</si>
  <si>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</si>
  <si>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</si>
  <si>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</si>
  <si>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</si>
  <si>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</si>
  <si>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</si>
  <si>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</si>
  <si>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</si>
  <si>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</si>
  <si>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</si>
  <si>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</si>
  <si>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</si>
  <si>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</si>
  <si>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</si>
  <si>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</si>
  <si>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</si>
  <si>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</si>
  <si>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</si>
  <si>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</si>
  <si>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</si>
  <si>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</si>
  <si>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</si>
  <si>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</si>
  <si>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</si>
  <si>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</si>
  <si>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</si>
  <si>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</si>
  <si>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</si>
  <si>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</si>
  <si>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</si>
  <si>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</si>
  <si>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</si>
  <si>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</si>
  <si>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</si>
  <si>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</si>
  <si>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</si>
  <si>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</si>
  <si>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</si>
  <si>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</si>
  <si>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</si>
  <si>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</si>
  <si>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</si>
  <si>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</si>
  <si>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</si>
  <si>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</si>
  <si>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</si>
  <si>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</si>
  <si>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</si>
  <si>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</si>
  <si>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</si>
  <si>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</si>
  <si>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</si>
  <si>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</si>
  <si>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</si>
  <si>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</si>
  <si>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</si>
  <si>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</si>
  <si>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</si>
  <si>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</si>
  <si>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</si>
  <si>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</si>
  <si>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</si>
  <si>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</si>
  <si>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</si>
  <si>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</si>
  <si>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</si>
  <si>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</si>
  <si>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</si>
  <si>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</si>
  <si>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</si>
  <si>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</si>
  <si>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</si>
  <si>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</si>
  <si>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</si>
  <si>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</si>
  <si>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</si>
  <si>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</si>
  <si>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</si>
  <si>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</si>
  <si>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</si>
  <si>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</si>
  <si>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</si>
  <si>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</si>
  <si>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</si>
  <si>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</si>
  <si>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</si>
  <si>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</si>
  <si>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</si>
  <si>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</si>
  <si>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</si>
  <si>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</si>
  <si>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</si>
  <si>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</si>
  <si>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</si>
  <si>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</si>
  <si>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</si>
  <si>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</si>
  <si>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</si>
  <si>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</si>
  <si>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</si>
  <si>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</si>
  <si>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</si>
  <si>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</si>
  <si>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</si>
  <si>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</si>
  <si>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</si>
  <si>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</si>
  <si>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</si>
  <si>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</si>
  <si>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</si>
  <si>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</si>
  <si>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</si>
  <si>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</si>
  <si>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</si>
  <si>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</si>
  <si>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</si>
  <si>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</si>
  <si>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</si>
  <si>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</si>
  <si>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</si>
  <si>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</si>
  <si>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</si>
  <si>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</si>
  <si>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</si>
  <si>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</si>
  <si>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</si>
  <si>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</si>
  <si>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</si>
  <si>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</si>
  <si>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</si>
  <si>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</si>
  <si>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</si>
  <si>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</si>
  <si>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</si>
  <si>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</si>
  <si>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</si>
  <si>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</si>
  <si>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</si>
  <si>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</si>
  <si>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</si>
  <si>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</si>
  <si>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</si>
  <si>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</si>
  <si>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</si>
  <si>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</si>
  <si>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</si>
  <si>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</si>
  <si>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</si>
  <si>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</si>
  <si>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</si>
  <si>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</si>
  <si>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</si>
  <si>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</si>
  <si>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</si>
  <si>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</si>
  <si>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</si>
  <si>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</si>
  <si>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</si>
  <si>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</si>
  <si>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</si>
  <si>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</si>
  <si>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</si>
  <si>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</si>
  <si>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</si>
  <si>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</si>
  <si>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</si>
  <si>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</si>
  <si>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</si>
  <si>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</si>
  <si>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</si>
  <si>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</si>
  <si>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</si>
  <si>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</si>
  <si>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</si>
  <si>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</si>
  <si>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</si>
  <si>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</si>
  <si>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</si>
  <si>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</si>
  <si>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</si>
  <si>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</si>
  <si>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</si>
  <si>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</si>
  <si>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</si>
  <si>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</si>
  <si>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</si>
  <si>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</si>
  <si>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</si>
  <si>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</si>
  <si>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</si>
  <si>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</si>
  <si>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</si>
  <si>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</si>
  <si>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</si>
  <si>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</si>
  <si>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</si>
  <si>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</si>
  <si>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</si>
  <si>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</si>
  <si>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</si>
  <si>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</si>
  <si>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</si>
  <si>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</si>
  <si>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</si>
  <si>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</si>
  <si>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</si>
  <si>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</si>
  <si>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</si>
  <si>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</si>
  <si>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</si>
  <si>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</si>
  <si>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</si>
  <si>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</si>
  <si>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</si>
  <si>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</si>
  <si>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</si>
  <si>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</si>
  <si>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</si>
  <si>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</si>
  <si>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</si>
  <si>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</si>
  <si>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</si>
  <si>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</si>
  <si>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</si>
  <si>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</si>
  <si>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</si>
  <si>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</si>
  <si>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</si>
  <si>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</si>
  <si>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</si>
  <si>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</si>
  <si>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</si>
  <si>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</si>
  <si>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</si>
  <si>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</si>
  <si>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</si>
  <si>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</si>
  <si>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</si>
  <si>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</si>
  <si>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</si>
  <si>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</si>
  <si>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</si>
  <si>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</si>
  <si>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</si>
  <si>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</si>
  <si>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</si>
  <si>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</si>
  <si>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</si>
  <si>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</si>
  <si>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</si>
  <si>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</si>
  <si>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</si>
  <si>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</si>
  <si>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</si>
  <si>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</si>
  <si>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</si>
  <si>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</si>
  <si>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</si>
  <si>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</si>
  <si>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</si>
  <si>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</si>
  <si>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</si>
  <si>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</si>
  <si>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</si>
  <si>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</si>
  <si>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</si>
  <si>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</si>
  <si>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</si>
  <si>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</si>
  <si>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</si>
  <si>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</si>
  <si>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</si>
  <si>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</si>
  <si>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</si>
  <si>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</si>
  <si>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</si>
  <si>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</si>
  <si>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</si>
  <si>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</si>
  <si>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</si>
  <si>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</si>
  <si>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</si>
  <si>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</si>
  <si>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</si>
  <si>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</si>
  <si>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</si>
  <si>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</si>
  <si>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</si>
  <si>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</si>
  <si>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</si>
  <si>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</si>
  <si>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</si>
  <si>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</si>
  <si>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</si>
  <si>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</si>
  <si>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</si>
  <si>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</si>
  <si>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</si>
  <si>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</si>
  <si>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</si>
  <si>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</si>
  <si>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</si>
  <si>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</si>
  <si>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</si>
  <si>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</si>
  <si>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</si>
  <si>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</si>
  <si>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</si>
  <si>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</si>
  <si>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</si>
  <si>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</si>
  <si>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</si>
  <si>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</si>
  <si>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</si>
  <si>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</si>
  <si>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</si>
  <si>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</si>
  <si>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</si>
  <si>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</si>
  <si>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</si>
  <si>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</si>
  <si>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</si>
  <si>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</si>
  <si>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</si>
  <si>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</si>
  <si>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</si>
  <si>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</si>
  <si>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</si>
  <si>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</si>
  <si>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</si>
  <si>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</si>
  <si>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</si>
  <si>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</si>
  <si>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</si>
  <si>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</si>
  <si>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</si>
  <si>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</si>
  <si>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</si>
  <si>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</si>
  <si>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</si>
  <si>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</si>
  <si>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</si>
  <si>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</si>
  <si>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</si>
  <si>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</si>
  <si>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</si>
  <si>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</si>
  <si>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</si>
  <si>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</si>
  <si>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</si>
  <si>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</si>
  <si>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</si>
  <si>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</si>
  <si>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</si>
  <si>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</si>
  <si>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</si>
  <si>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</si>
  <si>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</si>
  <si>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</si>
  <si>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</si>
  <si>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</si>
  <si>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</si>
  <si>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</si>
  <si>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</si>
  <si>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</si>
  <si>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</si>
  <si>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</si>
  <si>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</si>
  <si>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</si>
  <si>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</si>
  <si>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</si>
  <si>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</si>
  <si>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</si>
  <si>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</si>
  <si>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</si>
  <si>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</si>
  <si>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</si>
  <si>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</si>
  <si>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</si>
  <si>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</si>
  <si>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</si>
  <si>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</si>
  <si>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</si>
  <si>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</si>
  <si>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</si>
  <si>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</si>
  <si>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</si>
  <si>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</si>
  <si>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</si>
  <si>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</si>
  <si>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</si>
  <si>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</si>
  <si>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</si>
  <si>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</si>
  <si>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</si>
  <si>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</si>
  <si>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</si>
  <si>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</si>
  <si>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</si>
  <si>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</si>
  <si>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</si>
  <si>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</si>
  <si>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</si>
  <si>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</si>
  <si>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</si>
  <si>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</si>
  <si>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</si>
  <si>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</si>
  <si>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</si>
  <si>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</si>
  <si>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</si>
  <si>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</si>
  <si>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</si>
  <si>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</si>
  <si>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</si>
  <si>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</si>
  <si>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</si>
  <si>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</si>
  <si>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</si>
  <si>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</si>
  <si>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</si>
  <si>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</si>
  <si>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</si>
  <si>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</si>
  <si>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</si>
  <si>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</si>
  <si>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</si>
  <si>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</si>
  <si>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</si>
  <si>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</si>
  <si>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</si>
  <si>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</si>
  <si>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</si>
  <si>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</si>
  <si>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</si>
  <si>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</si>
  <si>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</si>
  <si>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</si>
  <si>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</si>
  <si>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</si>
  <si>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</si>
  <si>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</si>
  <si>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</si>
  <si>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</si>
  <si>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</si>
  <si>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</si>
  <si>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</si>
  <si>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</si>
  <si>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</si>
  <si>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</si>
  <si>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</si>
  <si>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</si>
  <si>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</si>
  <si>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</si>
  <si>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</si>
  <si>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</si>
  <si>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</si>
  <si>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</si>
  <si>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</si>
  <si>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</si>
  <si>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</si>
  <si>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</si>
  <si>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</si>
  <si>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</si>
  <si>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</si>
  <si>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</si>
  <si>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</si>
  <si>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</si>
  <si>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</si>
  <si>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</si>
  <si>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</si>
  <si>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</si>
  <si>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</si>
  <si>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</si>
  <si>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</si>
  <si>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</si>
  <si>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</si>
  <si>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</si>
  <si>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</si>
  <si>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</si>
  <si>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</si>
  <si>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</si>
  <si>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</si>
  <si>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</si>
  <si>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</si>
  <si>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</si>
  <si>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</si>
  <si>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</si>
  <si>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</si>
  <si>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</si>
  <si>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</si>
  <si>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</si>
  <si>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</si>
  <si>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</si>
  <si>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</si>
  <si>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</si>
  <si>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</si>
  <si>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</si>
  <si>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</si>
  <si>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</si>
  <si>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</si>
  <si>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</si>
  <si>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</si>
  <si>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</si>
  <si>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</si>
  <si>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</si>
  <si>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</si>
  <si>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</si>
  <si>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</si>
  <si>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</si>
  <si>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</si>
  <si>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</si>
  <si>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</si>
  <si>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</si>
  <si>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</si>
  <si>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</si>
  <si>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</si>
  <si>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</si>
  <si>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</si>
  <si>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</si>
  <si>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</si>
  <si>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</si>
  <si>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</si>
  <si>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</si>
  <si>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</si>
  <si>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</si>
  <si>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</si>
  <si>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</si>
  <si>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</si>
  <si>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</si>
  <si>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</si>
  <si>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</si>
  <si>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</si>
  <si>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</si>
  <si>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</si>
  <si>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</si>
  <si>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</si>
  <si>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</si>
  <si>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</si>
  <si>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</si>
  <si>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</si>
  <si>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</si>
  <si>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</si>
  <si>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</si>
  <si>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</si>
  <si>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</si>
  <si>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</si>
  <si>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</si>
  <si>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</si>
  <si>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</si>
  <si>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</si>
  <si>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</si>
  <si>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</si>
  <si>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</si>
  <si>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</si>
  <si>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</si>
  <si>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</si>
  <si>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</si>
  <si>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</si>
  <si>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</si>
  <si>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</si>
  <si>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</si>
  <si>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</si>
  <si>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</si>
  <si>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</si>
  <si>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</si>
  <si>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</si>
  <si>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</si>
  <si>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</si>
  <si>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</si>
  <si>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</si>
  <si>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</si>
  <si>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</si>
  <si>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</si>
  <si>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</si>
  <si>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</si>
  <si>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</si>
  <si>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</si>
  <si>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</si>
  <si>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</si>
  <si>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</si>
  <si>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</si>
  <si>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</si>
  <si>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</si>
  <si>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</si>
  <si>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</si>
  <si>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</si>
  <si>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</si>
  <si>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</si>
  <si>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</si>
  <si>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</si>
  <si>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</si>
  <si>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</si>
  <si>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</si>
  <si>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</si>
  <si>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</si>
  <si>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</si>
  <si>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</si>
  <si>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</si>
  <si>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</si>
  <si>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</si>
  <si>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</si>
  <si>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</si>
  <si>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</si>
  <si>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</si>
  <si>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</si>
  <si>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</si>
  <si>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</si>
  <si>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</si>
  <si>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</si>
  <si>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</si>
  <si>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</si>
  <si>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</si>
  <si>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</si>
  <si>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</si>
  <si>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</si>
  <si>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</si>
  <si>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</si>
  <si>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</si>
  <si>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</si>
  <si>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</si>
  <si>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</si>
  <si>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</si>
  <si>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</si>
  <si>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</si>
  <si>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</si>
  <si>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</si>
  <si>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</si>
  <si>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</si>
  <si>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</si>
  <si>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</si>
  <si>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</si>
  <si>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</si>
  <si>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</si>
  <si>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</si>
  <si>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</si>
  <si>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</si>
  <si>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</si>
  <si>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</si>
  <si>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</si>
  <si>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</si>
  <si>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</si>
  <si>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</si>
  <si>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</si>
  <si>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</si>
  <si>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</si>
  <si>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</si>
  <si>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</si>
  <si>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</si>
  <si>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</si>
  <si>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</si>
  <si>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</si>
  <si>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</si>
  <si>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</si>
  <si>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</si>
  <si>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</si>
  <si>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</si>
  <si>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</si>
  <si>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</si>
  <si>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</si>
  <si>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</si>
  <si>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</si>
  <si>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</si>
  <si>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</si>
  <si>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</si>
  <si>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</si>
  <si>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</si>
  <si>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</si>
  <si>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</si>
  <si>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</si>
  <si>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</si>
  <si>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</si>
  <si>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</si>
  <si>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</si>
  <si>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</si>
  <si>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</si>
  <si>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</si>
  <si>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</si>
  <si>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</si>
  <si>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</si>
  <si>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</si>
  <si>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</si>
  <si>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</si>
  <si>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</si>
  <si>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</si>
  <si>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</si>
  <si>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</si>
  <si>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</si>
  <si>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</si>
  <si>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</si>
  <si>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</si>
  <si>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</si>
  <si>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</si>
  <si>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</si>
  <si>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</si>
  <si>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</si>
  <si>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</si>
  <si>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</si>
  <si>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</si>
  <si>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</si>
  <si>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</si>
  <si>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</si>
  <si>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</si>
  <si>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</si>
  <si>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</si>
  <si>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</si>
  <si>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</si>
  <si>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</si>
  <si>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</si>
  <si>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</si>
  <si>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</si>
  <si>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</si>
  <si>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</si>
  <si>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</si>
  <si>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</si>
  <si>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</si>
  <si>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</si>
  <si>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</si>
  <si>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</si>
  <si>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</si>
  <si>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</si>
  <si>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</si>
  <si>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</si>
  <si>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</si>
  <si>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</si>
  <si>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</si>
  <si>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</si>
  <si>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</si>
  <si>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</si>
  <si>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</si>
  <si>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</si>
  <si>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</si>
  <si>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</si>
  <si>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</si>
  <si>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</si>
  <si>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</si>
  <si>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</si>
  <si>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</si>
  <si>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</si>
  <si>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</si>
  <si>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</si>
  <si>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</si>
  <si>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</si>
  <si>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</si>
  <si>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</si>
  <si>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</si>
  <si>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</si>
  <si>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</si>
  <si>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</si>
  <si>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</si>
  <si>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</si>
  <si>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</si>
  <si>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</si>
  <si>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</si>
  <si>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</si>
  <si>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</si>
  <si>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</si>
  <si>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</si>
  <si>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</si>
  <si>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</si>
  <si>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</si>
  <si>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</si>
  <si>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</si>
  <si>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</si>
  <si>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</si>
  <si>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</si>
  <si>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</si>
  <si>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</si>
  <si>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</si>
  <si>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</si>
  <si>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</si>
  <si>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</si>
  <si>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</si>
  <si>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</si>
  <si>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</si>
  <si>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</si>
  <si>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</si>
  <si>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</si>
  <si>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</si>
  <si>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</si>
  <si>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</si>
  <si>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</si>
  <si>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</si>
  <si>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</si>
  <si>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</si>
  <si>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</si>
  <si>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</si>
  <si>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</si>
  <si>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</si>
  <si>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</si>
  <si>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</si>
  <si>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</si>
  <si>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</si>
  <si>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</si>
  <si>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</si>
  <si>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</si>
  <si>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</si>
  <si>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</si>
  <si>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</si>
  <si>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</si>
  <si>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</si>
  <si>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</si>
  <si>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</si>
  <si>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</si>
  <si>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</si>
  <si>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</si>
  <si>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</si>
  <si>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</si>
  <si>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</si>
  <si>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</si>
  <si>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</si>
  <si>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</si>
  <si>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</si>
  <si>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</si>
  <si>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</si>
  <si>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</si>
  <si>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</si>
  <si>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</si>
  <si>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</si>
  <si>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</si>
  <si>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</si>
  <si>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</si>
  <si>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</si>
  <si>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</si>
  <si>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</si>
  <si>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</si>
  <si>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</si>
  <si>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</si>
  <si>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</si>
  <si>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</si>
  <si>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</si>
  <si>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</si>
  <si>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</si>
  <si>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</si>
  <si>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</si>
  <si>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</si>
  <si>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</si>
  <si>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</si>
  <si>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</si>
  <si>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</si>
  <si>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</si>
  <si>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</si>
  <si>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</si>
  <si>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</si>
  <si>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</si>
  <si>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</si>
  <si>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</si>
  <si>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</si>
  <si>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</si>
  <si>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</si>
  <si>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</si>
  <si>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</si>
  <si>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</si>
  <si>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</si>
  <si>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</si>
  <si>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</si>
  <si>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</si>
  <si>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</si>
  <si>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</si>
  <si>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</si>
  <si>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</si>
  <si>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</si>
  <si>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</si>
  <si>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</si>
  <si>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</si>
  <si>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</si>
  <si>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</si>
  <si>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</si>
  <si>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</si>
  <si>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</si>
  <si>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</si>
  <si>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</si>
  <si>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</si>
  <si>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</si>
  <si>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</si>
  <si>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</si>
  <si>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</si>
  <si>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</si>
  <si>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</si>
  <si>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</si>
  <si>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</si>
  <si>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</si>
  <si>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</si>
  <si>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</si>
  <si>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</si>
  <si>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</si>
  <si>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</si>
  <si>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</si>
  <si>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</si>
  <si>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</si>
  <si>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</si>
  <si>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</si>
  <si>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</si>
  <si>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</si>
  <si>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</si>
  <si>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</si>
  <si>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</si>
  <si>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</si>
  <si>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</si>
  <si>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</si>
  <si>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</si>
  <si>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</si>
  <si>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</si>
  <si>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</si>
  <si>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</si>
  <si>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</si>
  <si>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</si>
  <si>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</si>
  <si>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</si>
  <si>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</si>
  <si>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</si>
  <si>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</si>
  <si>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</si>
  <si>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</si>
  <si>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</si>
  <si>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</si>
  <si>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</si>
  <si>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</si>
  <si>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</si>
  <si>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</si>
  <si>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</si>
  <si>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</si>
  <si>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</si>
  <si>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</si>
  <si>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</si>
  <si>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</si>
  <si>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</si>
  <si>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</si>
  <si>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</si>
  <si>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</si>
  <si>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</si>
  <si>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</si>
  <si>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</si>
  <si>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</si>
  <si>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</si>
  <si>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</si>
  <si>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</si>
  <si>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</si>
  <si>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</si>
  <si>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</si>
  <si>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</si>
  <si>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</si>
  <si>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</si>
  <si>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</si>
  <si>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</si>
  <si>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</si>
  <si>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</si>
  <si>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</si>
  <si>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</si>
  <si>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</si>
  <si>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</si>
  <si>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</si>
  <si>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</si>
  <si>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</si>
  <si>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</si>
  <si>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</si>
  <si>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</si>
  <si>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</si>
  <si>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</si>
  <si>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</si>
  <si>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</si>
  <si>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</si>
  <si>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</si>
  <si>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</si>
  <si>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</si>
  <si>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</si>
  <si>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</si>
  <si>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</si>
  <si>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</si>
  <si>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</si>
  <si>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</si>
  <si>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</si>
  <si>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</si>
  <si>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</si>
  <si>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</si>
  <si>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</si>
  <si>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</si>
  <si>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</si>
  <si>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</si>
  <si>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</si>
  <si>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</si>
  <si>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</si>
  <si>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</si>
  <si>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</si>
  <si>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</si>
  <si>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</si>
  <si>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</si>
  <si>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</si>
  <si>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</si>
  <si>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</si>
  <si>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</si>
  <si>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</si>
  <si>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</si>
  <si>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</si>
  <si>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</si>
  <si>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</si>
  <si>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</si>
  <si>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</si>
  <si>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</si>
  <si>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</si>
  <si>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</si>
  <si>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</si>
  <si>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</si>
  <si>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</si>
  <si>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</si>
  <si>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</si>
  <si>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</si>
  <si>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</si>
  <si>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</si>
  <si>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</si>
  <si>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</si>
  <si>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</si>
  <si>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</si>
  <si>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</si>
  <si>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</si>
  <si>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</si>
  <si>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</si>
  <si>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</si>
  <si>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</si>
  <si>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</si>
  <si>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</si>
  <si>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</si>
  <si>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</si>
  <si>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</si>
  <si>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</si>
  <si>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</si>
  <si>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</si>
  <si>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</si>
  <si>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</si>
  <si>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</si>
  <si>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</si>
  <si>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</si>
  <si>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</si>
  <si>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</si>
  <si>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</si>
  <si>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</si>
  <si>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</si>
  <si>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</si>
  <si>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</si>
  <si>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</si>
  <si>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</si>
  <si>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</si>
  <si>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</si>
  <si>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</si>
  <si>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</si>
  <si>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</si>
  <si>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</si>
  <si>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</si>
  <si>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</si>
  <si>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</si>
  <si>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</si>
  <si>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</si>
  <si>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</si>
  <si>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</si>
  <si>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</si>
  <si>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</si>
  <si>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</si>
  <si>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</si>
  <si>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</si>
  <si>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</si>
  <si>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</si>
  <si>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</si>
  <si>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</si>
  <si>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</si>
  <si>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</si>
  <si>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</si>
  <si>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</si>
  <si>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</si>
  <si>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</si>
  <si>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</si>
  <si>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</si>
  <si>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</si>
  <si>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</si>
  <si>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</si>
  <si>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</si>
  <si>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</si>
  <si>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</si>
  <si>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</si>
  <si>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</si>
  <si>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</si>
  <si>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</si>
  <si>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</si>
  <si>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</si>
  <si>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</si>
  <si>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</si>
  <si>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</si>
  <si>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</si>
  <si>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</si>
  <si>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</si>
  <si>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</si>
  <si>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</si>
  <si>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</si>
  <si>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</si>
  <si>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</si>
  <si>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</si>
  <si>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</si>
  <si>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</si>
  <si>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</si>
  <si>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</si>
  <si>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</si>
  <si>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</si>
  <si>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</si>
  <si>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</si>
  <si>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</si>
  <si>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</si>
  <si>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</si>
  <si>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</si>
  <si>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</si>
  <si>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</si>
  <si>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</si>
  <si>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</si>
  <si>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</si>
  <si>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</si>
  <si>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</si>
  <si>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</si>
  <si>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</si>
  <si>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</si>
  <si>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</si>
  <si>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</si>
  <si>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</si>
  <si>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</si>
  <si>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</si>
  <si>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</si>
  <si>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</si>
  <si>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</si>
  <si>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</si>
  <si>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</si>
  <si>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</si>
  <si>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</si>
  <si>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</si>
  <si>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</si>
  <si>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</si>
  <si>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</si>
  <si>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</si>
  <si>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</si>
  <si>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</si>
  <si>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</si>
  <si>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</si>
  <si>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</si>
  <si>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</si>
  <si>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</si>
  <si>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</si>
  <si>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</si>
  <si>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</si>
  <si>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</si>
  <si>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</si>
  <si>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</si>
  <si>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</si>
  <si>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</si>
  <si>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</si>
  <si>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</si>
  <si>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</si>
  <si>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</si>
  <si>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</si>
  <si>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</si>
  <si>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</si>
  <si>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</si>
  <si>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</si>
  <si>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</si>
  <si>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</si>
  <si>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</si>
  <si>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</si>
  <si>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</si>
  <si>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</si>
  <si>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</si>
  <si>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</si>
  <si>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</si>
  <si>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</si>
  <si>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</si>
  <si>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</si>
  <si>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</si>
  <si>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</si>
  <si>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</si>
  <si>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</si>
  <si>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</si>
  <si>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</si>
  <si>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</si>
  <si>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</si>
  <si>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</si>
  <si>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</si>
  <si>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</si>
  <si>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</si>
  <si>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</si>
  <si>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</si>
  <si>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</si>
  <si>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</si>
  <si>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</si>
  <si>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</si>
  <si>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</si>
  <si>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</si>
  <si>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</si>
  <si>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</si>
  <si>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</si>
  <si>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</si>
  <si>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</si>
  <si>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</si>
  <si>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</si>
  <si>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</si>
  <si>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</si>
  <si>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</si>
  <si>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</si>
  <si>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</si>
  <si>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</si>
  <si>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</si>
  <si>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</si>
  <si>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</si>
  <si>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</si>
  <si>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</si>
  <si>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</si>
  <si>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</si>
  <si>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</si>
  <si>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</si>
  <si>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</si>
  <si>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</si>
  <si>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</si>
  <si>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</si>
  <si>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</si>
  <si>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</si>
  <si>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</si>
  <si>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</si>
  <si>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</si>
  <si>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</si>
  <si>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</si>
  <si>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</si>
  <si>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</si>
  <si>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</si>
  <si>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</si>
  <si>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</si>
  <si>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</si>
  <si>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</si>
  <si>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</si>
  <si>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</si>
  <si>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</si>
  <si>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</si>
  <si>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</si>
  <si>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</si>
  <si>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</si>
  <si>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</si>
  <si>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</si>
  <si>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</si>
  <si>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</si>
  <si>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</si>
  <si>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</si>
  <si>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</si>
  <si>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</si>
  <si>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</si>
  <si>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</si>
  <si>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</si>
  <si>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</si>
  <si>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</si>
  <si>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</si>
  <si>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</si>
  <si>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</si>
  <si>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</si>
  <si>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</si>
  <si>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</si>
  <si>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</si>
  <si>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</si>
  <si>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</si>
  <si>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</si>
  <si>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</si>
  <si>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</si>
  <si>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</si>
  <si>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</si>
  <si>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</si>
  <si>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</si>
  <si>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</si>
  <si>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</si>
  <si>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</si>
  <si>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</si>
  <si>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</si>
  <si>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</si>
  <si>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</si>
  <si>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</si>
  <si>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</si>
  <si>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</si>
  <si>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</si>
  <si>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</si>
  <si>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</si>
  <si>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</si>
  <si>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</si>
  <si>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</si>
  <si>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</si>
  <si>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</si>
  <si>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</si>
  <si>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</si>
  <si>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</si>
  <si>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</si>
  <si>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</si>
  <si>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</si>
  <si>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</si>
  <si>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</si>
  <si>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</si>
  <si>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</si>
  <si>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</si>
  <si>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</si>
  <si>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</si>
  <si>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</si>
  <si>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</si>
  <si>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</si>
  <si>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</si>
  <si>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</si>
  <si>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</si>
  <si>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</si>
  <si>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</si>
  <si>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</si>
  <si>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</si>
  <si>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</si>
  <si>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</si>
  <si>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</si>
  <si>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</si>
  <si>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</si>
  <si>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</si>
  <si>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</si>
  <si>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</si>
  <si>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</si>
  <si>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</si>
  <si>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</si>
  <si>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</si>
  <si>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</si>
  <si>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</si>
  <si>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</si>
  <si>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</si>
  <si>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</si>
  <si>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</si>
  <si>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</si>
  <si>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</si>
  <si>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</si>
  <si>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</si>
  <si>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</si>
  <si>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</si>
  <si>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</si>
  <si>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</si>
  <si>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</si>
  <si>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</si>
  <si>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</si>
  <si>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</si>
  <si>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</si>
  <si>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</si>
  <si>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</si>
  <si>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</si>
  <si>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</si>
  <si>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</si>
  <si>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</si>
  <si>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</si>
  <si>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</si>
  <si>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</si>
  <si>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</si>
  <si>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</si>
  <si>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</si>
  <si>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</si>
  <si>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</si>
  <si>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</si>
  <si>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</si>
  <si>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</si>
  <si>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</si>
  <si>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</si>
  <si>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</si>
  <si>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</si>
  <si>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</si>
  <si>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</si>
  <si>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</si>
  <si>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</si>
  <si>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</si>
  <si>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</si>
  <si>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</si>
  <si>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</si>
  <si>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</si>
  <si>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</si>
  <si>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</si>
  <si>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</si>
  <si>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</si>
  <si>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</si>
  <si>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</si>
  <si>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</si>
  <si>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</si>
  <si>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</si>
  <si>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</si>
  <si>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</si>
  <si>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</si>
  <si>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</si>
  <si>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</si>
  <si>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</si>
  <si>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</si>
  <si>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</si>
  <si>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</si>
  <si>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</si>
  <si>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</si>
  <si>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</si>
  <si>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</si>
  <si>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</si>
  <si>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</si>
  <si>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</si>
  <si>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</si>
  <si>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</si>
  <si>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</si>
  <si>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</si>
  <si>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</si>
  <si>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</si>
  <si>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</si>
  <si>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</si>
  <si>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</si>
  <si>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</si>
  <si>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</si>
  <si>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</si>
  <si>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</si>
  <si>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</si>
  <si>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</si>
  <si>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</si>
  <si>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</si>
  <si>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</si>
  <si>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</si>
  <si>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</si>
  <si>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</si>
  <si>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</si>
  <si>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</si>
  <si>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</si>
  <si>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</si>
  <si>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</si>
  <si>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</si>
  <si>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</si>
  <si>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</si>
  <si>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</si>
  <si>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</si>
  <si>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</si>
  <si>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</si>
  <si>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</si>
  <si>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</si>
  <si>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</si>
  <si>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</si>
  <si>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</si>
  <si>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</si>
  <si>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</si>
  <si>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</si>
  <si>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</si>
  <si>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</si>
  <si>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</si>
  <si>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</si>
  <si>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</si>
  <si>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</si>
  <si>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</si>
  <si>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</si>
  <si>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</si>
  <si>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</si>
  <si>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</si>
  <si>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</si>
  <si>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</si>
  <si>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</si>
  <si>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</si>
  <si>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</si>
  <si>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</si>
  <si>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</si>
  <si>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</si>
  <si>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</si>
  <si>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</si>
  <si>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</si>
  <si>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</si>
  <si>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</si>
  <si>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</si>
  <si>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</si>
  <si>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</si>
  <si>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</si>
  <si>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</si>
  <si>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</si>
  <si>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</si>
  <si>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</si>
  <si>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</si>
  <si>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</si>
  <si>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</si>
  <si>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</si>
  <si>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</si>
  <si>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</si>
  <si>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</si>
  <si>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</si>
  <si>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</si>
  <si>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</si>
  <si>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</si>
  <si>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</si>
  <si>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</si>
  <si>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</si>
  <si>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</si>
  <si>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</si>
  <si>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</si>
  <si>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</si>
  <si>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</si>
  <si>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</si>
  <si>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</si>
  <si>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</si>
  <si>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</si>
  <si>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</si>
  <si>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</si>
  <si>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</si>
  <si>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</si>
  <si>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</si>
  <si>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</si>
  <si>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</si>
  <si>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</si>
  <si>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</si>
  <si>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</si>
  <si>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</si>
  <si>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</si>
  <si>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</si>
  <si>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</si>
  <si>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</si>
  <si>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</si>
  <si>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</si>
  <si>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</si>
  <si>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</si>
  <si>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</si>
  <si>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</si>
  <si>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</si>
  <si>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</si>
  <si>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</si>
  <si>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</si>
  <si>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</si>
  <si>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</si>
  <si>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</si>
  <si>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</si>
  <si>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</si>
  <si>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</si>
  <si>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</si>
  <si>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</si>
  <si>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</si>
  <si>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</si>
  <si>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</si>
  <si>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</si>
  <si>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</si>
  <si>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</si>
  <si>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</si>
  <si>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</si>
  <si>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</si>
  <si>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</si>
  <si>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</si>
  <si>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</si>
  <si>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</si>
  <si>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</si>
  <si>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</si>
  <si>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</si>
  <si>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</si>
  <si>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</si>
  <si>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</si>
  <si>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</si>
  <si>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</si>
  <si>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</si>
  <si>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</si>
  <si>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</si>
  <si>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</si>
  <si>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</si>
  <si>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</si>
  <si>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</si>
  <si>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</si>
  <si>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</si>
  <si>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</si>
  <si>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</si>
  <si>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</si>
  <si>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</si>
  <si>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</si>
  <si>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</si>
  <si>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</si>
  <si>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</si>
  <si>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</si>
  <si>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</si>
  <si>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</si>
  <si>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</si>
  <si>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</si>
  <si>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</si>
  <si>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</si>
  <si>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</si>
  <si>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</si>
  <si>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</si>
  <si>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</si>
  <si>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</si>
  <si>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</si>
  <si>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</si>
  <si>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</si>
  <si>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</si>
  <si>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</si>
  <si>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</si>
  <si>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</si>
  <si>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</si>
  <si>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</si>
  <si>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</si>
  <si>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</si>
  <si>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</si>
  <si>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</si>
  <si>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</si>
  <si>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</si>
  <si>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</si>
  <si>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</si>
  <si>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</si>
  <si>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</si>
  <si>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</si>
  <si>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</si>
  <si>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</si>
  <si>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</si>
  <si>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</si>
  <si>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</si>
  <si>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</si>
  <si>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</si>
  <si>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</si>
  <si>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</si>
  <si>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</si>
  <si>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</si>
  <si>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</si>
  <si>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</si>
  <si>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</si>
  <si>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</si>
  <si>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</si>
  <si>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</si>
  <si>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</si>
  <si>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</si>
  <si>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</si>
  <si>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</si>
  <si>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</si>
  <si>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</si>
  <si>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</si>
  <si>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</si>
  <si>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</si>
  <si>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</si>
  <si>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</si>
  <si>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</si>
  <si>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</si>
  <si>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</si>
  <si>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</si>
  <si>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</si>
  <si>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</si>
  <si>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</si>
  <si>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</si>
  <si>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</si>
  <si>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</si>
  <si>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</si>
  <si>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</si>
  <si>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</si>
  <si>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</si>
  <si>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</si>
  <si>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</si>
  <si>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</si>
  <si>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</si>
  <si>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</si>
  <si>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</si>
  <si>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</si>
  <si>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</si>
  <si>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</si>
  <si>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</si>
  <si>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</si>
  <si>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</si>
  <si>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</si>
  <si>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</si>
  <si>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</si>
  <si>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</si>
  <si>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</si>
  <si>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</si>
  <si>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</si>
  <si>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</si>
  <si>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</si>
  <si>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</si>
  <si>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</si>
  <si>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</si>
  <si>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</si>
  <si>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</si>
  <si>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</si>
  <si>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</si>
  <si>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</si>
  <si>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</si>
  <si>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</si>
  <si>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</si>
  <si>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</si>
  <si>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</si>
  <si>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</si>
  <si>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</si>
  <si>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</si>
  <si>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</si>
  <si>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</si>
  <si>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</si>
  <si>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</si>
  <si>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</si>
  <si>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</si>
  <si>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</si>
  <si>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</si>
  <si>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</si>
  <si>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</si>
  <si>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</si>
  <si>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</si>
  <si>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</si>
  <si>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</si>
  <si>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</si>
  <si>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</si>
  <si>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</si>
  <si>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</si>
  <si>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</si>
  <si>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</si>
  <si>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</si>
  <si>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</si>
  <si>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</si>
  <si>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</si>
  <si>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</si>
  <si>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</si>
  <si>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</si>
  <si>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</si>
  <si>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</si>
  <si>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</si>
  <si>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</si>
  <si>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</si>
  <si>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</si>
  <si>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</si>
  <si>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</si>
  <si>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</si>
  <si>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</si>
  <si>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</si>
  <si>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</si>
  <si>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</si>
  <si>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</si>
  <si>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</si>
  <si>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</si>
  <si>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</si>
  <si>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</si>
  <si>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</si>
  <si>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</si>
  <si>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</si>
  <si>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</si>
  <si>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</si>
  <si>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</si>
  <si>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</si>
  <si>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</si>
  <si>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</si>
  <si>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</si>
  <si>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</si>
  <si>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</si>
  <si>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</si>
  <si>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</si>
  <si>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</si>
  <si>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</si>
  <si>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</si>
  <si>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</si>
  <si>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</si>
  <si>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</si>
  <si>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</si>
  <si>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</si>
  <si>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</si>
  <si>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</si>
  <si>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</si>
  <si>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</si>
  <si>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</si>
  <si>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</si>
  <si>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</si>
  <si>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</si>
  <si>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</si>
  <si>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</si>
  <si>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</si>
  <si>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</si>
  <si>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</si>
  <si>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</si>
  <si>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</si>
  <si>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</si>
  <si>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</si>
  <si>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</si>
  <si>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</si>
  <si>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</si>
  <si>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</si>
  <si>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</si>
  <si>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</si>
  <si>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</si>
  <si>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</si>
  <si>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</si>
  <si>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</si>
  <si>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</si>
  <si>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</si>
  <si>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</si>
  <si>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</si>
  <si>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</si>
  <si>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</si>
  <si>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</si>
  <si>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</si>
  <si>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</si>
  <si>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</si>
  <si>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</si>
  <si>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</si>
  <si>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</si>
  <si>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</si>
  <si>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</si>
  <si>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</si>
  <si>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</si>
  <si>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</si>
  <si>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</si>
  <si>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</si>
  <si>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</si>
  <si>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</si>
  <si>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</si>
  <si>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</si>
  <si>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</si>
  <si>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</si>
  <si>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</si>
  <si>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</si>
  <si>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</si>
  <si>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</si>
  <si>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</si>
  <si>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</si>
  <si>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</si>
  <si>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</si>
  <si>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</si>
  <si>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</si>
  <si>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</si>
  <si>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</si>
  <si>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</si>
  <si>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</si>
  <si>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</si>
  <si>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</si>
  <si>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</si>
  <si>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</si>
  <si>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</si>
  <si>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</si>
  <si>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</si>
  <si>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</si>
  <si>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</si>
  <si>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</si>
  <si>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</si>
  <si>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</si>
  <si>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</si>
  <si>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</si>
  <si>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</si>
  <si>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</si>
  <si>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</si>
  <si>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</si>
  <si>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</si>
  <si>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</si>
  <si>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</si>
  <si>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</si>
  <si>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</si>
  <si>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</si>
  <si>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</si>
  <si>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</si>
  <si>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</si>
  <si>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</si>
  <si>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</si>
  <si>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</si>
  <si>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</si>
  <si>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</si>
  <si>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</si>
  <si>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</si>
  <si>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</si>
  <si>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</si>
  <si>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</si>
  <si>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</si>
  <si>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</si>
  <si>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</si>
  <si>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</si>
  <si>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</si>
  <si>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</si>
  <si>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</si>
  <si>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</si>
  <si>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</si>
  <si>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</si>
  <si>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</si>
  <si>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</si>
  <si>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</si>
  <si>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</si>
  <si>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</si>
  <si>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</si>
  <si>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</si>
  <si>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</si>
  <si>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</si>
  <si>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</si>
  <si>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</si>
  <si>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</si>
  <si>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</si>
  <si>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</si>
  <si>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</si>
  <si>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</si>
  <si>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</si>
  <si>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</si>
  <si>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</si>
  <si>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</si>
  <si>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</si>
  <si>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</si>
  <si>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</si>
  <si>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</si>
  <si>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</si>
  <si>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</si>
  <si>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</si>
  <si>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</si>
  <si>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</si>
  <si>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</si>
  <si>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</si>
  <si>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</si>
  <si>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</si>
  <si>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</si>
  <si>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</si>
  <si>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</si>
  <si>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</si>
  <si>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</si>
  <si>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</si>
  <si>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</si>
  <si>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</si>
  <si>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</si>
  <si>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Page 10, Line 74 - Other Food Service</t>
  </si>
  <si>
    <t>Vending Machine Receipts</t>
  </si>
  <si>
    <t>Page 11, Line 107 - Other Local - Education Fund</t>
  </si>
  <si>
    <t>E-Rate</t>
  </si>
  <si>
    <t>Marion County 708 Board</t>
  </si>
  <si>
    <t>Rent Income</t>
  </si>
  <si>
    <t>Cultural Society Contributions</t>
  </si>
  <si>
    <t>Tutoring</t>
  </si>
  <si>
    <t>DuBois Trip Reimbursement</t>
  </si>
  <si>
    <t>Homeless Reimbursement</t>
  </si>
  <si>
    <t>Other refunds and reimbursements</t>
  </si>
  <si>
    <t>Page 11, Line 107 - Other Local - O&amp;M Fund</t>
  </si>
  <si>
    <t>Page 11, Line 107 - Other Local - Transportation Fund</t>
  </si>
  <si>
    <t>Student Activity Reimbursements</t>
  </si>
  <si>
    <t>PVMA Trip Reimbursements</t>
  </si>
  <si>
    <t>Ameren Efficiency Rebates</t>
  </si>
  <si>
    <t>Donation</t>
  </si>
  <si>
    <t>Page 12, Line 168 - Other State - Education Fund</t>
  </si>
  <si>
    <t>Illinoi Art Council Grant</t>
  </si>
  <si>
    <t>Healthy Community Investment Grant</t>
  </si>
  <si>
    <t>Page 13, Line 203 - Other Title I</t>
  </si>
  <si>
    <t>Title I - School Improvement</t>
  </si>
  <si>
    <t>Page 11, Line 107 - Other Local - Tort Fund</t>
  </si>
  <si>
    <t>Workers' Compensation Refund</t>
  </si>
  <si>
    <t>Page 16, Line 83 - Other Payments to Governmet Units</t>
  </si>
  <si>
    <t>Fees paid to Regional Office of Education</t>
  </si>
  <si>
    <t>Return Unused  State Art Council Grant</t>
  </si>
  <si>
    <t>Page 17, Line 128 - Other Support Services</t>
  </si>
  <si>
    <t>Recreation Complex Dues</t>
  </si>
  <si>
    <t>x</t>
  </si>
  <si>
    <t>Marion</t>
  </si>
  <si>
    <t>404 South Elm</t>
  </si>
  <si>
    <t>cclark@ccs135.com</t>
  </si>
  <si>
    <t>Bo V. Thomas, CPA</t>
  </si>
  <si>
    <t>Craig E. Clark</t>
  </si>
  <si>
    <t>cclark@ccs135com</t>
  </si>
  <si>
    <t>618-532-1907</t>
  </si>
  <si>
    <t>618-532-4986</t>
  </si>
  <si>
    <t>2012 Refunding Bonds</t>
  </si>
  <si>
    <t>Capital Lease - LED Lighting</t>
  </si>
  <si>
    <t>2018 General Obligation Bond - Fire Prevention and Safety</t>
  </si>
  <si>
    <t>2018 General Obligation Bond - Working Cash</t>
  </si>
  <si>
    <t>2019 Refunding Bonds</t>
  </si>
  <si>
    <t>10-2100-300</t>
  </si>
  <si>
    <t>40-2550-300</t>
  </si>
  <si>
    <t>Ed-Pupil-Purchased Services</t>
  </si>
  <si>
    <t>Ed-Pupil Purchased Services</t>
  </si>
  <si>
    <t>Timberline LLC</t>
  </si>
  <si>
    <t>Community Resource Center</t>
  </si>
  <si>
    <t>Transportation - Pupil Transportation - Purchased Services</t>
  </si>
  <si>
    <t>Midwest Bus Sales Inc</t>
  </si>
  <si>
    <t>Kaskaskia Special Education District</t>
  </si>
  <si>
    <t>U.S. Department of Education</t>
  </si>
  <si>
    <t>Passed through Illinois State Board of Education (ISBE):</t>
  </si>
  <si>
    <t xml:space="preserve">  Title I - Low Income</t>
  </si>
  <si>
    <t xml:space="preserve">     Subtotal CFDA 84.010</t>
  </si>
  <si>
    <t xml:space="preserve">  Title VI - Rural Education Initiative</t>
  </si>
  <si>
    <t xml:space="preserve">     Subtotal CFDA 84.358</t>
  </si>
  <si>
    <t xml:space="preserve">  Title II - Teacher Quality </t>
  </si>
  <si>
    <t xml:space="preserve">     Subtotal CFDA 84.367</t>
  </si>
  <si>
    <t xml:space="preserve">  IDEA - Room Rent</t>
  </si>
  <si>
    <t xml:space="preserve">  Student Support &amp; Academic Entrichment</t>
  </si>
  <si>
    <t xml:space="preserve">     Subtotal - Passed through ISBE</t>
  </si>
  <si>
    <t>18-4300-00</t>
  </si>
  <si>
    <t>19-4300-00</t>
  </si>
  <si>
    <t>18-4107-00</t>
  </si>
  <si>
    <t>19-4107-00</t>
  </si>
  <si>
    <t>18-4392-00</t>
  </si>
  <si>
    <t>19-4392-00</t>
  </si>
  <si>
    <t>19-4625</t>
  </si>
  <si>
    <t>18-4400-00</t>
  </si>
  <si>
    <t>Passed through Kaskaskia Special Education District (KSED):</t>
  </si>
  <si>
    <t xml:space="preserve">  IDEA Preschool Flow-thru</t>
  </si>
  <si>
    <t xml:space="preserve">     Subtotal CFDA 84.173</t>
  </si>
  <si>
    <t xml:space="preserve">  IDEA Flow-thru</t>
  </si>
  <si>
    <t xml:space="preserve">     Subtotal CFDA 84.027</t>
  </si>
  <si>
    <t xml:space="preserve">     Subtotal Passed Through KSED</t>
  </si>
  <si>
    <t>18-4600-00</t>
  </si>
  <si>
    <t>19-4600-00</t>
  </si>
  <si>
    <t>19-4620-00</t>
  </si>
  <si>
    <t>18-4620-00</t>
  </si>
  <si>
    <t>U.S. Department of Health and Human Services</t>
  </si>
  <si>
    <t>Passed through Illinois Department of Healthcare and Family Services:</t>
  </si>
  <si>
    <t xml:space="preserve">  Medicaid - Administrative Outreach</t>
  </si>
  <si>
    <t>Passed through Illinois State Board of Education:</t>
  </si>
  <si>
    <t xml:space="preserve">     Subtotal CFDA 10.555</t>
  </si>
  <si>
    <t xml:space="preserve">     Subtotal CFDA 10.553</t>
  </si>
  <si>
    <t xml:space="preserve">     Subtotal CFDA 10.556</t>
  </si>
  <si>
    <t>18-4991-00</t>
  </si>
  <si>
    <t>19-4991-00</t>
  </si>
  <si>
    <t>18-4210-00</t>
  </si>
  <si>
    <t>19-4210-00</t>
  </si>
  <si>
    <t>18-4220-00</t>
  </si>
  <si>
    <t>19-4220-00</t>
  </si>
  <si>
    <t xml:space="preserve">     Total U.S. Dept of Health and Human Svcs</t>
  </si>
  <si>
    <t xml:space="preserve">  Fresh Fruits &amp; Vegetables (Cash)</t>
  </si>
  <si>
    <t xml:space="preserve">     Subtotal CFDA 10.582</t>
  </si>
  <si>
    <t xml:space="preserve">     Total U.S. Department of Agriculture</t>
  </si>
  <si>
    <t>18-4240-00</t>
  </si>
  <si>
    <t>19-4240-00</t>
  </si>
  <si>
    <t>N/A</t>
  </si>
  <si>
    <t xml:space="preserve">  School Improvement Grant</t>
  </si>
  <si>
    <t>19-4331-00</t>
  </si>
  <si>
    <t>18-4625-00</t>
  </si>
  <si>
    <t xml:space="preserve">   Subtotal CFDA 84.424</t>
  </si>
  <si>
    <t>19-4400-00</t>
  </si>
  <si>
    <t xml:space="preserve">     Total Federal Awards</t>
  </si>
  <si>
    <t>Total U.S. Department of Education</t>
  </si>
  <si>
    <t xml:space="preserve">  Department of Defense Fresh Fruits and Vegetables (m)</t>
  </si>
  <si>
    <t xml:space="preserve">  Commodites (Non-cash) (m)</t>
  </si>
  <si>
    <t xml:space="preserve">  Special Milk (m)</t>
  </si>
  <si>
    <t xml:space="preserve">  School Breakfast Program (m)</t>
  </si>
  <si>
    <t xml:space="preserve">  School Lunch Program (m)</t>
  </si>
  <si>
    <r>
      <t xml:space="preserve">The accompanying Schedule of Expenditures of Federal Awards includes the federal grant activity of Centralia City Schools - District No. 135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cash basis financial statements.</t>
    </r>
  </si>
  <si>
    <t>Of the federal expenditures presented in the schedule, Centralia - District No. 135 provided federal awards to subrecipients as follows:</t>
  </si>
  <si>
    <t>There were no subrecipients</t>
  </si>
  <si>
    <t>Adverse - Regulatory Basis</t>
  </si>
  <si>
    <t>Child Nutrition Cluster</t>
  </si>
  <si>
    <t>10.553, 10.555, 10.556, 10.559</t>
  </si>
  <si>
    <t>N/A - None</t>
  </si>
  <si>
    <t>None</t>
  </si>
  <si>
    <r>
      <t xml:space="preserve">The following amounts were expended in the form of non-cash assistance by </t>
    </r>
    <r>
      <rPr>
        <b/>
        <sz val="9"/>
        <rFont val="Calibri"/>
        <family val="2"/>
        <scheme val="minor"/>
      </rPr>
      <t>Centralia City Schools</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</si>
  <si>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Centralia SD 135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</si>
</sst>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64" fillId="0" borderId="0" xfId="0" applyFont="1" applyAlignment="1">
      <alignment horizontal="left"/>
    </xf>
    <xf numFmtId="164" fontId="63" fillId="0" borderId="0" xfId="0" applyNumberFormat="1" applyFont="1" applyAlignment="1">
      <alignment horizontal="left"/>
    </xf>
    <xf numFmtId="164" fontId="64" fillId="0" borderId="0" xfId="0" applyNumberFormat="1" applyFont="1" applyAlignment="1">
      <alignment horizontal="left"/>
    </xf>
    <xf numFmtId="181" fontId="56" fillId="0" borderId="0" xfId="19" applyNumberFormat="1" applyFont="1"/>
    <xf numFmtId="181" fontId="56" fillId="0" borderId="165" xfId="19" applyNumberFormat="1" applyFont="1" applyBorder="1"/>
    <xf numFmtId="182" fontId="56" fillId="0" borderId="0" xfId="1" applyNumberFormat="1" applyFont="1"/>
    <xf numFmtId="182" fontId="56" fillId="0" borderId="78" xfId="1" applyNumberFormat="1" applyFont="1" applyBorder="1"/>
    <xf numFmtId="181" fontId="56" fillId="0" borderId="0" xfId="19"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8" fontId="1" fillId="0" borderId="157" xfId="17" applyNumberFormat="1" applyFont="1" applyBorder="1" applyAlignment="1" applyProtection="1">
      <alignment horizontal="right" vertical="top"/>
      <protection locked="0"/>
    </xf>
    <xf numFmtId="1" fontId="56" fillId="0" borderId="0" xfId="3" applyNumberFormat="1" applyFont="1" applyProtection="1">
      <protection locked="0"/>
    </xf>
    <xf numFmtId="169" fontId="56" fillId="0" borderId="0" xfId="3" applyNumberFormat="1" applyFont="1" applyProtection="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76200</xdr:rowOff>
        </xdr:from>
        <xdr:to>
          <xdr:col>1</xdr:col>
          <xdr:colOff>914400</xdr:colOff>
          <xdr:row>10</xdr:row>
          <xdr:rowOff>142875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91" t="s">
        <v>405</v>
      </c>
      <c r="J1" s="1992"/>
      <c r="K1" s="1992"/>
      <c r="L1" s="1992"/>
      <c r="M1" s="1992"/>
      <c r="N1" s="1992"/>
      <c r="O1" s="1992"/>
      <c r="P1" s="1992"/>
      <c r="Q1" s="1992"/>
      <c r="R1" s="1992"/>
      <c r="S1" s="1992"/>
    </row>
    <row r="2" spans="1:28" ht="12" customHeight="1" x14ac:dyDescent="0.2">
      <c r="A2" s="47" t="s">
        <v>1990</v>
      </c>
      <c r="D2" s="48"/>
      <c r="I2" s="1993" t="s">
        <v>979</v>
      </c>
      <c r="J2" s="1992"/>
      <c r="K2" s="1992"/>
      <c r="L2" s="1992"/>
      <c r="M2" s="1992"/>
      <c r="N2" s="1992"/>
      <c r="O2" s="1992"/>
      <c r="P2" s="1992"/>
      <c r="Q2" s="1992"/>
      <c r="R2" s="1992"/>
      <c r="S2" s="1992"/>
    </row>
    <row r="3" spans="1:28" ht="12" customHeight="1" x14ac:dyDescent="0.2">
      <c r="A3" s="155" t="s">
        <v>1942</v>
      </c>
      <c r="B3" s="156"/>
      <c r="C3" s="156"/>
      <c r="D3" s="157"/>
      <c r="I3" s="1993" t="s">
        <v>52</v>
      </c>
      <c r="J3" s="1992"/>
      <c r="K3" s="1992"/>
      <c r="L3" s="1992"/>
      <c r="M3" s="1992"/>
      <c r="N3" s="1992"/>
      <c r="O3" s="1992"/>
      <c r="P3" s="1992"/>
      <c r="Q3" s="1992"/>
      <c r="R3" s="1992"/>
      <c r="S3" s="1992"/>
    </row>
    <row r="4" spans="1:28" ht="12" customHeight="1" x14ac:dyDescent="0.2">
      <c r="A4" s="37"/>
      <c r="I4" s="1993" t="s">
        <v>524</v>
      </c>
      <c r="J4" s="1992"/>
      <c r="K4" s="1992"/>
      <c r="L4" s="1992"/>
      <c r="M4" s="1992"/>
      <c r="N4" s="1992"/>
      <c r="O4" s="1992"/>
      <c r="P4" s="1992"/>
      <c r="Q4" s="1992"/>
      <c r="R4" s="1992"/>
      <c r="S4" s="1992"/>
    </row>
    <row r="5" spans="1:28" ht="14.1" customHeight="1" x14ac:dyDescent="0.2">
      <c r="B5" s="104" t="s">
        <v>2098</v>
      </c>
      <c r="C5" s="26" t="s">
        <v>910</v>
      </c>
      <c r="D5" s="84"/>
      <c r="E5" s="84"/>
      <c r="H5" s="38"/>
      <c r="I5" s="2001" t="s">
        <v>680</v>
      </c>
      <c r="J5" s="2000"/>
      <c r="K5" s="2000"/>
      <c r="L5" s="2000"/>
      <c r="M5" s="2000"/>
      <c r="N5" s="2000"/>
      <c r="O5" s="2000"/>
      <c r="P5" s="2000"/>
      <c r="Q5" s="2000"/>
      <c r="R5" s="2000"/>
      <c r="S5" s="2000"/>
    </row>
    <row r="6" spans="1:28" ht="14.1" customHeight="1" x14ac:dyDescent="0.2">
      <c r="B6" s="104"/>
      <c r="C6" s="26" t="s">
        <v>911</v>
      </c>
      <c r="D6" s="84"/>
      <c r="E6" s="84"/>
      <c r="I6" s="1999" t="s">
        <v>883</v>
      </c>
      <c r="J6" s="2000"/>
      <c r="K6" s="2000"/>
      <c r="L6" s="2000"/>
      <c r="M6" s="2000"/>
      <c r="N6" s="2000"/>
      <c r="O6" s="2000"/>
      <c r="P6" s="2000"/>
      <c r="Q6" s="2000"/>
      <c r="R6" s="2000"/>
      <c r="S6" s="2000"/>
    </row>
    <row r="7" spans="1:28" ht="12.2" customHeight="1" x14ac:dyDescent="0.2">
      <c r="I7" s="1994">
        <v>43646</v>
      </c>
      <c r="J7" s="1995"/>
      <c r="K7" s="1995"/>
      <c r="L7" s="1995"/>
      <c r="M7" s="1995"/>
      <c r="N7" s="1995"/>
      <c r="O7" s="1995"/>
      <c r="P7" s="1995"/>
      <c r="Q7" s="1995"/>
      <c r="R7" s="1995"/>
      <c r="S7" s="199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6" t="s">
        <v>674</v>
      </c>
      <c r="J9" s="1997"/>
      <c r="K9" s="1997"/>
      <c r="L9" s="1997"/>
      <c r="M9" s="1997"/>
      <c r="N9" s="1997"/>
      <c r="O9" s="1997"/>
      <c r="P9" s="1997"/>
      <c r="Q9" s="1997"/>
      <c r="R9" s="1997"/>
      <c r="S9" s="1998"/>
      <c r="T9" s="2012" t="s">
        <v>533</v>
      </c>
      <c r="U9" s="2013"/>
      <c r="V9" s="2013"/>
      <c r="W9" s="2013"/>
      <c r="X9" s="2013"/>
      <c r="Y9" s="2013"/>
      <c r="Z9" s="2013"/>
      <c r="AA9" s="2014"/>
    </row>
    <row r="10" spans="1:28" ht="13.5" customHeight="1" x14ac:dyDescent="0.2">
      <c r="A10" s="2019" t="s">
        <v>675</v>
      </c>
      <c r="B10" s="2020"/>
      <c r="C10" s="2020"/>
      <c r="D10" s="2020"/>
      <c r="E10" s="2020"/>
      <c r="F10" s="2020"/>
      <c r="G10" s="2020"/>
      <c r="H10" s="2021"/>
      <c r="I10" s="29"/>
      <c r="J10" s="30"/>
      <c r="K10" s="28"/>
      <c r="R10" s="30"/>
      <c r="S10" s="30"/>
      <c r="T10" s="2015"/>
      <c r="U10" s="2000"/>
      <c r="V10" s="2000"/>
      <c r="W10" s="2000"/>
      <c r="X10" s="2000"/>
      <c r="Y10" s="2000"/>
      <c r="Z10" s="2000"/>
      <c r="AA10" s="2006"/>
    </row>
    <row r="11" spans="1:28" ht="14.25" customHeight="1" x14ac:dyDescent="0.2">
      <c r="A11" s="2022" t="s">
        <v>955</v>
      </c>
      <c r="B11" s="2023"/>
      <c r="C11" s="2023"/>
      <c r="D11" s="2023"/>
      <c r="E11" s="2023"/>
      <c r="F11" s="2023"/>
      <c r="G11" s="2023"/>
      <c r="H11" s="2024"/>
      <c r="I11" s="27"/>
      <c r="J11" s="74"/>
      <c r="K11" s="27"/>
      <c r="O11" s="148" t="s">
        <v>2098</v>
      </c>
      <c r="P11" s="100" t="s">
        <v>201</v>
      </c>
      <c r="Q11" s="30"/>
      <c r="R11" s="28"/>
      <c r="S11" s="27"/>
      <c r="T11" s="2016"/>
      <c r="U11" s="2017"/>
      <c r="V11" s="2017"/>
      <c r="W11" s="2017"/>
      <c r="X11" s="2017"/>
      <c r="Y11" s="2017"/>
      <c r="Z11" s="2017"/>
      <c r="AA11" s="201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6">
        <v>13058135002</v>
      </c>
      <c r="B13" s="2027"/>
      <c r="C13" s="2027"/>
      <c r="D13" s="2027"/>
      <c r="E13" s="2027"/>
      <c r="F13" s="2027"/>
      <c r="G13" s="2027"/>
      <c r="H13" s="2028"/>
      <c r="I13" s="31"/>
      <c r="J13" s="30"/>
      <c r="K13" s="28"/>
      <c r="L13" s="30"/>
      <c r="M13" s="30"/>
      <c r="N13" s="30"/>
      <c r="O13" s="30"/>
      <c r="P13" s="30"/>
      <c r="Q13" s="30"/>
      <c r="R13" s="30"/>
      <c r="S13" s="30"/>
      <c r="T13" s="2031" t="s">
        <v>2061</v>
      </c>
      <c r="U13" s="2032"/>
      <c r="V13" s="2032"/>
      <c r="W13" s="2032"/>
      <c r="X13" s="2032"/>
      <c r="Y13" s="2033"/>
      <c r="Z13" s="2033"/>
      <c r="AA13" s="203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5" t="s">
        <v>2099</v>
      </c>
      <c r="B15" s="2029"/>
      <c r="C15" s="2029"/>
      <c r="D15" s="2029"/>
      <c r="E15" s="2029"/>
      <c r="F15" s="2029"/>
      <c r="G15" s="2029"/>
      <c r="H15" s="2030"/>
      <c r="T15" s="2035" t="s">
        <v>2102</v>
      </c>
      <c r="U15" s="1979"/>
      <c r="V15" s="1979"/>
      <c r="W15" s="1979"/>
      <c r="X15" s="1979"/>
      <c r="Y15" s="2036"/>
      <c r="Z15" s="2036"/>
      <c r="AA15" s="203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5" t="s">
        <v>2191</v>
      </c>
      <c r="B17" s="1986"/>
      <c r="C17" s="1986"/>
      <c r="D17" s="1986"/>
      <c r="E17" s="1986"/>
      <c r="F17" s="1986"/>
      <c r="G17" s="1986"/>
      <c r="H17" s="2011"/>
      <c r="T17" s="2042" t="s">
        <v>2062</v>
      </c>
      <c r="U17" s="2043"/>
      <c r="V17" s="2043"/>
      <c r="W17" s="2043"/>
      <c r="X17" s="2043"/>
      <c r="Y17" s="2043"/>
      <c r="Z17" s="2043"/>
      <c r="AA17" s="2044"/>
    </row>
    <row r="18" spans="1:27" ht="13.5" customHeight="1" x14ac:dyDescent="0.2">
      <c r="A18" s="85" t="s">
        <v>530</v>
      </c>
      <c r="B18" s="76"/>
      <c r="C18" s="72"/>
      <c r="D18" s="76"/>
      <c r="E18" s="76"/>
      <c r="F18" s="76"/>
      <c r="G18" s="76"/>
      <c r="H18" s="56"/>
      <c r="I18" s="2010" t="s">
        <v>676</v>
      </c>
      <c r="J18" s="1961"/>
      <c r="K18" s="1961"/>
      <c r="L18" s="1961"/>
      <c r="M18" s="1961"/>
      <c r="N18" s="1961"/>
      <c r="O18" s="1961"/>
      <c r="P18" s="1961"/>
      <c r="Q18" s="1961"/>
      <c r="R18" s="1961"/>
      <c r="S18" s="1962"/>
      <c r="T18" s="85" t="s">
        <v>711</v>
      </c>
      <c r="U18" s="51"/>
      <c r="V18" s="72"/>
      <c r="W18" s="50"/>
      <c r="X18" s="85" t="s">
        <v>266</v>
      </c>
      <c r="Y18" s="81"/>
      <c r="Z18" s="159" t="s">
        <v>677</v>
      </c>
      <c r="AA18" s="46"/>
    </row>
    <row r="19" spans="1:27" ht="13.5" customHeight="1" x14ac:dyDescent="0.2">
      <c r="A19" s="2025" t="s">
        <v>2100</v>
      </c>
      <c r="B19" s="1971"/>
      <c r="C19" s="1971"/>
      <c r="D19" s="1971"/>
      <c r="E19" s="1971"/>
      <c r="F19" s="1971"/>
      <c r="G19" s="1971"/>
      <c r="H19" s="1951"/>
      <c r="I19" s="30"/>
      <c r="J19" s="99"/>
      <c r="K19" s="40"/>
      <c r="L19" s="38"/>
      <c r="M19" s="112" t="s">
        <v>315</v>
      </c>
      <c r="P19" s="27"/>
      <c r="Q19" s="27"/>
      <c r="R19" s="27"/>
      <c r="S19" s="31"/>
      <c r="T19" s="2025" t="s">
        <v>2063</v>
      </c>
      <c r="U19" s="1950"/>
      <c r="V19" s="1950"/>
      <c r="W19" s="1951"/>
      <c r="X19" s="2040" t="s">
        <v>2064</v>
      </c>
      <c r="Y19" s="2041"/>
      <c r="Z19" s="2038">
        <v>62801</v>
      </c>
      <c r="AA19" s="203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9" t="s">
        <v>2063</v>
      </c>
      <c r="B21" s="1950"/>
      <c r="C21" s="1950"/>
      <c r="D21" s="1950"/>
      <c r="E21" s="1950"/>
      <c r="F21" s="1950"/>
      <c r="G21" s="1950"/>
      <c r="H21" s="1951"/>
      <c r="I21" s="2005" t="s">
        <v>678</v>
      </c>
      <c r="J21" s="2000"/>
      <c r="K21" s="2000"/>
      <c r="L21" s="2000"/>
      <c r="M21" s="2000"/>
      <c r="N21" s="2000"/>
      <c r="O21" s="2000"/>
      <c r="P21" s="2000"/>
      <c r="Q21" s="2000"/>
      <c r="R21" s="2000"/>
      <c r="S21" s="2006"/>
      <c r="T21" s="2049" t="s">
        <v>2065</v>
      </c>
      <c r="U21" s="2050"/>
      <c r="V21" s="2050"/>
      <c r="W21" s="2050"/>
      <c r="X21" s="2055" t="s">
        <v>2066</v>
      </c>
      <c r="Y21" s="2056"/>
      <c r="Z21" s="2056"/>
      <c r="AA21" s="2057"/>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2" t="s">
        <v>2101</v>
      </c>
      <c r="B23" s="2003"/>
      <c r="C23" s="2003"/>
      <c r="D23" s="2003"/>
      <c r="E23" s="2003"/>
      <c r="F23" s="2003"/>
      <c r="G23" s="2003"/>
      <c r="H23" s="2004"/>
      <c r="T23" s="1985" t="s">
        <v>2067</v>
      </c>
      <c r="U23" s="2048"/>
      <c r="V23" s="2048"/>
      <c r="W23" s="2048"/>
      <c r="X23" s="2052">
        <v>44530</v>
      </c>
      <c r="Y23" s="2053"/>
      <c r="Z23" s="2053"/>
      <c r="AA23" s="2054"/>
    </row>
    <row r="24" spans="1:27" ht="14.1" customHeight="1" x14ac:dyDescent="0.2">
      <c r="A24" s="88" t="s">
        <v>677</v>
      </c>
      <c r="B24" s="49"/>
      <c r="C24" s="49"/>
      <c r="D24" s="49"/>
      <c r="E24" s="49"/>
      <c r="F24" s="49"/>
      <c r="G24" s="49"/>
      <c r="H24" s="61"/>
      <c r="J24" s="1972">
        <f>IF(B5="x",IF(AUDITCHECK!D29="AFR form Incomplete.","",IF(AUDITCHECK!D29="Deficit reduction plan is required.","School District must complete a deficit reduction plan in the 2019-2020 Budget",)),"")</f>
        <v>0</v>
      </c>
      <c r="K24" s="1972"/>
      <c r="L24" s="1972"/>
      <c r="M24" s="1972"/>
      <c r="N24" s="1972"/>
      <c r="O24" s="1972"/>
      <c r="P24" s="1972"/>
      <c r="Q24" s="1972"/>
      <c r="R24" s="1972"/>
      <c r="S24" s="1973"/>
      <c r="T24" s="105" t="s">
        <v>531</v>
      </c>
      <c r="U24" s="106"/>
      <c r="V24" s="106"/>
      <c r="W24" s="106"/>
      <c r="X24" s="107"/>
      <c r="Y24" s="107"/>
      <c r="Z24" s="107"/>
      <c r="AA24" s="108"/>
    </row>
    <row r="25" spans="1:27" ht="14.1" customHeight="1" x14ac:dyDescent="0.2">
      <c r="A25" s="1949">
        <v>62801</v>
      </c>
      <c r="B25" s="1950"/>
      <c r="C25" s="1950"/>
      <c r="D25" s="1950"/>
      <c r="E25" s="1950"/>
      <c r="F25" s="1950"/>
      <c r="G25" s="1950"/>
      <c r="H25" s="1951"/>
      <c r="I25" s="113"/>
      <c r="J25" s="1974"/>
      <c r="K25" s="1974"/>
      <c r="L25" s="1974"/>
      <c r="M25" s="1974"/>
      <c r="N25" s="1974"/>
      <c r="O25" s="1974"/>
      <c r="P25" s="1974"/>
      <c r="Q25" s="1974"/>
      <c r="R25" s="1974"/>
      <c r="S25" s="1975"/>
      <c r="T25" s="2045" t="s">
        <v>2068</v>
      </c>
      <c r="U25" s="2046"/>
      <c r="V25" s="2046"/>
      <c r="W25" s="2046"/>
      <c r="X25" s="2046"/>
      <c r="Y25" s="2046"/>
      <c r="Z25" s="2046"/>
      <c r="AA25" s="20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0" t="s">
        <v>1511</v>
      </c>
      <c r="J27" s="1961"/>
      <c r="K27" s="1961"/>
      <c r="L27" s="1961"/>
      <c r="M27" s="1961"/>
      <c r="N27" s="1961"/>
      <c r="O27" s="1961"/>
      <c r="P27" s="1961"/>
      <c r="Q27" s="1961"/>
      <c r="R27" s="1961"/>
      <c r="S27" s="196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2098</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2098</v>
      </c>
      <c r="C30" s="124" t="s">
        <v>1164</v>
      </c>
      <c r="D30" s="28"/>
      <c r="E30" s="28"/>
      <c r="F30" s="140"/>
      <c r="G30" s="114"/>
      <c r="H30" s="114"/>
      <c r="I30" s="54"/>
      <c r="J30" s="148" t="s">
        <v>2098</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2098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2098</v>
      </c>
      <c r="C34" s="32" t="s">
        <v>542</v>
      </c>
      <c r="D34" s="31"/>
      <c r="E34" s="31"/>
      <c r="F34" s="31"/>
      <c r="G34" s="31"/>
      <c r="H34" s="31"/>
      <c r="I34" s="54"/>
      <c r="J34" s="83"/>
      <c r="L34" s="101"/>
      <c r="M34" s="93" t="s">
        <v>707</v>
      </c>
      <c r="N34" s="30"/>
      <c r="O34" s="30"/>
      <c r="P34" s="30"/>
      <c r="Q34" s="30"/>
      <c r="R34" s="30"/>
      <c r="S34" s="55"/>
      <c r="T34" s="30"/>
      <c r="U34" s="148"/>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5" t="s">
        <v>2103</v>
      </c>
      <c r="B38" s="1986"/>
      <c r="C38" s="1986"/>
      <c r="D38" s="1986"/>
      <c r="E38" s="1986"/>
      <c r="F38" s="1950"/>
      <c r="G38" s="1950"/>
      <c r="H38" s="1951"/>
      <c r="I38" s="1978"/>
      <c r="J38" s="1979"/>
      <c r="K38" s="1979"/>
      <c r="L38" s="1979"/>
      <c r="M38" s="1979"/>
      <c r="N38" s="1979"/>
      <c r="O38" s="1979"/>
      <c r="P38" s="1980"/>
      <c r="Q38" s="1980"/>
      <c r="R38" s="1980"/>
      <c r="S38" s="1981"/>
      <c r="T38" s="2035"/>
      <c r="U38" s="1979"/>
      <c r="V38" s="1979"/>
      <c r="W38" s="1979"/>
      <c r="X38" s="1980"/>
      <c r="Y38" s="1980"/>
      <c r="Z38" s="1980"/>
      <c r="AA38" s="1981"/>
    </row>
    <row r="39" spans="1:27" ht="12" customHeight="1" x14ac:dyDescent="0.2">
      <c r="A39" s="1955" t="s">
        <v>531</v>
      </c>
      <c r="B39" s="1956"/>
      <c r="C39" s="72"/>
      <c r="D39" s="69"/>
      <c r="E39" s="69"/>
      <c r="F39" s="79"/>
      <c r="G39" s="69"/>
      <c r="H39" s="56"/>
      <c r="I39" s="1955" t="s">
        <v>531</v>
      </c>
      <c r="J39" s="1956"/>
      <c r="K39" s="1956"/>
      <c r="L39" s="1956"/>
      <c r="M39" s="1956"/>
      <c r="N39" s="67"/>
      <c r="O39" s="72"/>
      <c r="P39" s="72"/>
      <c r="Q39" s="78"/>
      <c r="R39" s="72"/>
      <c r="S39" s="56"/>
      <c r="T39" s="72" t="s">
        <v>531</v>
      </c>
      <c r="U39" s="51"/>
      <c r="V39" s="72"/>
      <c r="W39" s="50"/>
      <c r="X39" s="78"/>
      <c r="Y39" s="45"/>
      <c r="Z39" s="45"/>
      <c r="AA39" s="46"/>
    </row>
    <row r="40" spans="1:27" ht="13.5" customHeight="1" x14ac:dyDescent="0.2">
      <c r="A40" s="1963" t="s">
        <v>2104</v>
      </c>
      <c r="B40" s="1964"/>
      <c r="C40" s="1965"/>
      <c r="D40" s="1965"/>
      <c r="E40" s="1965"/>
      <c r="F40" s="1966"/>
      <c r="G40" s="1966"/>
      <c r="H40" s="1967"/>
      <c r="I40" s="1988"/>
      <c r="J40" s="1989"/>
      <c r="K40" s="1989"/>
      <c r="L40" s="1989"/>
      <c r="M40" s="1989"/>
      <c r="N40" s="1989"/>
      <c r="O40" s="1989"/>
      <c r="P40" s="1989"/>
      <c r="Q40" s="1989"/>
      <c r="R40" s="1989"/>
      <c r="S40" s="1990"/>
      <c r="T40" s="1988"/>
      <c r="U40" s="2051"/>
      <c r="V40" s="1989"/>
      <c r="W40" s="1989"/>
      <c r="X40" s="1989"/>
      <c r="Y40" s="1989"/>
      <c r="Z40" s="1989"/>
      <c r="AA40" s="199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7" t="s">
        <v>2105</v>
      </c>
      <c r="B42" s="1969"/>
      <c r="C42" s="1970"/>
      <c r="D42" s="1968" t="s">
        <v>2106</v>
      </c>
      <c r="E42" s="1969"/>
      <c r="F42" s="1969"/>
      <c r="G42" s="1969"/>
      <c r="H42" s="1970"/>
      <c r="I42" s="1952"/>
      <c r="J42" s="1953"/>
      <c r="K42" s="1953"/>
      <c r="L42" s="1953"/>
      <c r="M42" s="1953"/>
      <c r="N42" s="1953"/>
      <c r="O42" s="1954"/>
      <c r="P42" s="1987"/>
      <c r="Q42" s="1953"/>
      <c r="R42" s="1953"/>
      <c r="S42" s="1954"/>
      <c r="T42" s="1952"/>
      <c r="U42" s="1953"/>
      <c r="V42" s="1953"/>
      <c r="W42" s="1954"/>
      <c r="X42" s="1987"/>
      <c r="Y42" s="1953"/>
      <c r="Z42" s="1953"/>
      <c r="AA42" s="19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2"/>
      <c r="B44" s="1983"/>
      <c r="C44" s="1983"/>
      <c r="D44" s="1983"/>
      <c r="E44" s="1983"/>
      <c r="F44" s="1983"/>
      <c r="G44" s="1983"/>
      <c r="H44" s="1984"/>
      <c r="I44" s="1957"/>
      <c r="J44" s="1958"/>
      <c r="K44" s="1958"/>
      <c r="L44" s="1958"/>
      <c r="M44" s="1958"/>
      <c r="N44" s="1958"/>
      <c r="O44" s="1958"/>
      <c r="P44" s="1958"/>
      <c r="Q44" s="1958"/>
      <c r="R44" s="1958"/>
      <c r="S44" s="1959"/>
      <c r="T44" s="1957"/>
      <c r="U44" s="1976"/>
      <c r="V44" s="1976"/>
      <c r="W44" s="1976"/>
      <c r="X44" s="1976"/>
      <c r="Y44" s="1976"/>
      <c r="Z44" s="1958"/>
      <c r="AA44" s="195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91" t="s">
        <v>1799</v>
      </c>
      <c r="B2" s="1526" t="s">
        <v>1948</v>
      </c>
      <c r="C2" s="714" t="s">
        <v>1949</v>
      </c>
      <c r="D2" s="714" t="s">
        <v>1950</v>
      </c>
      <c r="E2" s="714" t="s">
        <v>1951</v>
      </c>
      <c r="F2" s="714" t="s">
        <v>1952</v>
      </c>
    </row>
    <row r="3" spans="1:6" ht="12" customHeight="1" x14ac:dyDescent="0.2">
      <c r="A3" s="2192"/>
      <c r="B3" s="1523"/>
      <c r="C3" s="1524"/>
      <c r="D3" s="1525" t="s">
        <v>256</v>
      </c>
      <c r="E3" s="1524"/>
      <c r="F3" s="1525" t="s">
        <v>257</v>
      </c>
    </row>
    <row r="4" spans="1:6" ht="13.7" customHeight="1" x14ac:dyDescent="0.2">
      <c r="A4" s="715" t="s">
        <v>1155</v>
      </c>
      <c r="B4" s="1747">
        <f>'Revenues 9-14'!C5</f>
        <v>1914413</v>
      </c>
      <c r="C4" s="1522"/>
      <c r="D4" s="1750">
        <f>B4-C4</f>
        <v>1914413</v>
      </c>
      <c r="E4" s="1522">
        <f>1794378-275</f>
        <v>1794103</v>
      </c>
      <c r="F4" s="1750">
        <f>E4-C4</f>
        <v>1794103</v>
      </c>
    </row>
    <row r="5" spans="1:6" ht="13.7" customHeight="1" x14ac:dyDescent="0.2">
      <c r="A5" s="715" t="s">
        <v>870</v>
      </c>
      <c r="B5" s="1748">
        <f>'Revenues 9-14'!D5</f>
        <v>296660</v>
      </c>
      <c r="C5" s="585"/>
      <c r="D5" s="1751">
        <f t="shared" ref="D5:D18" si="0">B5-C5</f>
        <v>296660</v>
      </c>
      <c r="E5" s="585">
        <v>276915</v>
      </c>
      <c r="F5" s="1751">
        <f>E5-C5</f>
        <v>276915</v>
      </c>
    </row>
    <row r="6" spans="1:6" ht="13.7" customHeight="1" x14ac:dyDescent="0.2">
      <c r="A6" s="715" t="s">
        <v>411</v>
      </c>
      <c r="B6" s="1748">
        <f>'Revenues 9-14'!E5</f>
        <v>208772</v>
      </c>
      <c r="C6" s="585"/>
      <c r="D6" s="1751">
        <f t="shared" si="0"/>
        <v>208772</v>
      </c>
      <c r="E6" s="585">
        <v>152922</v>
      </c>
      <c r="F6" s="1751">
        <f t="shared" ref="F6:F18" si="1">E6-C6</f>
        <v>152922</v>
      </c>
    </row>
    <row r="7" spans="1:6" ht="13.7" customHeight="1" x14ac:dyDescent="0.2">
      <c r="A7" s="715" t="s">
        <v>155</v>
      </c>
      <c r="B7" s="1748">
        <f>'Revenues 9-14'!F5</f>
        <v>142397</v>
      </c>
      <c r="C7" s="585"/>
      <c r="D7" s="1751">
        <f t="shared" si="0"/>
        <v>142397</v>
      </c>
      <c r="E7" s="585">
        <v>132921</v>
      </c>
      <c r="F7" s="1751">
        <f t="shared" si="1"/>
        <v>132921</v>
      </c>
    </row>
    <row r="8" spans="1:6" ht="13.7" customHeight="1" x14ac:dyDescent="0.2">
      <c r="A8" s="715" t="s">
        <v>1179</v>
      </c>
      <c r="B8" s="1748">
        <f>'Revenues 9-14'!G5</f>
        <v>209702</v>
      </c>
      <c r="C8" s="585"/>
      <c r="D8" s="1751">
        <f t="shared" si="0"/>
        <v>209702</v>
      </c>
      <c r="E8" s="585">
        <v>188304</v>
      </c>
      <c r="F8" s="1751">
        <f t="shared" si="1"/>
        <v>188304</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59339</v>
      </c>
      <c r="C10" s="585"/>
      <c r="D10" s="1751">
        <f t="shared" si="0"/>
        <v>59339</v>
      </c>
      <c r="E10" s="585">
        <v>55383</v>
      </c>
      <c r="F10" s="1751">
        <f t="shared" si="1"/>
        <v>55383</v>
      </c>
    </row>
    <row r="11" spans="1:6" x14ac:dyDescent="0.2">
      <c r="A11" s="715" t="s">
        <v>409</v>
      </c>
      <c r="B11" s="1748">
        <f>'Revenues 9-14'!J5</f>
        <v>267348</v>
      </c>
      <c r="C11" s="585"/>
      <c r="D11" s="1751">
        <f t="shared" si="0"/>
        <v>267348</v>
      </c>
      <c r="E11" s="585">
        <v>232604</v>
      </c>
      <c r="F11" s="1751">
        <f t="shared" si="1"/>
        <v>232604</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59339</v>
      </c>
      <c r="C13" s="585"/>
      <c r="D13" s="1751">
        <f t="shared" si="0"/>
        <v>59339</v>
      </c>
      <c r="E13" s="585">
        <v>55383</v>
      </c>
      <c r="F13" s="1751">
        <f t="shared" si="1"/>
        <v>55383</v>
      </c>
    </row>
    <row r="14" spans="1:6" ht="13.7" customHeight="1" x14ac:dyDescent="0.2">
      <c r="A14" s="715" t="s">
        <v>410</v>
      </c>
      <c r="B14" s="1748">
        <f>SUM('Revenues 9-14'!C7:D7,'Revenues 9-14'!F7:H7)</f>
        <v>23743</v>
      </c>
      <c r="C14" s="585"/>
      <c r="D14" s="1751">
        <f t="shared" si="0"/>
        <v>23743</v>
      </c>
      <c r="E14" s="585">
        <v>22155</v>
      </c>
      <c r="F14" s="1751">
        <f t="shared" si="1"/>
        <v>22155</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152128</v>
      </c>
      <c r="C16" s="585"/>
      <c r="D16" s="1751">
        <f t="shared" si="0"/>
        <v>152128</v>
      </c>
      <c r="E16" s="585">
        <v>132921</v>
      </c>
      <c r="F16" s="1751">
        <f t="shared" si="1"/>
        <v>132921</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3333841</v>
      </c>
      <c r="C19" s="1749">
        <f>SUM(C4:C18)</f>
        <v>0</v>
      </c>
      <c r="D19" s="1749">
        <f>SUM(D4:D18)</f>
        <v>3333841</v>
      </c>
      <c r="E19" s="1749">
        <f>SUM(E4:E18)</f>
        <v>3043611</v>
      </c>
      <c r="F19" s="1749">
        <f>SUM(F4:F18)</f>
        <v>3043611</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0" colorId="8" zoomScale="110" zoomScaleNormal="110" workbookViewId="0">
      <selection activeCell="L33" sqref="L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1"/>
      <c r="C1" s="721"/>
    </row>
    <row r="2" spans="1:7" ht="33.75" x14ac:dyDescent="0.2">
      <c r="A2" s="2218" t="s">
        <v>1799</v>
      </c>
      <c r="B2" s="2219"/>
      <c r="C2" s="1882" t="s">
        <v>1953</v>
      </c>
      <c r="D2" s="723" t="s">
        <v>1954</v>
      </c>
      <c r="E2" s="723" t="s">
        <v>1955</v>
      </c>
      <c r="F2" s="1882" t="s">
        <v>1956</v>
      </c>
    </row>
    <row r="3" spans="1:7" ht="15.75" customHeight="1" x14ac:dyDescent="0.2">
      <c r="A3" s="2220" t="s">
        <v>1114</v>
      </c>
      <c r="B3" s="2221"/>
      <c r="C3" s="2214"/>
      <c r="D3" s="2215"/>
      <c r="E3" s="2215"/>
      <c r="F3" s="2216"/>
    </row>
    <row r="4" spans="1:7" ht="12.75" customHeight="1" thickBot="1" x14ac:dyDescent="0.25">
      <c r="A4" s="2208" t="s">
        <v>630</v>
      </c>
      <c r="B4" s="2209"/>
      <c r="C4" s="581"/>
      <c r="D4" s="581"/>
      <c r="E4" s="581"/>
      <c r="F4" s="1753">
        <f>SUM(C4+D4)-E4</f>
        <v>0</v>
      </c>
    </row>
    <row r="5" spans="1:7" ht="15.75" customHeight="1" thickTop="1" x14ac:dyDescent="0.2">
      <c r="A5" s="2212" t="s">
        <v>1110</v>
      </c>
      <c r="B5" s="2207"/>
      <c r="C5" s="2201"/>
      <c r="D5" s="2202"/>
      <c r="E5" s="2202"/>
      <c r="F5" s="2203"/>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04" t="s">
        <v>631</v>
      </c>
      <c r="B15" s="2205"/>
      <c r="C15" s="1753">
        <f>SUM(C6:C14)</f>
        <v>0</v>
      </c>
      <c r="D15" s="1753">
        <f>SUM(D6:D14)</f>
        <v>0</v>
      </c>
      <c r="E15" s="1753">
        <f>SUM(E6:E14)</f>
        <v>0</v>
      </c>
      <c r="F15" s="1753">
        <f>SUM(F6:F14)</f>
        <v>0</v>
      </c>
      <c r="G15" s="552"/>
    </row>
    <row r="16" spans="1:7" s="202" customFormat="1" ht="15.75" customHeight="1" thickTop="1" x14ac:dyDescent="0.2">
      <c r="A16" s="2217" t="s">
        <v>1111</v>
      </c>
      <c r="B16" s="2207"/>
      <c r="C16" s="2201"/>
      <c r="D16" s="2202"/>
      <c r="E16" s="2202"/>
      <c r="F16" s="2203"/>
    </row>
    <row r="17" spans="1:11" ht="12.75" customHeight="1" thickBot="1" x14ac:dyDescent="0.25">
      <c r="A17" s="2199" t="s">
        <v>64</v>
      </c>
      <c r="B17" s="2200"/>
      <c r="C17" s="726"/>
      <c r="D17" s="585"/>
      <c r="E17" s="726"/>
      <c r="F17" s="1753">
        <f>SUM(C17+D17)-E17</f>
        <v>0</v>
      </c>
    </row>
    <row r="18" spans="1:11" ht="12.75" customHeight="1" thickTop="1" thickBot="1" x14ac:dyDescent="0.25">
      <c r="A18" s="2199" t="s">
        <v>6</v>
      </c>
      <c r="B18" s="2200"/>
      <c r="C18" s="726"/>
      <c r="D18" s="585"/>
      <c r="E18" s="726"/>
      <c r="F18" s="1753">
        <f>SUM(C18+D18)-E18</f>
        <v>0</v>
      </c>
    </row>
    <row r="19" spans="1:11" ht="12.75" customHeight="1" thickTop="1" thickBot="1" x14ac:dyDescent="0.25">
      <c r="A19" s="2199" t="s">
        <v>388</v>
      </c>
      <c r="B19" s="2200"/>
      <c r="C19" s="726"/>
      <c r="D19" s="585"/>
      <c r="E19" s="726"/>
      <c r="F19" s="1753">
        <f>SUM(C19+D19)-E19</f>
        <v>0</v>
      </c>
    </row>
    <row r="20" spans="1:11" ht="12.75" customHeight="1" thickTop="1" thickBot="1" x14ac:dyDescent="0.25">
      <c r="A20" s="2199" t="s">
        <v>448</v>
      </c>
      <c r="B20" s="2200"/>
      <c r="C20" s="726"/>
      <c r="D20" s="585"/>
      <c r="E20" s="726"/>
      <c r="F20" s="1753">
        <f>SUM(C20+D20)-E20</f>
        <v>0</v>
      </c>
    </row>
    <row r="21" spans="1:11" ht="14.25" thickTop="1" thickBot="1" x14ac:dyDescent="0.25">
      <c r="A21" s="2204" t="s">
        <v>632</v>
      </c>
      <c r="B21" s="2205"/>
      <c r="C21" s="1753">
        <f>SUM(C17:C20)</f>
        <v>0</v>
      </c>
      <c r="D21" s="1753">
        <f>SUM(D17:D20)</f>
        <v>0</v>
      </c>
      <c r="E21" s="1753">
        <f>SUM(E17:E20)</f>
        <v>0</v>
      </c>
      <c r="F21" s="1753">
        <f>SUM(F17:F20)</f>
        <v>0</v>
      </c>
      <c r="G21" s="552"/>
    </row>
    <row r="22" spans="1:11" ht="15.75" customHeight="1" thickTop="1" x14ac:dyDescent="0.2">
      <c r="A22" s="2206" t="s">
        <v>1112</v>
      </c>
      <c r="B22" s="2207"/>
      <c r="C22" s="2201"/>
      <c r="D22" s="2202"/>
      <c r="E22" s="2202"/>
      <c r="F22" s="2203"/>
    </row>
    <row r="23" spans="1:11" ht="13.5" thickBot="1" x14ac:dyDescent="0.25">
      <c r="A23" s="2208" t="s">
        <v>633</v>
      </c>
      <c r="B23" s="2209"/>
      <c r="C23" s="581"/>
      <c r="D23" s="581"/>
      <c r="E23" s="581"/>
      <c r="F23" s="1753">
        <f>SUM(C23+D23)-E23</f>
        <v>0</v>
      </c>
      <c r="G23" s="552"/>
    </row>
    <row r="24" spans="1:11" ht="15.75" customHeight="1" thickTop="1" x14ac:dyDescent="0.2">
      <c r="A24" s="2206" t="s">
        <v>1113</v>
      </c>
      <c r="B24" s="2207"/>
      <c r="C24" s="2201"/>
      <c r="D24" s="2202"/>
      <c r="E24" s="2202"/>
      <c r="F24" s="2203"/>
    </row>
    <row r="25" spans="1:11" ht="13.5" thickBot="1" x14ac:dyDescent="0.25">
      <c r="A25" s="2208" t="s">
        <v>634</v>
      </c>
      <c r="B25" s="2209"/>
      <c r="C25" s="581"/>
      <c r="D25" s="581"/>
      <c r="E25" s="581"/>
      <c r="F25" s="1753">
        <f>SUM(C25+D25)-E25</f>
        <v>0</v>
      </c>
      <c r="G25" s="552"/>
    </row>
    <row r="26" spans="1:11" ht="15.75" customHeight="1" thickTop="1" x14ac:dyDescent="0.2">
      <c r="A26" s="2212" t="s">
        <v>657</v>
      </c>
      <c r="B26" s="2207"/>
      <c r="C26" s="727"/>
      <c r="D26" s="727"/>
      <c r="E26" s="727"/>
      <c r="F26" s="728"/>
    </row>
    <row r="27" spans="1:11" ht="13.5" thickBot="1" x14ac:dyDescent="0.25">
      <c r="A27" s="2204" t="s">
        <v>1070</v>
      </c>
      <c r="B27" s="2205"/>
      <c r="C27" s="585"/>
      <c r="D27" s="585"/>
      <c r="E27" s="585"/>
      <c r="F27" s="1753">
        <f>SUM(C27+D27)-E27</f>
        <v>0</v>
      </c>
      <c r="G27" s="552"/>
    </row>
    <row r="28" spans="1:11" ht="7.5" customHeight="1" thickTop="1" x14ac:dyDescent="0.2">
      <c r="A28" s="593"/>
    </row>
    <row r="29" spans="1:11" ht="23.25" customHeight="1" x14ac:dyDescent="0.2">
      <c r="A29" s="2210" t="s">
        <v>582</v>
      </c>
      <c r="B29" s="2211"/>
      <c r="C29" s="729"/>
      <c r="D29" s="729"/>
      <c r="E29" s="729"/>
      <c r="F29" s="729"/>
      <c r="G29" s="729"/>
      <c r="H29" s="729"/>
      <c r="I29" s="729"/>
      <c r="J29" s="729"/>
    </row>
    <row r="30" spans="1:11" ht="33.75" x14ac:dyDescent="0.2">
      <c r="A30" s="1527" t="s">
        <v>1071</v>
      </c>
      <c r="B30" s="730" t="s">
        <v>1124</v>
      </c>
      <c r="C30" s="1883" t="s">
        <v>583</v>
      </c>
      <c r="D30" s="1883" t="s">
        <v>1673</v>
      </c>
      <c r="E30" s="1883" t="s">
        <v>1957</v>
      </c>
      <c r="F30" s="1883" t="s">
        <v>1958</v>
      </c>
      <c r="G30" s="1883" t="s">
        <v>1908</v>
      </c>
      <c r="H30" s="1883" t="s">
        <v>1959</v>
      </c>
      <c r="I30" s="1883" t="s">
        <v>1960</v>
      </c>
      <c r="J30" s="1884" t="s">
        <v>2</v>
      </c>
      <c r="K30" s="731"/>
    </row>
    <row r="31" spans="1:11" ht="12" customHeight="1" x14ac:dyDescent="0.2">
      <c r="A31" s="732" t="s">
        <v>2107</v>
      </c>
      <c r="B31" s="733">
        <v>41087</v>
      </c>
      <c r="C31" s="734">
        <v>2750000</v>
      </c>
      <c r="D31" s="735">
        <v>3</v>
      </c>
      <c r="E31" s="734">
        <v>1955000</v>
      </c>
      <c r="F31" s="734"/>
      <c r="G31" s="734"/>
      <c r="H31" s="734">
        <v>1955000</v>
      </c>
      <c r="I31" s="1754">
        <f>((E31+F31)-H31)+G31</f>
        <v>0</v>
      </c>
      <c r="J31" s="734"/>
      <c r="K31" s="736"/>
    </row>
    <row r="32" spans="1:11" ht="12" customHeight="1" x14ac:dyDescent="0.2">
      <c r="A32" s="732" t="s">
        <v>2108</v>
      </c>
      <c r="B32" s="733">
        <v>43125</v>
      </c>
      <c r="C32" s="734">
        <v>167522</v>
      </c>
      <c r="D32" s="735">
        <v>7</v>
      </c>
      <c r="E32" s="734">
        <v>165117</v>
      </c>
      <c r="F32" s="734"/>
      <c r="G32" s="734"/>
      <c r="H32" s="734">
        <v>32494</v>
      </c>
      <c r="I32" s="1754">
        <f>((E32+F32)-H32)+G32</f>
        <v>132623</v>
      </c>
      <c r="J32" s="734">
        <f>I32</f>
        <v>132623</v>
      </c>
      <c r="K32" s="736"/>
    </row>
    <row r="33" spans="1:11" ht="12" customHeight="1" x14ac:dyDescent="0.2">
      <c r="A33" s="732" t="s">
        <v>2109</v>
      </c>
      <c r="B33" s="733">
        <v>43376</v>
      </c>
      <c r="C33" s="734">
        <v>845000</v>
      </c>
      <c r="D33" s="735">
        <v>1</v>
      </c>
      <c r="E33" s="734"/>
      <c r="F33" s="734">
        <v>845000</v>
      </c>
      <c r="G33" s="734"/>
      <c r="H33" s="734"/>
      <c r="I33" s="1754">
        <f t="shared" ref="I33:I48" si="1">((E33+F33)-H33)+G33</f>
        <v>845000</v>
      </c>
      <c r="J33" s="734">
        <f>845000-'Assets-Liab 5-6'!E4</f>
        <v>533846</v>
      </c>
      <c r="K33" s="736"/>
    </row>
    <row r="34" spans="1:11" ht="12" customHeight="1" x14ac:dyDescent="0.2">
      <c r="A34" s="732" t="s">
        <v>2110</v>
      </c>
      <c r="B34" s="733">
        <v>43376</v>
      </c>
      <c r="C34" s="734">
        <v>1155000</v>
      </c>
      <c r="D34" s="735">
        <v>4</v>
      </c>
      <c r="E34" s="734"/>
      <c r="F34" s="734">
        <v>1155000</v>
      </c>
      <c r="G34" s="734"/>
      <c r="H34" s="734"/>
      <c r="I34" s="1754">
        <f t="shared" si="1"/>
        <v>1155000</v>
      </c>
      <c r="J34" s="734">
        <v>1155000</v>
      </c>
      <c r="K34" s="737"/>
    </row>
    <row r="35" spans="1:11" ht="12" customHeight="1" x14ac:dyDescent="0.2">
      <c r="A35" s="732" t="s">
        <v>2111</v>
      </c>
      <c r="B35" s="733">
        <v>43567</v>
      </c>
      <c r="C35" s="738">
        <v>1848100</v>
      </c>
      <c r="D35" s="735">
        <v>3</v>
      </c>
      <c r="E35" s="738"/>
      <c r="F35" s="738">
        <v>1848100</v>
      </c>
      <c r="G35" s="738"/>
      <c r="H35" s="738"/>
      <c r="I35" s="1754">
        <f t="shared" si="1"/>
        <v>1848100</v>
      </c>
      <c r="J35" s="738">
        <v>1848100</v>
      </c>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6765622</v>
      </c>
      <c r="D49" s="745"/>
      <c r="E49" s="1754">
        <f t="shared" ref="E49:J49" si="2">SUM(E31:E48)</f>
        <v>2120117</v>
      </c>
      <c r="F49" s="1754">
        <f t="shared" si="2"/>
        <v>3848100</v>
      </c>
      <c r="G49" s="1754">
        <f t="shared" si="2"/>
        <v>0</v>
      </c>
      <c r="H49" s="1754">
        <f t="shared" si="2"/>
        <v>1987494</v>
      </c>
      <c r="I49" s="1754">
        <f t="shared" si="2"/>
        <v>3980723</v>
      </c>
      <c r="J49" s="1754">
        <f t="shared" si="2"/>
        <v>3669569</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3" t="s">
        <v>584</v>
      </c>
      <c r="C52" s="2194"/>
      <c r="D52" s="2194"/>
      <c r="E52" s="749" t="s">
        <v>845</v>
      </c>
      <c r="F52" s="2195"/>
      <c r="G52" s="2196"/>
      <c r="H52" s="736"/>
      <c r="I52" s="736"/>
      <c r="J52" s="746"/>
    </row>
    <row r="53" spans="1:11" ht="11.25" customHeight="1" x14ac:dyDescent="0.2">
      <c r="A53" s="750" t="s">
        <v>913</v>
      </c>
      <c r="B53" s="751" t="s">
        <v>951</v>
      </c>
      <c r="C53" s="746"/>
      <c r="D53" s="737"/>
      <c r="E53" s="749" t="s">
        <v>497</v>
      </c>
      <c r="F53" s="2197"/>
      <c r="G53" s="2198"/>
      <c r="H53" s="736"/>
      <c r="I53" s="736"/>
      <c r="J53" s="746"/>
    </row>
    <row r="54" spans="1:11" ht="11.25" customHeight="1" x14ac:dyDescent="0.2">
      <c r="A54" s="752" t="s">
        <v>914</v>
      </c>
      <c r="B54" s="747" t="s">
        <v>952</v>
      </c>
      <c r="C54" s="746"/>
      <c r="D54" s="737"/>
      <c r="E54" s="749" t="s">
        <v>498</v>
      </c>
      <c r="F54" s="2197"/>
      <c r="G54" s="219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856</v>
      </c>
      <c r="B1" s="2223"/>
      <c r="C1" s="2223"/>
      <c r="D1" s="2223"/>
      <c r="E1" s="2223"/>
      <c r="F1" s="2223"/>
      <c r="G1" s="2224"/>
      <c r="H1" s="1528"/>
      <c r="I1" s="760"/>
      <c r="J1" s="433"/>
    </row>
    <row r="2" spans="1:11" ht="26.25" x14ac:dyDescent="0.2">
      <c r="A2" s="2241" t="s">
        <v>1677</v>
      </c>
      <c r="B2" s="2242"/>
      <c r="C2" s="2242"/>
      <c r="D2" s="2242"/>
      <c r="E2" s="2243"/>
      <c r="F2" s="761" t="s">
        <v>904</v>
      </c>
      <c r="G2" s="762" t="s">
        <v>1674</v>
      </c>
      <c r="H2" s="762" t="s">
        <v>410</v>
      </c>
      <c r="I2" s="762" t="s">
        <v>1158</v>
      </c>
      <c r="J2" s="762" t="s">
        <v>1809</v>
      </c>
      <c r="K2" s="762" t="s">
        <v>138</v>
      </c>
    </row>
    <row r="3" spans="1:11" x14ac:dyDescent="0.2">
      <c r="A3" s="2244" t="s">
        <v>1961</v>
      </c>
      <c r="B3" s="2245"/>
      <c r="C3" s="2245"/>
      <c r="D3" s="2245"/>
      <c r="E3" s="2246"/>
      <c r="F3" s="763"/>
      <c r="G3" s="764"/>
      <c r="H3" s="764"/>
      <c r="I3" s="764"/>
      <c r="J3" s="765"/>
      <c r="K3" s="765"/>
    </row>
    <row r="4" spans="1:11" x14ac:dyDescent="0.2">
      <c r="A4" s="2247" t="s">
        <v>369</v>
      </c>
      <c r="B4" s="2248"/>
      <c r="C4" s="2248"/>
      <c r="D4" s="2248"/>
      <c r="E4" s="2194"/>
      <c r="F4" s="766"/>
      <c r="G4" s="767"/>
      <c r="H4" s="768"/>
      <c r="I4" s="767"/>
      <c r="J4" s="769"/>
      <c r="K4" s="769"/>
    </row>
    <row r="5" spans="1:11" x14ac:dyDescent="0.2">
      <c r="A5" s="2225" t="s">
        <v>1069</v>
      </c>
      <c r="B5" s="2226"/>
      <c r="C5" s="2226"/>
      <c r="D5" s="2226"/>
      <c r="E5" s="2227"/>
      <c r="F5" s="770" t="s">
        <v>848</v>
      </c>
      <c r="G5" s="771"/>
      <c r="H5" s="764">
        <f>'Revenues 9-14'!D7</f>
        <v>23743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5" t="s">
        <v>1810</v>
      </c>
      <c r="B10" s="2226"/>
      <c r="C10" s="2226"/>
      <c r="D10" s="2226"/>
      <c r="E10" s="2228"/>
      <c r="F10" s="783" t="s">
        <v>862</v>
      </c>
      <c r="G10" s="782"/>
      <c r="H10" s="784"/>
      <c r="I10" s="764"/>
      <c r="J10" s="765"/>
      <c r="K10" s="765"/>
    </row>
    <row r="11" spans="1:11" x14ac:dyDescent="0.2">
      <c r="A11" s="2225" t="s">
        <v>160</v>
      </c>
      <c r="B11" s="2226"/>
      <c r="C11" s="2226"/>
      <c r="D11" s="2226"/>
      <c r="E11" s="2227"/>
      <c r="F11" s="770" t="s">
        <v>852</v>
      </c>
      <c r="G11" s="771"/>
      <c r="H11" s="764"/>
      <c r="I11" s="764"/>
      <c r="J11" s="765"/>
      <c r="K11" s="773"/>
    </row>
    <row r="12" spans="1:11" ht="13.5" thickBot="1" x14ac:dyDescent="0.25">
      <c r="A12" s="2252" t="s">
        <v>905</v>
      </c>
      <c r="B12" s="2253"/>
      <c r="C12" s="2253"/>
      <c r="D12" s="2253"/>
      <c r="E12" s="2254"/>
      <c r="F12" s="1755"/>
      <c r="G12" s="1756">
        <f>SUM(G5:G11)</f>
        <v>0</v>
      </c>
      <c r="H12" s="1756">
        <f>SUM(H5:H11)</f>
        <v>23743</v>
      </c>
      <c r="I12" s="1756">
        <f>SUM(I5:I11)</f>
        <v>0</v>
      </c>
      <c r="J12" s="1756">
        <f>SUM(J5:J11)</f>
        <v>0</v>
      </c>
      <c r="K12" s="1756">
        <f>SUM(K5:K11)</f>
        <v>0</v>
      </c>
    </row>
    <row r="13" spans="1:11" ht="13.5" thickTop="1" x14ac:dyDescent="0.2">
      <c r="A13" s="2249" t="s">
        <v>370</v>
      </c>
      <c r="B13" s="2250"/>
      <c r="C13" s="2250"/>
      <c r="D13" s="2250"/>
      <c r="E13" s="2251"/>
      <c r="F13" s="785"/>
      <c r="G13" s="786"/>
      <c r="H13" s="787"/>
      <c r="I13" s="788"/>
      <c r="J13" s="788"/>
      <c r="K13" s="788"/>
    </row>
    <row r="14" spans="1:11" x14ac:dyDescent="0.2">
      <c r="A14" s="2232" t="s">
        <v>456</v>
      </c>
      <c r="B14" s="2232"/>
      <c r="C14" s="2232"/>
      <c r="D14" s="2232"/>
      <c r="E14" s="2233"/>
      <c r="F14" s="789" t="s">
        <v>854</v>
      </c>
      <c r="G14" s="782"/>
      <c r="H14" s="764">
        <f>H5</f>
        <v>23743</v>
      </c>
      <c r="I14" s="771"/>
      <c r="J14" s="773"/>
      <c r="K14" s="765"/>
    </row>
    <row r="15" spans="1:11" x14ac:dyDescent="0.2">
      <c r="A15" s="2226" t="s">
        <v>4</v>
      </c>
      <c r="B15" s="2226"/>
      <c r="C15" s="2226"/>
      <c r="D15" s="2226"/>
      <c r="E15" s="2227"/>
      <c r="F15" s="789" t="s">
        <v>855</v>
      </c>
      <c r="G15" s="771"/>
      <c r="H15" s="764"/>
      <c r="I15" s="764"/>
      <c r="J15" s="765"/>
      <c r="K15" s="765"/>
    </row>
    <row r="16" spans="1:11" x14ac:dyDescent="0.2">
      <c r="A16" s="2226" t="s">
        <v>298</v>
      </c>
      <c r="B16" s="2226"/>
      <c r="C16" s="2226"/>
      <c r="D16" s="2226"/>
      <c r="E16" s="2227"/>
      <c r="F16" s="789" t="s">
        <v>923</v>
      </c>
      <c r="G16" s="772"/>
      <c r="H16" s="767"/>
      <c r="I16" s="767"/>
      <c r="J16" s="769"/>
      <c r="K16" s="769"/>
    </row>
    <row r="17" spans="1:11" x14ac:dyDescent="0.2">
      <c r="A17" s="2257" t="s">
        <v>935</v>
      </c>
      <c r="B17" s="2257"/>
      <c r="C17" s="2257"/>
      <c r="D17" s="2257"/>
      <c r="E17" s="2258"/>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34" t="s">
        <v>1806</v>
      </c>
      <c r="B19" s="2234"/>
      <c r="C19" s="2234"/>
      <c r="D19" s="2234"/>
      <c r="E19" s="2235"/>
      <c r="F19" s="789" t="s">
        <v>933</v>
      </c>
      <c r="G19" s="782"/>
      <c r="H19" s="782"/>
      <c r="I19" s="782"/>
      <c r="J19" s="765"/>
      <c r="K19" s="795"/>
    </row>
    <row r="20" spans="1:11" x14ac:dyDescent="0.2">
      <c r="A20" s="2236" t="s">
        <v>1811</v>
      </c>
      <c r="B20" s="2237"/>
      <c r="C20" s="2237"/>
      <c r="D20" s="2237"/>
      <c r="E20" s="2238"/>
      <c r="F20" s="789" t="s">
        <v>934</v>
      </c>
      <c r="G20" s="782"/>
      <c r="H20" s="782"/>
      <c r="I20" s="782"/>
      <c r="J20" s="765"/>
      <c r="K20" s="795"/>
    </row>
    <row r="21" spans="1:11" ht="13.5" thickBot="1" x14ac:dyDescent="0.25">
      <c r="A21" s="2255" t="s">
        <v>638</v>
      </c>
      <c r="B21" s="2255"/>
      <c r="C21" s="2255"/>
      <c r="D21" s="2255"/>
      <c r="E21" s="2255"/>
      <c r="F21" s="1757"/>
      <c r="G21" s="792"/>
      <c r="H21" s="796"/>
      <c r="I21" s="796"/>
      <c r="J21" s="1758">
        <f>SUM(J18:J20)</f>
        <v>0</v>
      </c>
      <c r="K21" s="793"/>
    </row>
    <row r="22" spans="1:11" ht="13.5" thickTop="1" x14ac:dyDescent="0.2">
      <c r="A22" s="2226" t="s">
        <v>1812</v>
      </c>
      <c r="B22" s="2226"/>
      <c r="C22" s="2226"/>
      <c r="D22" s="2226"/>
      <c r="E22" s="2227"/>
      <c r="F22" s="789" t="s">
        <v>862</v>
      </c>
      <c r="G22" s="782"/>
      <c r="H22" s="764"/>
      <c r="I22" s="764"/>
      <c r="J22" s="797"/>
      <c r="K22" s="765"/>
    </row>
    <row r="23" spans="1:11" ht="13.5" thickBot="1" x14ac:dyDescent="0.25">
      <c r="A23" s="2256" t="s">
        <v>906</v>
      </c>
      <c r="B23" s="2255"/>
      <c r="C23" s="2255"/>
      <c r="D23" s="2255"/>
      <c r="E23" s="2255"/>
      <c r="F23" s="1759"/>
      <c r="G23" s="1756">
        <f>SUM(G14:G16,G21,G22)</f>
        <v>0</v>
      </c>
      <c r="H23" s="1756">
        <f>SUM(H14:H16,H21,H22)</f>
        <v>23743</v>
      </c>
      <c r="I23" s="1756">
        <f>SUM(I14:I16,I21,I22)</f>
        <v>0</v>
      </c>
      <c r="J23" s="1756">
        <f>SUM(J14:J16,J21,J22)</f>
        <v>0</v>
      </c>
      <c r="K23" s="1756">
        <f>SUM(K14:K16,K21,K22)</f>
        <v>0</v>
      </c>
    </row>
    <row r="24" spans="1:11" ht="14.25" thickTop="1" thickBot="1" x14ac:dyDescent="0.25">
      <c r="A24" s="2256" t="s">
        <v>1962</v>
      </c>
      <c r="B24" s="2255"/>
      <c r="C24" s="2255"/>
      <c r="D24" s="2255"/>
      <c r="E24" s="2255"/>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1907</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2098</v>
      </c>
      <c r="E30" s="808" t="s">
        <v>768</v>
      </c>
      <c r="F30" s="202"/>
      <c r="G30" s="805"/>
    </row>
    <row r="31" spans="1:11" x14ac:dyDescent="0.2">
      <c r="A31" s="809"/>
      <c r="D31" s="237"/>
      <c r="E31" s="810" t="s">
        <v>769</v>
      </c>
      <c r="F31" s="811" t="s">
        <v>539</v>
      </c>
      <c r="G31" s="764"/>
      <c r="H31" s="2229"/>
      <c r="I31" s="2230"/>
      <c r="J31" s="2230"/>
      <c r="K31" s="2230"/>
    </row>
    <row r="32" spans="1:11" x14ac:dyDescent="0.2">
      <c r="A32" s="809"/>
      <c r="B32" s="237"/>
      <c r="C32" s="237"/>
      <c r="D32" s="237"/>
      <c r="E32" s="805"/>
      <c r="F32" s="811" t="s">
        <v>540</v>
      </c>
      <c r="G32" s="764"/>
      <c r="H32" s="2231"/>
      <c r="I32" s="2230"/>
      <c r="J32" s="2230"/>
      <c r="K32" s="2230"/>
    </row>
    <row r="33" spans="1:11" ht="1.5" customHeight="1" x14ac:dyDescent="0.2">
      <c r="A33" s="812" t="s">
        <v>1169</v>
      </c>
      <c r="B33" s="364"/>
      <c r="C33" s="364"/>
      <c r="D33" s="364"/>
      <c r="E33" s="364"/>
      <c r="F33" s="364"/>
      <c r="G33" s="813"/>
      <c r="H33" s="2231"/>
      <c r="I33" s="2230"/>
      <c r="J33" s="2230"/>
      <c r="K33" s="2230"/>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6" t="s">
        <v>541</v>
      </c>
      <c r="B41" s="2239"/>
      <c r="C41" s="2239"/>
      <c r="D41" s="2239"/>
      <c r="E41" s="2239"/>
      <c r="F41" s="224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1807</v>
      </c>
      <c r="B46" s="408" t="s">
        <v>1675</v>
      </c>
    </row>
    <row r="47" spans="1:11" s="823" customFormat="1" ht="12.75" customHeight="1" x14ac:dyDescent="0.2">
      <c r="A47" s="821"/>
      <c r="B47" s="822" t="s">
        <v>1676</v>
      </c>
      <c r="E47" s="822"/>
      <c r="K47" s="824"/>
    </row>
    <row r="48" spans="1:11" ht="12.75" customHeight="1" x14ac:dyDescent="0.2">
      <c r="A48" s="1530"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26" sqref="K2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1906</v>
      </c>
      <c r="B1" s="2262"/>
      <c r="C1" s="2263"/>
      <c r="D1" s="826"/>
      <c r="E1" s="827"/>
      <c r="F1" s="827"/>
      <c r="G1" s="828"/>
      <c r="H1" s="829"/>
      <c r="I1" s="830"/>
      <c r="J1" s="2259"/>
      <c r="K1" s="2260"/>
      <c r="L1" s="2260"/>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365455</v>
      </c>
      <c r="D5" s="841"/>
      <c r="E5" s="841"/>
      <c r="F5" s="1758">
        <f>(C5+D5)-E5</f>
        <v>365455</v>
      </c>
      <c r="G5" s="837"/>
      <c r="H5" s="842"/>
      <c r="I5" s="842"/>
      <c r="J5" s="842"/>
      <c r="K5" s="793"/>
      <c r="L5" s="1767">
        <f>F5-K5</f>
        <v>365455</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15454418</v>
      </c>
      <c r="D8" s="844">
        <f>-378600+3644445</f>
        <v>3265845</v>
      </c>
      <c r="E8" s="844"/>
      <c r="F8" s="1758">
        <f>(C8+D8)-E8</f>
        <v>18720263</v>
      </c>
      <c r="G8" s="843">
        <v>50</v>
      </c>
      <c r="H8" s="765">
        <v>7124475</v>
      </c>
      <c r="I8" s="765">
        <v>386216</v>
      </c>
      <c r="J8" s="765"/>
      <c r="K8" s="1767">
        <f>(H8+I8)-J8</f>
        <v>7510691</v>
      </c>
      <c r="L8" s="1767">
        <f>F8-K8</f>
        <v>11209572</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285718</v>
      </c>
      <c r="D10" s="846"/>
      <c r="E10" s="846"/>
      <c r="F10" s="1762">
        <f>(C10+D10)-E10</f>
        <v>285718</v>
      </c>
      <c r="G10" s="843">
        <v>20</v>
      </c>
      <c r="H10" s="847">
        <v>227902</v>
      </c>
      <c r="I10" s="847">
        <v>5147</v>
      </c>
      <c r="J10" s="847"/>
      <c r="K10" s="1767">
        <f>(H10+I10)-J10</f>
        <v>233049</v>
      </c>
      <c r="L10" s="1767">
        <f>F10-K10</f>
        <v>52669</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2560944</v>
      </c>
      <c r="D12" s="844">
        <v>162130</v>
      </c>
      <c r="E12" s="844"/>
      <c r="F12" s="1758">
        <f>(C12+D12)-E12</f>
        <v>2723074</v>
      </c>
      <c r="G12" s="843">
        <v>10</v>
      </c>
      <c r="H12" s="765">
        <v>1916396</v>
      </c>
      <c r="I12" s="765">
        <v>156950</v>
      </c>
      <c r="J12" s="765"/>
      <c r="K12" s="1767">
        <f>(H12+I12)-J12</f>
        <v>2073346</v>
      </c>
      <c r="L12" s="1767">
        <f>F12-K12</f>
        <v>649728</v>
      </c>
    </row>
    <row r="13" spans="1:14" ht="14.25" thickTop="1" thickBot="1" x14ac:dyDescent="0.25">
      <c r="A13" s="848" t="s">
        <v>1122</v>
      </c>
      <c r="B13" s="840">
        <v>252</v>
      </c>
      <c r="C13" s="844">
        <v>24827</v>
      </c>
      <c r="D13" s="844">
        <v>25758</v>
      </c>
      <c r="E13" s="844"/>
      <c r="F13" s="1758">
        <f>(C13+D13)-E13</f>
        <v>50585</v>
      </c>
      <c r="G13" s="843">
        <v>5</v>
      </c>
      <c r="H13" s="765">
        <v>23810</v>
      </c>
      <c r="I13" s="765">
        <v>2568</v>
      </c>
      <c r="J13" s="765"/>
      <c r="K13" s="1767">
        <f>(H13+I13)-J13</f>
        <v>26378</v>
      </c>
      <c r="L13" s="1767">
        <f>F13-K13</f>
        <v>24207</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528</v>
      </c>
      <c r="B15" s="1628">
        <v>260</v>
      </c>
      <c r="C15" s="844"/>
      <c r="D15" s="844">
        <v>374055</v>
      </c>
      <c r="E15" s="844"/>
      <c r="F15" s="1758">
        <f>(C15+D15)-E15</f>
        <v>374055</v>
      </c>
      <c r="G15" s="849" t="s">
        <v>862</v>
      </c>
      <c r="H15" s="781"/>
      <c r="I15" s="781"/>
      <c r="J15" s="781"/>
      <c r="K15" s="781"/>
      <c r="L15" s="1767">
        <f>F15-K15</f>
        <v>374055</v>
      </c>
    </row>
    <row r="16" spans="1:14" ht="15" customHeight="1" thickTop="1" thickBot="1" x14ac:dyDescent="0.25">
      <c r="A16" s="1763" t="s">
        <v>643</v>
      </c>
      <c r="B16" s="1764">
        <v>200</v>
      </c>
      <c r="C16" s="1758">
        <f>SUM(C3,C5:C6,C8:C10,C12:C15)</f>
        <v>18691362</v>
      </c>
      <c r="D16" s="1758">
        <f>SUM(D3,D5:D6,D8:D10,D12:D15)</f>
        <v>3827788</v>
      </c>
      <c r="E16" s="1758">
        <f>SUM(E3,E5:E6,E8:E10,E12:E15)</f>
        <v>0</v>
      </c>
      <c r="F16" s="1758">
        <f>SUM(F3,F5:F6,F8:F10,F12:F15)</f>
        <v>22519150</v>
      </c>
      <c r="G16" s="843"/>
      <c r="H16" s="1758">
        <f>SUM(H3,H6,H8:H10,H12:H14,)</f>
        <v>9292583</v>
      </c>
      <c r="I16" s="1758">
        <f>SUM(I3,I6,I8:I10,I12:I14,)</f>
        <v>550881</v>
      </c>
      <c r="J16" s="1758">
        <f>SUM(J3,J6,J8:J10,J12:J14,)</f>
        <v>0</v>
      </c>
      <c r="K16" s="1758">
        <f>(H16+I16)-J16</f>
        <v>9843464</v>
      </c>
      <c r="L16" s="1758">
        <f>F16-K16</f>
        <v>12675686</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2442</v>
      </c>
      <c r="G17" s="837">
        <v>10</v>
      </c>
      <c r="H17" s="769"/>
      <c r="I17" s="1767">
        <f>F17/G17</f>
        <v>244.2</v>
      </c>
      <c r="J17" s="769"/>
      <c r="K17" s="795"/>
      <c r="L17" s="795"/>
    </row>
    <row r="18" spans="1:12" ht="14.25" thickTop="1" thickBot="1" x14ac:dyDescent="0.25">
      <c r="A18" s="1765" t="s">
        <v>685</v>
      </c>
      <c r="B18" s="1766"/>
      <c r="C18" s="771"/>
      <c r="D18" s="771"/>
      <c r="E18" s="771"/>
      <c r="F18" s="850"/>
      <c r="G18" s="851"/>
      <c r="H18" s="773"/>
      <c r="I18" s="1758">
        <f>SUM(I16,I17)</f>
        <v>551125.19999999995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1" activePane="bottomLeft" state="frozen"/>
      <selection activeCell="A47" sqref="A47"/>
      <selection pane="bottomLeft" activeCell="C189" sqref="C18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1972</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11694267</v>
      </c>
      <c r="G8" s="865"/>
    </row>
    <row r="9" spans="1:7" x14ac:dyDescent="0.2">
      <c r="A9" s="869" t="s">
        <v>460</v>
      </c>
      <c r="B9" s="870" t="s">
        <v>1874</v>
      </c>
      <c r="C9" s="871"/>
      <c r="D9" s="869" t="s">
        <v>501</v>
      </c>
      <c r="E9" s="868"/>
      <c r="F9" s="1907">
        <f>'Expenditures 15-22'!K151</f>
        <v>430180</v>
      </c>
      <c r="G9" s="872"/>
    </row>
    <row r="10" spans="1:7" x14ac:dyDescent="0.2">
      <c r="A10" s="869" t="s">
        <v>499</v>
      </c>
      <c r="B10" s="870" t="s">
        <v>1875</v>
      </c>
      <c r="C10" s="871"/>
      <c r="D10" s="869" t="s">
        <v>501</v>
      </c>
      <c r="E10" s="868"/>
      <c r="F10" s="1907">
        <f>'Expenditures 15-22'!K174</f>
        <v>2123250</v>
      </c>
      <c r="G10" s="872"/>
    </row>
    <row r="11" spans="1:7" x14ac:dyDescent="0.2">
      <c r="A11" s="869" t="s">
        <v>461</v>
      </c>
      <c r="B11" s="870" t="s">
        <v>1876</v>
      </c>
      <c r="C11" s="871"/>
      <c r="D11" s="869" t="s">
        <v>501</v>
      </c>
      <c r="E11" s="868"/>
      <c r="F11" s="1907">
        <f>'Expenditures 15-22'!K210</f>
        <v>716386</v>
      </c>
      <c r="G11" s="872"/>
    </row>
    <row r="12" spans="1:7" x14ac:dyDescent="0.2">
      <c r="A12" s="869" t="s">
        <v>462</v>
      </c>
      <c r="B12" s="870" t="s">
        <v>1877</v>
      </c>
      <c r="C12" s="871"/>
      <c r="D12" s="869" t="s">
        <v>501</v>
      </c>
      <c r="E12" s="868"/>
      <c r="F12" s="1907">
        <f>'Expenditures 15-22'!K295</f>
        <v>513944</v>
      </c>
      <c r="G12" s="872"/>
    </row>
    <row r="13" spans="1:7" x14ac:dyDescent="0.2">
      <c r="A13" s="869" t="s">
        <v>106</v>
      </c>
      <c r="B13" s="870" t="s">
        <v>1878</v>
      </c>
      <c r="C13" s="871"/>
      <c r="D13" s="869" t="s">
        <v>501</v>
      </c>
      <c r="E13" s="868"/>
      <c r="F13" s="1907">
        <f>'Expenditures 15-22'!K342</f>
        <v>260391</v>
      </c>
      <c r="G13" s="873"/>
    </row>
    <row r="14" spans="1:7" ht="12" customHeight="1" thickBot="1" x14ac:dyDescent="0.25">
      <c r="A14" s="1768"/>
      <c r="B14" s="1769"/>
      <c r="C14" s="1770"/>
      <c r="D14" s="1771" t="s">
        <v>501</v>
      </c>
      <c r="E14" s="1772" t="s">
        <v>958</v>
      </c>
      <c r="F14" s="1773">
        <f>SUM(F8:F13)</f>
        <v>15738418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2">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1999</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7292</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6500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65570</v>
      </c>
      <c r="G52" s="865"/>
    </row>
    <row r="53" spans="1:7" x14ac:dyDescent="0.2">
      <c r="A53" s="869" t="s">
        <v>459</v>
      </c>
      <c r="B53" s="869" t="s">
        <v>1475</v>
      </c>
      <c r="C53" s="889">
        <f>'Expenditures 15-22'!B102</f>
        <v>4000</v>
      </c>
      <c r="D53" s="888" t="str">
        <f>'Expenditures 15-22'!A102</f>
        <v>Total Payments to Other Govt Units</v>
      </c>
      <c r="E53" s="868"/>
      <c r="F53" s="1911">
        <f>'Expenditures 15-22'!K102</f>
        <v>500894</v>
      </c>
      <c r="G53" s="865"/>
    </row>
    <row r="54" spans="1:7" x14ac:dyDescent="0.2">
      <c r="A54" s="869" t="s">
        <v>459</v>
      </c>
      <c r="B54" s="869" t="s">
        <v>1476</v>
      </c>
      <c r="C54" s="889" t="s">
        <v>982</v>
      </c>
      <c r="D54" s="885" t="s">
        <v>1095</v>
      </c>
      <c r="E54" s="868"/>
      <c r="F54" s="1911">
        <f>'Expenditures 15-22'!G114</f>
        <v>119538</v>
      </c>
      <c r="G54" s="865"/>
    </row>
    <row r="55" spans="1:7" x14ac:dyDescent="0.2">
      <c r="A55" s="869" t="s">
        <v>459</v>
      </c>
      <c r="B55" s="869" t="s">
        <v>1477</v>
      </c>
      <c r="C55" s="889" t="s">
        <v>982</v>
      </c>
      <c r="D55" s="885" t="s">
        <v>291</v>
      </c>
      <c r="E55" s="868"/>
      <c r="F55" s="1911">
        <f>'Expenditures 15-22'!I114</f>
        <v>2442</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1">
        <f>'Expenditures 15-22'!K139</f>
        <v>0</v>
      </c>
      <c r="G57" s="865"/>
    </row>
    <row r="58" spans="1:7" x14ac:dyDescent="0.2">
      <c r="A58" s="869" t="s">
        <v>460</v>
      </c>
      <c r="B58" s="869" t="s">
        <v>1880</v>
      </c>
      <c r="C58" s="886" t="s">
        <v>982</v>
      </c>
      <c r="D58" s="885" t="s">
        <v>1095</v>
      </c>
      <c r="E58" s="868"/>
      <c r="F58" s="1913">
        <f>'Expenditures 15-22'!G151</f>
        <v>119629</v>
      </c>
      <c r="G58" s="865"/>
    </row>
    <row r="59" spans="1:7" x14ac:dyDescent="0.2">
      <c r="A59" s="893" t="s">
        <v>460</v>
      </c>
      <c r="B59" s="856" t="s">
        <v>1881</v>
      </c>
      <c r="C59" s="894" t="s">
        <v>982</v>
      </c>
      <c r="D59" s="856" t="s">
        <v>291</v>
      </c>
      <c r="F59" s="1914">
        <f>'Expenditures 15-22'!I151</f>
        <v>0</v>
      </c>
      <c r="G59" s="865"/>
    </row>
    <row r="60" spans="1:7" x14ac:dyDescent="0.2">
      <c r="A60" s="893" t="s">
        <v>499</v>
      </c>
      <c r="B60" s="856" t="s">
        <v>1882</v>
      </c>
      <c r="C60" s="894">
        <v>4000</v>
      </c>
      <c r="D60" s="856" t="s">
        <v>312</v>
      </c>
      <c r="F60" s="1912">
        <f>'Expenditures 15-22'!K160</f>
        <v>0</v>
      </c>
      <c r="G60" s="865"/>
    </row>
    <row r="61" spans="1:7" x14ac:dyDescent="0.2">
      <c r="A61" s="895" t="s">
        <v>499</v>
      </c>
      <c r="B61" s="895" t="s">
        <v>1883</v>
      </c>
      <c r="C61" s="896" t="str">
        <f>'Expenditures 15-22'!B170</f>
        <v>5300</v>
      </c>
      <c r="D61" s="897" t="s">
        <v>311</v>
      </c>
      <c r="E61" s="879"/>
      <c r="F61" s="1911">
        <f>'Expenditures 15-22'!K170</f>
        <v>1987494</v>
      </c>
      <c r="G61" s="865"/>
    </row>
    <row r="62" spans="1:7" x14ac:dyDescent="0.2">
      <c r="A62" s="869" t="s">
        <v>461</v>
      </c>
      <c r="B62" s="869" t="s">
        <v>1884</v>
      </c>
      <c r="C62" s="886">
        <f>'Expenditures 15-22'!B185</f>
        <v>3000</v>
      </c>
      <c r="D62" s="876" t="s">
        <v>449</v>
      </c>
      <c r="E62" s="868"/>
      <c r="F62" s="1911">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1886</v>
      </c>
      <c r="C64" s="896" t="str">
        <f>'Expenditures 15-22'!B206</f>
        <v>5300</v>
      </c>
      <c r="D64" s="892" t="s">
        <v>311</v>
      </c>
      <c r="E64" s="868"/>
      <c r="F64" s="1911">
        <f>'Expenditures 15-22'!K206</f>
        <v>0</v>
      </c>
      <c r="G64" s="865"/>
    </row>
    <row r="65" spans="1:8" x14ac:dyDescent="0.2">
      <c r="A65" s="869" t="s">
        <v>461</v>
      </c>
      <c r="B65" s="869" t="s">
        <v>1887</v>
      </c>
      <c r="C65" s="886" t="s">
        <v>982</v>
      </c>
      <c r="D65" s="885" t="s">
        <v>1095</v>
      </c>
      <c r="E65" s="868"/>
      <c r="F65" s="1911">
        <f>'Expenditures 15-22'!G210</f>
        <v>25758</v>
      </c>
      <c r="G65" s="865"/>
    </row>
    <row r="66" spans="1:8" x14ac:dyDescent="0.2">
      <c r="A66" s="869" t="s">
        <v>461</v>
      </c>
      <c r="B66" s="869" t="s">
        <v>1888</v>
      </c>
      <c r="C66" s="886" t="s">
        <v>982</v>
      </c>
      <c r="D66" s="885" t="s">
        <v>291</v>
      </c>
      <c r="E66" s="868"/>
      <c r="F66" s="1911">
        <f>'Expenditures 15-22'!I210</f>
        <v>0</v>
      </c>
      <c r="G66" s="865"/>
    </row>
    <row r="67" spans="1:8" x14ac:dyDescent="0.2">
      <c r="A67" s="869" t="s">
        <v>462</v>
      </c>
      <c r="B67" s="869" t="s">
        <v>1889</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1891</v>
      </c>
      <c r="C70" s="886">
        <f>'Expenditures 15-22'!B221</f>
        <v>1300</v>
      </c>
      <c r="D70" s="887" t="str">
        <f>'Expenditures 15-22'!A221</f>
        <v>Adult/Continuing Education Programs</v>
      </c>
      <c r="E70" s="868"/>
      <c r="F70" s="1911">
        <f>'Expenditures 15-22'!K221</f>
        <v>0</v>
      </c>
      <c r="G70" s="865"/>
    </row>
    <row r="71" spans="1:8" x14ac:dyDescent="0.2">
      <c r="A71" s="869" t="s">
        <v>462</v>
      </c>
      <c r="B71" s="869" t="s">
        <v>1892</v>
      </c>
      <c r="C71" s="886">
        <f>'Expenditures 15-22'!B224</f>
        <v>1600</v>
      </c>
      <c r="D71" s="887" t="str">
        <f>'Expenditures 15-22'!A224</f>
        <v>Summer School Programs</v>
      </c>
      <c r="E71" s="868"/>
      <c r="F71" s="1911">
        <f>'Expenditures 15-22'!K224</f>
        <v>0</v>
      </c>
      <c r="G71" s="865"/>
    </row>
    <row r="72" spans="1:8" x14ac:dyDescent="0.2">
      <c r="A72" s="869" t="s">
        <v>462</v>
      </c>
      <c r="B72" s="869" t="s">
        <v>1893</v>
      </c>
      <c r="C72" s="886">
        <f>'Expenditures 15-22'!B280</f>
        <v>3000</v>
      </c>
      <c r="D72" s="876" t="s">
        <v>449</v>
      </c>
      <c r="E72" s="868"/>
      <c r="F72" s="1911">
        <f>'Expenditures 15-22'!K280</f>
        <v>8156</v>
      </c>
      <c r="G72" s="865"/>
    </row>
    <row r="73" spans="1:8" x14ac:dyDescent="0.2">
      <c r="A73" s="869" t="s">
        <v>462</v>
      </c>
      <c r="B73" s="869" t="s">
        <v>1894</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1895</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1896</v>
      </c>
      <c r="E76" s="1772" t="s">
        <v>958</v>
      </c>
      <c r="F76" s="1776">
        <f>SUM(F18:F74)</f>
        <v>2843273</v>
      </c>
      <c r="G76" s="865"/>
    </row>
    <row r="77" spans="1:8" s="893" customFormat="1" ht="12" customHeight="1" thickTop="1" thickBot="1" x14ac:dyDescent="0.25">
      <c r="A77" s="1777"/>
      <c r="B77" s="1774"/>
      <c r="C77" s="1770"/>
      <c r="D77" s="1775" t="s">
        <v>1897</v>
      </c>
      <c r="E77" s="1772"/>
      <c r="F77" s="1778">
        <f>(F14-F76)</f>
        <v>12895145</v>
      </c>
      <c r="G77" s="869"/>
    </row>
    <row r="78" spans="1:8" s="893" customFormat="1" ht="12" customHeight="1" thickTop="1" x14ac:dyDescent="0.2">
      <c r="A78" s="1779"/>
      <c r="B78" s="1774"/>
      <c r="C78" s="1770"/>
      <c r="D78" s="1775" t="s">
        <v>2059</v>
      </c>
      <c r="E78" s="1772"/>
      <c r="F78" s="898">
        <v>1147.7</v>
      </c>
      <c r="G78" s="899"/>
      <c r="H78" s="869"/>
    </row>
    <row r="79" spans="1:8" s="893" customFormat="1" ht="12" customHeight="1" thickBot="1" x14ac:dyDescent="0.25">
      <c r="A79" s="1780"/>
      <c r="B79" s="1774"/>
      <c r="C79" s="1770"/>
      <c r="D79" s="1775" t="s">
        <v>1898</v>
      </c>
      <c r="E79" s="1772" t="s">
        <v>958</v>
      </c>
      <c r="F79" s="1781">
        <f>IF(F78&gt;0,F77/F78," Complete Line 78")</f>
        <v>11235.640846911214</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7861</v>
      </c>
      <c r="G94" s="912"/>
    </row>
    <row r="95" spans="1:7" x14ac:dyDescent="0.2">
      <c r="A95" s="908" t="s">
        <v>140</v>
      </c>
      <c r="B95" s="908" t="s">
        <v>175</v>
      </c>
      <c r="C95" s="910">
        <v>1700</v>
      </c>
      <c r="D95" s="918" t="str">
        <f>'Revenues 9-14'!A82</f>
        <v>Total District/School Activity Income</v>
      </c>
      <c r="E95" s="906"/>
      <c r="F95" s="1787">
        <f>SUM('Revenues 9-14'!C82,'Revenues 9-14'!D82)</f>
        <v>11866</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5500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2000</v>
      </c>
      <c r="C105" s="913">
        <v>3100</v>
      </c>
      <c r="D105" s="919" t="str">
        <f>'Revenues 9-14'!A132</f>
        <v>Total Special Education</v>
      </c>
      <c r="E105" s="906"/>
      <c r="F105" s="1787">
        <f>SUM('Revenues 9-14'!C132:D132,'Revenues 9-14'!F132)</f>
        <v>112889</v>
      </c>
      <c r="G105" s="912"/>
    </row>
    <row r="106" spans="1:7" x14ac:dyDescent="0.2">
      <c r="A106" s="908" t="s">
        <v>673</v>
      </c>
      <c r="B106" s="908" t="s">
        <v>2001</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2002</v>
      </c>
      <c r="C107" s="920">
        <v>3300</v>
      </c>
      <c r="D107" s="911" t="str">
        <f>'Revenues 9-14'!A145</f>
        <v>Total Bilingual Ed</v>
      </c>
      <c r="E107" s="906"/>
      <c r="F107" s="1787">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7">
        <f>'Revenues 9-14'!C146</f>
        <v>17610</v>
      </c>
      <c r="G108" s="912"/>
    </row>
    <row r="109" spans="1:7" x14ac:dyDescent="0.2">
      <c r="A109" s="908" t="s">
        <v>673</v>
      </c>
      <c r="B109" s="908" t="s">
        <v>2004</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7">
        <f>SUM('Revenues 9-14'!C148,'Revenues 9-14'!D148)</f>
        <v>0</v>
      </c>
      <c r="G110" s="912"/>
    </row>
    <row r="111" spans="1:7" x14ac:dyDescent="0.2">
      <c r="A111" s="908" t="s">
        <v>668</v>
      </c>
      <c r="B111" s="908" t="s">
        <v>2006</v>
      </c>
      <c r="C111" s="922">
        <v>3500</v>
      </c>
      <c r="D111" s="911" t="str">
        <f>'Revenues 9-14'!A155</f>
        <v>Total Transportation</v>
      </c>
      <c r="E111" s="906"/>
      <c r="F111" s="1787">
        <f>SUM('Revenues 9-14'!C155,'Revenues 9-14'!D155,'Revenues 9-14'!F155,'Revenues 9-14'!G155)</f>
        <v>359027</v>
      </c>
      <c r="G111" s="912"/>
    </row>
    <row r="112" spans="1:7" x14ac:dyDescent="0.2">
      <c r="A112" s="908" t="s">
        <v>459</v>
      </c>
      <c r="B112" s="908" t="s">
        <v>2007</v>
      </c>
      <c r="C112" s="920">
        <f>'Revenues 9-14'!B156</f>
        <v>3610</v>
      </c>
      <c r="D112" s="911" t="str">
        <f>'Revenues 9-14'!A156</f>
        <v>Learning Improvement - Change Grants</v>
      </c>
      <c r="E112" s="906"/>
      <c r="F112" s="1787">
        <f>'Revenues 9-14'!C156</f>
        <v>0</v>
      </c>
      <c r="G112" s="912"/>
    </row>
    <row r="113" spans="1:7" x14ac:dyDescent="0.2">
      <c r="A113" s="908" t="s">
        <v>668</v>
      </c>
      <c r="B113" s="908" t="s">
        <v>2008</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5">
        <f>SUM('Revenues 9-14'!C163:G163)</f>
        <v>0</v>
      </c>
      <c r="G118" s="912"/>
    </row>
    <row r="119" spans="1:7" x14ac:dyDescent="0.2">
      <c r="A119" s="923" t="s">
        <v>504</v>
      </c>
      <c r="B119" s="923" t="s">
        <v>2014</v>
      </c>
      <c r="C119" s="924">
        <f>'Revenues 9-14'!B164</f>
        <v>3815</v>
      </c>
      <c r="D119" s="925" t="str">
        <f>'Revenues 9-14'!A164</f>
        <v>State Charter Schools</v>
      </c>
      <c r="E119" s="906"/>
      <c r="F119" s="1905">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7">
        <f>'Revenues 9-14'!D167</f>
        <v>0</v>
      </c>
      <c r="G120" s="930"/>
    </row>
    <row r="121" spans="1:7" x14ac:dyDescent="0.2">
      <c r="A121" s="927" t="s">
        <v>500</v>
      </c>
      <c r="B121" s="927" t="s">
        <v>2016</v>
      </c>
      <c r="C121" s="928">
        <f>'Revenues 9-14'!B168</f>
        <v>3999</v>
      </c>
      <c r="D121" s="929" t="s">
        <v>543</v>
      </c>
      <c r="E121" s="931"/>
      <c r="F121" s="1787">
        <f>SUM('Revenues 9-14'!C168:G168,'Revenues 9-14'!J168)</f>
        <v>174035</v>
      </c>
      <c r="G121" s="930"/>
    </row>
    <row r="122" spans="1:7" x14ac:dyDescent="0.2">
      <c r="A122" s="927" t="s">
        <v>459</v>
      </c>
      <c r="B122" s="927" t="s">
        <v>2017</v>
      </c>
      <c r="C122" s="932">
        <f>'Revenues 9-14'!B177</f>
        <v>4045</v>
      </c>
      <c r="D122" s="929" t="str">
        <f>'Revenues 9-14'!A177 &amp; " (Subtract)"</f>
        <v>Head Start (Subtract)</v>
      </c>
      <c r="E122" s="906"/>
      <c r="F122" s="1787">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2019</v>
      </c>
      <c r="C124" s="932">
        <v>4100</v>
      </c>
      <c r="D124" s="933" t="str">
        <f>'Revenues 9-14'!A188</f>
        <v>Total Title V</v>
      </c>
      <c r="E124" s="906"/>
      <c r="F124" s="1787">
        <f>SUM('Revenues 9-14'!C188,'Revenues 9-14'!D188,'Revenues 9-14'!F188,'Revenues 9-14'!G188)</f>
        <v>19260</v>
      </c>
      <c r="G124" s="930"/>
    </row>
    <row r="125" spans="1:7" x14ac:dyDescent="0.2">
      <c r="A125" s="927" t="s">
        <v>664</v>
      </c>
      <c r="B125" s="927" t="s">
        <v>2020</v>
      </c>
      <c r="C125" s="932">
        <v>4200</v>
      </c>
      <c r="D125" s="929" t="str">
        <f>'Revenues 9-14'!A198</f>
        <v>Total Food Service</v>
      </c>
      <c r="E125" s="906"/>
      <c r="F125" s="1787">
        <f>SUM('Revenues 9-14'!C198,'Revenues 9-14'!G198)</f>
        <v>865098</v>
      </c>
      <c r="G125" s="930"/>
    </row>
    <row r="126" spans="1:7" x14ac:dyDescent="0.2">
      <c r="A126" s="927" t="s">
        <v>668</v>
      </c>
      <c r="B126" s="927" t="s">
        <v>2021</v>
      </c>
      <c r="C126" s="932">
        <v>4300</v>
      </c>
      <c r="D126" s="933" t="str">
        <f>'Revenues 9-14'!A204</f>
        <v>Total Title I</v>
      </c>
      <c r="E126" s="906"/>
      <c r="F126" s="1787">
        <f>SUM('Revenues 9-14'!C204,'Revenues 9-14'!D204,'Revenues 9-14'!F204,'Revenues 9-14'!G204)</f>
        <v>921241</v>
      </c>
      <c r="G126" s="930"/>
    </row>
    <row r="127" spans="1:7" x14ac:dyDescent="0.2">
      <c r="A127" s="927" t="s">
        <v>668</v>
      </c>
      <c r="B127" s="927" t="s">
        <v>2022</v>
      </c>
      <c r="C127" s="932">
        <v>4400</v>
      </c>
      <c r="D127" s="933" t="str">
        <f>'Revenues 9-14'!A209</f>
        <v>Total Title IV</v>
      </c>
      <c r="E127" s="906"/>
      <c r="F127" s="1787">
        <f>SUM('Revenues 9-14'!C209,'Revenues 9-14'!D209,'Revenues 9-14'!F209,'Revenues 9-14'!G209)</f>
        <v>51650</v>
      </c>
      <c r="G127" s="930"/>
    </row>
    <row r="128" spans="1:7" x14ac:dyDescent="0.2">
      <c r="A128" s="927" t="s">
        <v>668</v>
      </c>
      <c r="B128" s="927" t="s">
        <v>2023</v>
      </c>
      <c r="C128" s="932">
        <f>'Revenues 9-14'!B213</f>
        <v>4620</v>
      </c>
      <c r="D128" s="933" t="str">
        <f>'Revenues 9-14'!A213</f>
        <v>Fed - Spec Education - IDEA - Flow Through</v>
      </c>
      <c r="E128" s="906"/>
      <c r="F128" s="1787">
        <f>SUM('Revenues 9-14'!C213:D213,'Revenues 9-14'!F213:G213)</f>
        <v>80383</v>
      </c>
      <c r="G128" s="930"/>
    </row>
    <row r="129" spans="1:7" x14ac:dyDescent="0.2">
      <c r="A129" s="927" t="s">
        <v>668</v>
      </c>
      <c r="B129" s="927" t="s">
        <v>2024</v>
      </c>
      <c r="C129" s="932">
        <f>'Revenues 9-14'!B214</f>
        <v>4625</v>
      </c>
      <c r="D129" s="933" t="str">
        <f>'Revenues 9-14'!A214</f>
        <v>Fed - Spec Education - IDEA - Room &amp; Board</v>
      </c>
      <c r="E129" s="906"/>
      <c r="F129" s="1787">
        <f>SUM('Revenues 9-14'!C214,'Revenues 9-14'!D214,'Revenues 9-14'!F214,'Revenues 9-14'!G214)</f>
        <v>29421</v>
      </c>
      <c r="G129" s="930"/>
    </row>
    <row r="130" spans="1:7" x14ac:dyDescent="0.2">
      <c r="A130" s="927" t="s">
        <v>668</v>
      </c>
      <c r="B130" s="927" t="s">
        <v>2025</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2026</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7">
        <v>0</v>
      </c>
      <c r="G138" s="905"/>
    </row>
    <row r="139" spans="1:7" s="867" customFormat="1" hidden="1" x14ac:dyDescent="0.2">
      <c r="A139" s="934" t="s">
        <v>206</v>
      </c>
      <c r="B139" s="934" t="s">
        <v>2033</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2041</v>
      </c>
      <c r="C157" s="940" t="s">
        <v>841</v>
      </c>
      <c r="D157" s="941" t="s">
        <v>777</v>
      </c>
      <c r="E157" s="942"/>
      <c r="F157" s="1787">
        <f>SUM(F133:F156)</f>
        <v>0</v>
      </c>
      <c r="G157" s="905"/>
    </row>
    <row r="158" spans="1:7" s="867" customFormat="1" x14ac:dyDescent="0.2">
      <c r="A158" s="938" t="s">
        <v>459</v>
      </c>
      <c r="B158" s="939" t="s">
        <v>2042</v>
      </c>
      <c r="C158" s="940" t="s">
        <v>1427</v>
      </c>
      <c r="D158" s="941" t="s">
        <v>1428</v>
      </c>
      <c r="E158" s="942"/>
      <c r="F158" s="1787">
        <f>SUM('Revenues 9-14'!C253)</f>
        <v>0</v>
      </c>
      <c r="G158" s="905"/>
    </row>
    <row r="159" spans="1:7" s="867" customFormat="1" x14ac:dyDescent="0.2">
      <c r="A159" s="938" t="s">
        <v>500</v>
      </c>
      <c r="B159" s="939" t="s">
        <v>2043</v>
      </c>
      <c r="C159" s="940" t="s">
        <v>1466</v>
      </c>
      <c r="D159" s="941" t="s">
        <v>1467</v>
      </c>
      <c r="E159" s="942"/>
      <c r="F159" s="1787">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5">
        <f>SUM('Revenues 9-14'!C259,'Revenues 9-14'!D259,'Revenues 9-14'!F259,'Revenues 9-14'!G259)</f>
        <v>84391</v>
      </c>
      <c r="G164" s="930"/>
    </row>
    <row r="165" spans="1:7" x14ac:dyDescent="0.2">
      <c r="A165" s="927" t="s">
        <v>668</v>
      </c>
      <c r="B165" s="927" t="s">
        <v>2049</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7">
        <f>SUM('Revenues 9-14'!C263:D263,'Revenues 9-14'!F263:G263)</f>
        <v>37558</v>
      </c>
      <c r="G168" s="947">
        <v>6320</v>
      </c>
    </row>
    <row r="169" spans="1:7" x14ac:dyDescent="0.2">
      <c r="A169" s="927" t="s">
        <v>668</v>
      </c>
      <c r="B169" s="927" t="s">
        <v>2051</v>
      </c>
      <c r="C169" s="932">
        <f>'Revenues 9-14'!B264</f>
        <v>4992</v>
      </c>
      <c r="D169" s="933" t="str">
        <f>'Revenues 9-14'!A264</f>
        <v>Medicaid Matching Funds - Fee-for-Service Program</v>
      </c>
      <c r="E169" s="906"/>
      <c r="F169" s="1787">
        <f>SUM('Revenues 9-14'!C264:D264,'Revenues 9-14'!F264:G264)</f>
        <v>264364</v>
      </c>
      <c r="G169" s="947"/>
    </row>
    <row r="170" spans="1:7" x14ac:dyDescent="0.2">
      <c r="A170" s="948" t="s">
        <v>668</v>
      </c>
      <c r="B170" s="944" t="s">
        <v>2052</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1917</v>
      </c>
      <c r="C171" s="1918">
        <v>3100</v>
      </c>
      <c r="D171" s="1919" t="s">
        <v>1919</v>
      </c>
      <c r="E171" s="906"/>
      <c r="F171" s="1904"/>
      <c r="G171" s="927"/>
    </row>
    <row r="172" spans="1:7" x14ac:dyDescent="0.2">
      <c r="A172" s="1916" t="s">
        <v>664</v>
      </c>
      <c r="B172" s="1917" t="s">
        <v>1917</v>
      </c>
      <c r="C172" s="1918">
        <v>3300</v>
      </c>
      <c r="D172" s="1919" t="s">
        <v>1920</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2053</v>
      </c>
      <c r="E174" s="1785" t="s">
        <v>958</v>
      </c>
      <c r="F174" s="1786">
        <f>SUM(F84:F132,F157:F172)</f>
        <v>3042154</v>
      </c>
    </row>
    <row r="175" spans="1:7" ht="12" customHeight="1" x14ac:dyDescent="0.2">
      <c r="A175" s="1768"/>
      <c r="B175" s="1782"/>
      <c r="C175" s="1783"/>
      <c r="D175" s="1784" t="s">
        <v>2054</v>
      </c>
      <c r="E175" s="1785"/>
      <c r="F175" s="1787">
        <f>'PCTC-OEPP 27-28'!F77-F174</f>
        <v>9852991</v>
      </c>
    </row>
    <row r="176" spans="1:7" ht="12" customHeight="1" x14ac:dyDescent="0.2">
      <c r="A176" s="1768"/>
      <c r="B176" s="1782"/>
      <c r="C176" s="1783"/>
      <c r="D176" s="1784" t="s">
        <v>1814</v>
      </c>
      <c r="E176" s="1785"/>
      <c r="F176" s="1787">
        <f>'Cap Outlay Deprec 26'!I18</f>
        <v>551125.19999999995</v>
      </c>
    </row>
    <row r="177" spans="1:7" ht="12" customHeight="1" x14ac:dyDescent="0.2">
      <c r="A177" s="1768"/>
      <c r="B177" s="1782"/>
      <c r="C177" s="1783"/>
      <c r="D177" s="1784" t="s">
        <v>2055</v>
      </c>
      <c r="E177" s="1785"/>
      <c r="F177" s="1787">
        <f>F175+F176</f>
        <v>10404116.199999999</v>
      </c>
    </row>
    <row r="178" spans="1:7" ht="12" customHeight="1" x14ac:dyDescent="0.2">
      <c r="A178" s="1768"/>
      <c r="B178" s="1788"/>
      <c r="C178" s="1783"/>
      <c r="D178" s="1784" t="str">
        <f>D78</f>
        <v>9 Month ADA from District Average Daily Attendance/Prior General State Aid Inquiry 2018-2019</v>
      </c>
      <c r="E178" s="1785"/>
      <c r="F178" s="1789">
        <f>'PCTC-OEPP 27-28'!F78</f>
        <v>1147.7</v>
      </c>
      <c r="G178" s="930"/>
    </row>
    <row r="179" spans="1:7" ht="12" customHeight="1" thickBot="1" x14ac:dyDescent="0.25">
      <c r="A179" s="1768"/>
      <c r="B179" s="1788"/>
      <c r="C179" s="1783"/>
      <c r="D179" s="1784" t="s">
        <v>2056</v>
      </c>
      <c r="E179" s="1785" t="s">
        <v>1545</v>
      </c>
      <c r="F179" s="1790">
        <f>F177/F178</f>
        <v>9065.1879410995898</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0" customFormat="1" ht="12.2" customHeight="1" x14ac:dyDescent="0.2">
      <c r="A182" s="1920" t="s">
        <v>1991</v>
      </c>
      <c r="B182" s="1921"/>
      <c r="C182" s="1922"/>
      <c r="D182" s="1921"/>
      <c r="E182" s="1922"/>
      <c r="F182" s="1921"/>
      <c r="G182" s="1921"/>
    </row>
    <row r="183" spans="1:7" s="1920" customFormat="1" ht="12.2" customHeight="1" x14ac:dyDescent="0.2">
      <c r="A183" s="1923" t="s">
        <v>1993</v>
      </c>
      <c r="C183" s="1922"/>
      <c r="D183" s="1921"/>
      <c r="E183" s="1922"/>
      <c r="F183" s="1921"/>
      <c r="G183" s="1921"/>
    </row>
    <row r="184" spans="1:7" ht="12" customHeight="1" x14ac:dyDescent="0.2">
      <c r="C184" s="949"/>
      <c r="D184" s="930"/>
      <c r="E184" s="949"/>
      <c r="F184" s="930"/>
      <c r="G184" s="930"/>
    </row>
    <row r="185" spans="1:7" x14ac:dyDescent="0.2">
      <c r="A185" s="1924" t="s">
        <v>1922</v>
      </c>
      <c r="B185" s="1925"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1" zoomScaleNormal="100" workbookViewId="0">
      <selection activeCell="D22" sqref="D22"/>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8" t="s">
        <v>1815</v>
      </c>
      <c r="B4" s="2279"/>
      <c r="C4" s="2279"/>
      <c r="D4" s="2279"/>
      <c r="E4" s="2279"/>
      <c r="F4" s="2279"/>
      <c r="G4" s="2280"/>
    </row>
    <row r="5" spans="1:7" x14ac:dyDescent="0.25">
      <c r="A5" s="2281"/>
      <c r="B5" s="2282"/>
      <c r="C5" s="2282"/>
      <c r="D5" s="2282"/>
      <c r="E5" s="2282"/>
      <c r="F5" s="2282"/>
      <c r="G5" s="2283"/>
    </row>
    <row r="6" spans="1:7" ht="18.75" x14ac:dyDescent="0.25">
      <c r="A6" s="1532" t="s">
        <v>1816</v>
      </c>
      <c r="B6" s="1533"/>
      <c r="C6" s="1533"/>
      <c r="D6" s="1533"/>
      <c r="E6" s="1533"/>
      <c r="F6" s="1533"/>
      <c r="G6" s="1534"/>
    </row>
    <row r="7" spans="1:7" ht="30.75" customHeight="1" x14ac:dyDescent="0.25">
      <c r="A7" s="2284" t="s">
        <v>1929</v>
      </c>
      <c r="B7" s="2285"/>
      <c r="C7" s="2285"/>
      <c r="D7" s="2285"/>
      <c r="E7" s="2285"/>
      <c r="F7" s="2285"/>
      <c r="G7" s="2286"/>
    </row>
    <row r="8" spans="1:7" ht="15.75" customHeight="1" x14ac:dyDescent="0.25">
      <c r="A8" s="2287" t="s">
        <v>1904</v>
      </c>
      <c r="B8" s="2288"/>
      <c r="C8" s="2288"/>
      <c r="D8" s="2288"/>
      <c r="E8" s="2288"/>
      <c r="F8" s="2288"/>
      <c r="G8" s="2289"/>
    </row>
    <row r="9" spans="1:7" ht="35.25" customHeight="1" x14ac:dyDescent="0.25">
      <c r="A9" s="2284" t="s">
        <v>1932</v>
      </c>
      <c r="B9" s="2285"/>
      <c r="C9" s="2285"/>
      <c r="D9" s="2285"/>
      <c r="E9" s="2285"/>
      <c r="F9" s="2285"/>
      <c r="G9" s="2286"/>
    </row>
    <row r="10" spans="1:7" ht="15" customHeight="1" x14ac:dyDescent="0.25">
      <c r="A10" s="1535" t="s">
        <v>1817</v>
      </c>
      <c r="B10" s="1536"/>
      <c r="C10" s="1536"/>
      <c r="D10" s="1536"/>
      <c r="E10" s="1536"/>
      <c r="F10" s="1536"/>
      <c r="G10" s="1537"/>
    </row>
    <row r="11" spans="1:7" ht="17.25" customHeight="1" x14ac:dyDescent="0.25">
      <c r="A11" s="2284" t="s">
        <v>1931</v>
      </c>
      <c r="B11" s="2285"/>
      <c r="C11" s="2285"/>
      <c r="D11" s="2285"/>
      <c r="E11" s="2285"/>
      <c r="F11" s="2285"/>
      <c r="G11" s="2286"/>
    </row>
    <row r="12" spans="1:7" ht="15" customHeight="1" x14ac:dyDescent="0.25">
      <c r="A12" s="1535" t="s">
        <v>1822</v>
      </c>
      <c r="B12" s="1536"/>
      <c r="C12" s="1536"/>
      <c r="D12" s="1536"/>
      <c r="E12" s="1536"/>
      <c r="F12" s="1536"/>
      <c r="G12" s="1537"/>
    </row>
    <row r="13" spans="1:7" ht="32.25" customHeight="1" x14ac:dyDescent="0.25">
      <c r="A13" s="2275" t="s">
        <v>1973</v>
      </c>
      <c r="B13" s="2276"/>
      <c r="C13" s="2276"/>
      <c r="D13" s="2276"/>
      <c r="E13" s="2276"/>
      <c r="F13" s="2276"/>
      <c r="G13" s="2277"/>
    </row>
    <row r="14" spans="1:7" x14ac:dyDescent="0.25">
      <c r="A14" s="1659" t="s">
        <v>1830</v>
      </c>
      <c r="B14" s="1660"/>
      <c r="C14" s="1660"/>
      <c r="D14" s="1660"/>
      <c r="E14" s="1660"/>
      <c r="F14" s="1660"/>
      <c r="G14" s="1661"/>
    </row>
    <row r="15" spans="1:7" ht="61.5" customHeight="1" x14ac:dyDescent="0.25">
      <c r="A15" s="1544" t="s">
        <v>1823</v>
      </c>
      <c r="B15" s="1544" t="s">
        <v>1824</v>
      </c>
      <c r="C15" s="1544" t="s">
        <v>1825</v>
      </c>
      <c r="D15" s="1545" t="s">
        <v>1826</v>
      </c>
      <c r="E15" s="1545" t="s">
        <v>1818</v>
      </c>
      <c r="F15" s="1545" t="s">
        <v>1827</v>
      </c>
      <c r="G15" s="1545" t="s">
        <v>1828</v>
      </c>
    </row>
    <row r="16" spans="1:7" x14ac:dyDescent="0.25">
      <c r="A16" s="1646" t="s">
        <v>1831</v>
      </c>
      <c r="B16" s="1647" t="s">
        <v>1821</v>
      </c>
      <c r="C16" s="1648" t="s">
        <v>1819</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43" t="s">
        <v>2114</v>
      </c>
      <c r="B17" s="1944" t="s">
        <v>2112</v>
      </c>
      <c r="C17" s="1945" t="s">
        <v>2117</v>
      </c>
      <c r="D17" s="1842">
        <f>28500+23284</f>
        <v>51784</v>
      </c>
      <c r="E17" s="1538">
        <f t="shared" ref="E17:E141" si="0">IF(D17&lt;=25000,D17,IF(D17&gt;25000,25000,0))</f>
        <v>25000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1">
        <f>IF(F17=0,0,D17-F17)</f>
        <v>26784</v>
      </c>
      <c r="H17" s="1645"/>
    </row>
    <row r="18" spans="1:8" x14ac:dyDescent="0.25">
      <c r="A18" s="1943"/>
      <c r="B18" s="1944"/>
      <c r="C18" s="1654"/>
      <c r="D18" s="1842"/>
      <c r="E18" s="1538">
        <f t="shared" ref="E18:E140" si="2">IF(D18&lt;=25000,D18,IF(D18&gt;25000,25000,0))</f>
        <v>0</v>
      </c>
      <c r="F18" s="1930">
        <f t="shared" si="1"/>
        <v>0</v>
      </c>
      <c r="G18" s="1791">
        <f t="shared" ref="G18:G140" si="3">IF(F18=0,0,D18-F18)</f>
        <v>0</v>
      </c>
    </row>
    <row r="19" spans="1:8" x14ac:dyDescent="0.25">
      <c r="A19" s="1943" t="s">
        <v>2115</v>
      </c>
      <c r="B19" s="1944" t="s">
        <v>2112</v>
      </c>
      <c r="C19" s="1945" t="s">
        <v>2116</v>
      </c>
      <c r="D19" s="1842">
        <v>25165.39</v>
      </c>
      <c r="E19" s="1538">
        <f t="shared" si="2"/>
        <v>25000</v>
      </c>
      <c r="F19" s="1930">
        <f t="shared" si="1"/>
        <v>25000</v>
      </c>
      <c r="G19" s="1791">
        <f t="shared" si="3"/>
        <v>165.38999999999942</v>
      </c>
    </row>
    <row r="20" spans="1:8" ht="30" x14ac:dyDescent="0.25">
      <c r="A20" s="1943" t="s">
        <v>2118</v>
      </c>
      <c r="B20" s="1944" t="s">
        <v>2113</v>
      </c>
      <c r="C20" s="1945" t="s">
        <v>2119</v>
      </c>
      <c r="D20" s="1842">
        <v>276029</v>
      </c>
      <c r="E20" s="1538">
        <f t="shared" si="2"/>
        <v>25000</v>
      </c>
      <c r="F20" s="1930">
        <f t="shared" si="1"/>
        <v>25000</v>
      </c>
      <c r="G20" s="1791">
        <f t="shared" si="3"/>
        <v>251029</v>
      </c>
    </row>
    <row r="21" spans="1:8" x14ac:dyDescent="0.25">
      <c r="A21" s="1651"/>
      <c r="B21" s="1944"/>
      <c r="C21" s="1945"/>
      <c r="D21" s="1842"/>
      <c r="E21" s="1538">
        <f t="shared" si="2"/>
        <v>0</v>
      </c>
      <c r="F21" s="1930">
        <f t="shared" si="1"/>
        <v>0</v>
      </c>
      <c r="G21" s="1791">
        <f t="shared" si="3"/>
        <v>0</v>
      </c>
    </row>
    <row r="22" spans="1:8" x14ac:dyDescent="0.25">
      <c r="A22" s="1651"/>
      <c r="B22" s="1944"/>
      <c r="C22" s="1945"/>
      <c r="D22" s="1946"/>
      <c r="E22" s="1538">
        <f t="shared" si="2"/>
        <v>0</v>
      </c>
      <c r="F22" s="1930">
        <f t="shared" si="1"/>
        <v>0</v>
      </c>
      <c r="G22" s="1791">
        <f t="shared" si="3"/>
        <v>0</v>
      </c>
    </row>
    <row r="23" spans="1:8" x14ac:dyDescent="0.25">
      <c r="A23" s="1651"/>
      <c r="B23" s="1932"/>
      <c r="C23" s="1654"/>
      <c r="D23" s="1842"/>
      <c r="E23" s="1538">
        <f t="shared" si="2"/>
        <v>0</v>
      </c>
      <c r="F23" s="1930">
        <f t="shared" si="1"/>
        <v>0</v>
      </c>
      <c r="G23" s="1791">
        <f t="shared" si="3"/>
        <v>0</v>
      </c>
    </row>
    <row r="24" spans="1:8" x14ac:dyDescent="0.25">
      <c r="A24" s="1651"/>
      <c r="B24" s="1932"/>
      <c r="C24" s="1654"/>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352978.39</v>
      </c>
      <c r="E141" s="1539">
        <f t="shared" si="0"/>
        <v>25000</v>
      </c>
      <c r="F141" s="1931">
        <f>SUM(F17:F140)</f>
        <v>75000</v>
      </c>
      <c r="G141" s="1793">
        <f>SUM(G17:G140)</f>
        <v>277978.39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E53" sqref="E5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f>+'Expenditures 15-22'!E63+'Expenditures 15-22'!F63-'Revenues 9-14'!C146</f>
        <v>261947</v>
      </c>
      <c r="F10" s="974"/>
      <c r="G10" s="975"/>
      <c r="H10" s="162"/>
      <c r="I10" s="162"/>
    </row>
    <row r="11" spans="1:9" s="668" customFormat="1" ht="22.5" customHeight="1" x14ac:dyDescent="0.2">
      <c r="A11" s="2295" t="s">
        <v>1974</v>
      </c>
      <c r="B11" s="2296"/>
      <c r="C11" s="2296"/>
      <c r="D11" s="2297"/>
      <c r="E11" s="977">
        <v>66418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7712971</v>
      </c>
      <c r="F19" s="1797"/>
      <c r="G19" s="1799">
        <f>'Expenditures 15-22'!K33-SUM('Expenditures 15-22'!G33,'Expenditures 15-22'!I33)+'Expenditures 15-22'!D229</f>
        <v>7712971</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211975</v>
      </c>
      <c r="F21" s="1800"/>
      <c r="G21" s="1803">
        <f>'Expenditures 15-22'!K42-SUM('Expenditures 15-22'!G42,'Expenditures 15-22'!I42)+'Expenditures 15-22'!K120-SUM('Expenditures 15-22'!G120,'Expenditures 15-22'!I120)+'Expenditures 15-22'!K180-SUM('Expenditures 15-22'!G180,'Expenditures 15-22'!I180)+'Expenditures 15-22'!D238</f>
        <v>211975</v>
      </c>
      <c r="H21" s="987"/>
      <c r="I21" s="162"/>
    </row>
    <row r="22" spans="1:9" s="668" customFormat="1" ht="12" customHeight="1" x14ac:dyDescent="0.2">
      <c r="A22" s="994" t="s">
        <v>564</v>
      </c>
      <c r="B22" s="995"/>
      <c r="C22" s="993">
        <v>2200</v>
      </c>
      <c r="D22" s="1800"/>
      <c r="E22" s="1802">
        <f>'Expenditures 15-22'!K47-SUM('Expenditures 15-22'!G47,'Expenditures 15-22'!I47)+'Expenditures 15-22'!D243</f>
        <v>413037</v>
      </c>
      <c r="F22" s="1800"/>
      <c r="G22" s="1803">
        <f>'Expenditures 15-22'!K47-SUM('Expenditures 15-22'!G47,'Expenditures 15-22'!I47)+'Expenditures 15-22'!D243</f>
        <v>413037</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558021</v>
      </c>
      <c r="F23" s="1800"/>
      <c r="G23" s="1802">
        <f>'Expenditures 15-22'!K53-SUM('Expenditures 15-22'!G53,'Expenditures 15-22'!I53)+'Expenditures 15-22'!D257+'Expenditures 15-22'!K330-SUM('Expenditures 15-22'!G330,'Expenditures 15-22'!I330)</f>
        <v>558021</v>
      </c>
      <c r="H23" s="987"/>
      <c r="I23" s="162"/>
    </row>
    <row r="24" spans="1:9" s="668" customFormat="1" ht="12" customHeight="1" x14ac:dyDescent="0.2">
      <c r="A24" s="994" t="s">
        <v>566</v>
      </c>
      <c r="B24" s="995"/>
      <c r="C24" s="993">
        <v>2400</v>
      </c>
      <c r="D24" s="1800"/>
      <c r="E24" s="1802">
        <f>'Expenditures 15-22'!K57-SUM('Expenditures 15-22'!G57,'Expenditures 15-22'!I57)+'Expenditures 15-22'!D261</f>
        <v>949511</v>
      </c>
      <c r="F24" s="1800"/>
      <c r="G24" s="1803">
        <f>'Expenditures 15-22'!K57-SUM('Expenditures 15-22'!G57,'Expenditures 15-22'!I57)+'Expenditures 15-22'!D261</f>
        <v>949511</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238718</v>
      </c>
      <c r="E27" s="1802">
        <f>E8</f>
        <v>0</v>
      </c>
      <c r="F27" s="1802">
        <f>'Expenditures 15-22'!K60-SUM('Expenditures 15-22'!G60,'Expenditures 15-22'!I60)+'Expenditures 15-22'!D264-E8</f>
        <v>238718</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1089910</v>
      </c>
      <c r="F28" s="1804">
        <f>'Expenditures 15-22'!K61-SUM('Expenditures 15-22'!G61,'Expenditures 15-22'!I61)+'Expenditures 15-22'!K124-SUM('Expenditures 15-22'!G124,'Expenditures 15-22'!I124)+'Expenditures 15-22'!D266-E9</f>
        <v>1089910</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743753</v>
      </c>
      <c r="F29" s="1800"/>
      <c r="G29" s="1803">
        <f>'Expenditures 15-22'!K62-SUM('Expenditures 15-22'!G62,'Expenditures 15-22'!I62)+'Expenditures 15-22'!K125-SUM('Expenditures 15-22'!G125,'Expenditures 15-22'!I125)+'Expenditures 15-22'!K182-SUM('Expenditures 15-22'!G182,'Expenditures 15-22'!I182)+'Expenditures 15-22'!D267</f>
        <v>743753</v>
      </c>
      <c r="H29" s="985"/>
    </row>
    <row r="30" spans="1:9" ht="12" customHeight="1" x14ac:dyDescent="0.2">
      <c r="A30" s="994" t="s">
        <v>100</v>
      </c>
      <c r="B30" s="997"/>
      <c r="C30" s="993">
        <v>2560</v>
      </c>
      <c r="D30" s="1800"/>
      <c r="E30" s="1802">
        <f>'Expenditures 15-22'!K63-SUM('Expenditures 15-22'!G63,'Expenditures 15-22'!I63)+'Expenditures 15-22'!D268-E10</f>
        <v>510687</v>
      </c>
      <c r="F30" s="1800"/>
      <c r="G30" s="1802">
        <f>'Expenditures 15-22'!K63-SUM('Expenditures 15-22'!G63,'Expenditures 15-22'!I63)+'Expenditures 15-22'!D268-E10</f>
        <v>510687</v>
      </c>
    </row>
    <row r="31" spans="1:9" ht="12" customHeight="1" x14ac:dyDescent="0.2">
      <c r="A31" s="994" t="s">
        <v>101</v>
      </c>
      <c r="B31" s="997"/>
      <c r="C31" s="993">
        <v>2570</v>
      </c>
      <c r="D31" s="1802">
        <f>'Expenditures 15-22'!K64-SUM('Expenditures 15-22'!G64,'Expenditures 15-22'!I64)+'Expenditures 15-22'!D269-E12</f>
        <v>7344</v>
      </c>
      <c r="E31" s="1802">
        <f>E12</f>
        <v>0</v>
      </c>
      <c r="F31" s="1802">
        <f>'Expenditures 15-22'!K64-SUM('Expenditures 15-22'!G64,'Expenditures 15-22'!I64)+'Expenditures 15-22'!D269-E12</f>
        <v>7344</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15968</v>
      </c>
      <c r="F34" s="1800"/>
      <c r="G34" s="1802">
        <f>'Expenditures 15-22'!K68-SUM('Expenditures 15-22'!G68,'Expenditures 15-22'!I68)+'Expenditures 15-22'!D273</f>
        <v>15968</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59339</v>
      </c>
      <c r="F38" s="1800"/>
      <c r="G38" s="1802">
        <f>'Expenditures 15-22'!K73-SUM('Expenditures 15-22'!G73,'Expenditures 15-22'!I73)+'Expenditures 15-22'!K128-SUM('Expenditures 15-22'!G128,'Expenditures 15-22'!I128)+'Expenditures 15-22'!K183-SUM('Expenditures 15-22'!G183,'Expenditures 15-22'!I183)+'Expenditures 15-22'!D278</f>
        <v>59339</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73726</v>
      </c>
      <c r="F39" s="1800"/>
      <c r="G39" s="1802">
        <f>'Expenditures 15-22'!K75-SUM('Expenditures 15-22'!G75,'Expenditures 15-22'!I75)+'Expenditures 15-22'!K130-SUM('Expenditures 15-22'!G130,'Expenditures 15-22'!I130)+'Expenditures 15-22'!K185-SUM('Expenditures 15-22'!G185,'Expenditures 15-22'!I185)+'Expenditures 15-22'!D280</f>
        <v>73726</v>
      </c>
    </row>
    <row r="40" spans="1:7" ht="12" customHeight="1" x14ac:dyDescent="0.2">
      <c r="A40" s="990" t="s">
        <v>1820</v>
      </c>
      <c r="B40" s="991"/>
      <c r="C40" s="993"/>
      <c r="D40" s="1800"/>
      <c r="E40" s="1804">
        <f>-'Contracts Paid in CY 29'!G141</f>
        <v>-277978.39</v>
      </c>
      <c r="F40" s="1800"/>
      <c r="G40" s="1804">
        <f>-'Contracts Paid in CY 29'!G141</f>
        <v>-277978.39</v>
      </c>
    </row>
    <row r="41" spans="1:7" ht="12" customHeight="1" x14ac:dyDescent="0.2">
      <c r="A41" s="998" t="s">
        <v>156</v>
      </c>
      <c r="B41" s="999"/>
      <c r="C41" s="1000"/>
      <c r="D41" s="1804">
        <f>SUM(D19:D39)</f>
        <v>246062</v>
      </c>
      <c r="E41" s="1804">
        <f>SUM(E19:E40)</f>
        <v>12060919.609999999</v>
      </c>
      <c r="F41" s="1804">
        <f>SUM(F19:F39)</f>
        <v>1335972</v>
      </c>
      <c r="G41" s="1804">
        <f>SUM(G19:G40)</f>
        <v>10971009.609999999</v>
      </c>
    </row>
    <row r="42" spans="1:7" x14ac:dyDescent="0.2">
      <c r="A42" s="987"/>
      <c r="B42" s="162"/>
      <c r="C42" s="1001"/>
      <c r="D42" s="2293" t="s">
        <v>522</v>
      </c>
      <c r="E42" s="2294"/>
      <c r="F42" s="1002" t="s">
        <v>523</v>
      </c>
      <c r="G42" s="1003"/>
    </row>
    <row r="43" spans="1:7" ht="12" customHeight="1" x14ac:dyDescent="0.2">
      <c r="A43" s="987"/>
      <c r="B43" s="162"/>
      <c r="C43" s="1001"/>
      <c r="D43" s="1805" t="s">
        <v>473</v>
      </c>
      <c r="E43" s="1806">
        <f>D41</f>
        <v>246062</v>
      </c>
      <c r="F43" s="1805" t="s">
        <v>473</v>
      </c>
      <c r="G43" s="1806">
        <f>F41</f>
        <v>1335972</v>
      </c>
    </row>
    <row r="44" spans="1:7" ht="12" customHeight="1" x14ac:dyDescent="0.2">
      <c r="A44" s="987"/>
      <c r="B44" s="162"/>
      <c r="C44" s="1001"/>
      <c r="D44" s="1805" t="s">
        <v>474</v>
      </c>
      <c r="E44" s="1806">
        <f>E41</f>
        <v>12060919.609999999</v>
      </c>
      <c r="F44" s="1805" t="s">
        <v>474</v>
      </c>
      <c r="G44" s="1806">
        <f>G41</f>
        <v>10971009.609999999</v>
      </c>
    </row>
    <row r="45" spans="1:7" ht="12" customHeight="1" x14ac:dyDescent="0.2">
      <c r="A45" s="987"/>
      <c r="B45" s="162"/>
      <c r="C45" s="162"/>
      <c r="D45" s="1807" t="s">
        <v>1006</v>
      </c>
      <c r="E45" s="1808">
        <f>(E43/E44)</f>
        <v>2.0401595231261144E-2</v>
      </c>
      <c r="F45" s="1807" t="s">
        <v>1006</v>
      </c>
      <c r="G45" s="1808">
        <f>(G43/G44)</f>
        <v>0.12177293134282471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14" sqref="A14"/>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12" t="s">
        <v>1379</v>
      </c>
      <c r="B1" s="2312"/>
      <c r="C1" s="2312"/>
      <c r="D1" s="2312"/>
      <c r="E1" s="2312"/>
      <c r="F1" s="2312"/>
    </row>
    <row r="2" spans="1:10" x14ac:dyDescent="0.2">
      <c r="A2" s="1885" t="s">
        <v>1909</v>
      </c>
      <c r="B2" s="1846"/>
      <c r="C2" s="1885"/>
      <c r="D2" s="1846"/>
      <c r="E2" s="1846"/>
      <c r="F2" s="1847"/>
    </row>
    <row r="3" spans="1:10" x14ac:dyDescent="0.2">
      <c r="A3" s="1885" t="s">
        <v>1975</v>
      </c>
      <c r="B3" s="1846"/>
      <c r="C3" s="1885"/>
      <c r="D3" s="1846"/>
      <c r="E3" s="1846"/>
      <c r="F3" s="1847"/>
    </row>
    <row r="4" spans="1:10" ht="3.75" customHeight="1" x14ac:dyDescent="0.2">
      <c r="A4" s="1846"/>
      <c r="B4" s="1846"/>
      <c r="C4" s="1846"/>
      <c r="D4" s="1846"/>
      <c r="E4" s="1846"/>
      <c r="F4" s="1847"/>
    </row>
    <row r="5" spans="1:10" ht="15" x14ac:dyDescent="0.25">
      <c r="A5" s="2313" t="s">
        <v>1546</v>
      </c>
      <c r="B5" s="2314"/>
      <c r="C5" s="2315"/>
      <c r="D5" s="2315"/>
      <c r="E5" s="2315"/>
      <c r="F5" s="2315"/>
    </row>
    <row r="6" spans="1:10" ht="12" customHeight="1" x14ac:dyDescent="0.25">
      <c r="A6" s="1848"/>
      <c r="B6" s="1849"/>
      <c r="C6" s="2316" t="str">
        <f>COVER!A17</f>
        <v>Centralia SD 135</v>
      </c>
      <c r="D6" s="2316"/>
      <c r="E6" s="2316"/>
      <c r="F6" s="1850"/>
    </row>
    <row r="7" spans="1:10" ht="11.25" customHeight="1" thickBot="1" x14ac:dyDescent="0.3">
      <c r="A7" s="1848"/>
      <c r="B7" s="1849"/>
      <c r="C7" s="2317">
        <f>COVER!A13</f>
        <v>13058135002</v>
      </c>
      <c r="D7" s="2317"/>
      <c r="E7" s="2317"/>
      <c r="F7" s="1850"/>
    </row>
    <row r="8" spans="1:10" ht="25.5" customHeight="1" thickBot="1" x14ac:dyDescent="0.25">
      <c r="A8" s="1891" t="s">
        <v>1905</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2098</v>
      </c>
      <c r="D26" s="1863" t="s">
        <v>2098</v>
      </c>
      <c r="E26" s="1866" t="s">
        <v>2098</v>
      </c>
      <c r="F26" s="1865" t="s">
        <v>2120</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5</v>
      </c>
      <c r="K34" s="1876">
        <f>SUM(H34:J34)</f>
        <v>15</v>
      </c>
    </row>
    <row r="35" spans="1:11" ht="12" customHeight="1" x14ac:dyDescent="0.2">
      <c r="A35" s="1869" t="s">
        <v>1392</v>
      </c>
      <c r="B35" s="1870"/>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71"/>
      <c r="B39" s="1871"/>
      <c r="C39" s="1871"/>
      <c r="D39" s="1871"/>
      <c r="E39" s="1871"/>
      <c r="F39" s="1871"/>
    </row>
    <row r="40" spans="1:11" s="1868" customFormat="1" ht="12" customHeight="1" x14ac:dyDescent="0.25">
      <c r="A40" s="1872" t="s">
        <v>1391</v>
      </c>
      <c r="B40" s="1873"/>
      <c r="C40" s="2307"/>
      <c r="D40" s="2307"/>
      <c r="E40" s="2307"/>
      <c r="F40" s="2308"/>
      <c r="H40" s="1877"/>
      <c r="I40" s="1877"/>
      <c r="J40" s="1877"/>
      <c r="K40" s="1877"/>
    </row>
    <row r="41" spans="1:11" s="1868" customFormat="1" ht="12" customHeight="1" x14ac:dyDescent="0.25">
      <c r="A41" s="2309"/>
      <c r="B41" s="2310"/>
      <c r="C41" s="2310"/>
      <c r="D41" s="2310"/>
      <c r="E41" s="2310"/>
      <c r="F41" s="2311"/>
      <c r="H41" s="1877"/>
      <c r="I41" s="1877"/>
      <c r="J41" s="1877"/>
      <c r="K41" s="1877"/>
    </row>
    <row r="42" spans="1:11" s="1868" customFormat="1" ht="12" customHeight="1" x14ac:dyDescent="0.25">
      <c r="A42" s="2309"/>
      <c r="B42" s="2310"/>
      <c r="C42" s="2310"/>
      <c r="D42" s="2310"/>
      <c r="E42" s="2310"/>
      <c r="F42" s="2311"/>
      <c r="H42" s="1877"/>
      <c r="I42" s="1877"/>
      <c r="J42" s="1877"/>
      <c r="K42" s="1877"/>
    </row>
    <row r="43" spans="1:11" s="1868" customFormat="1" ht="15" x14ac:dyDescent="0.25">
      <c r="A43" s="2298"/>
      <c r="B43" s="2299"/>
      <c r="C43" s="2299"/>
      <c r="D43" s="2299"/>
      <c r="E43" s="2299"/>
      <c r="F43" s="2300"/>
      <c r="H43" s="1877"/>
      <c r="I43" s="1877"/>
      <c r="J43" s="1877"/>
      <c r="K43" s="1877"/>
    </row>
    <row r="44" spans="1:11" s="1868" customFormat="1" ht="12" hidden="1" customHeight="1" x14ac:dyDescent="0.25">
      <c r="A44" s="2298"/>
      <c r="B44" s="2299"/>
      <c r="C44" s="2299"/>
      <c r="D44" s="2299"/>
      <c r="E44" s="2299"/>
      <c r="F44" s="2300"/>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25" t="str">
        <f>COVER!A17</f>
        <v>Centralia SD 135</v>
      </c>
      <c r="J6" s="2326"/>
      <c r="Q6" s="1662"/>
    </row>
    <row r="7" spans="1:17" x14ac:dyDescent="0.2">
      <c r="A7" s="2327" t="s">
        <v>869</v>
      </c>
      <c r="B7" s="2328"/>
      <c r="C7" s="2328"/>
      <c r="D7" s="2328"/>
      <c r="E7" s="2329"/>
      <c r="F7" s="1017"/>
      <c r="G7" s="1009"/>
      <c r="H7" s="1016" t="s">
        <v>372</v>
      </c>
      <c r="I7" s="2330">
        <f>COVER!A13</f>
        <v>13058135002</v>
      </c>
      <c r="J7" s="2330"/>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1976</v>
      </c>
      <c r="F9" s="1023"/>
      <c r="G9" s="1023"/>
      <c r="H9" s="1894"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226751</v>
      </c>
      <c r="F12" s="1039"/>
      <c r="G12" s="1809">
        <f t="shared" ref="G12:G18" si="0">SUM(E12:F12)</f>
        <v>226751</v>
      </c>
      <c r="H12" s="1040"/>
      <c r="I12" s="1039"/>
      <c r="J12" s="1809">
        <f t="shared" ref="J12:J18" si="1">SUM(H12:I12)</f>
        <v>0</v>
      </c>
    </row>
    <row r="13" spans="1:17" ht="15" customHeight="1" x14ac:dyDescent="0.2">
      <c r="A13" s="1035">
        <v>2</v>
      </c>
      <c r="B13" s="1036" t="s">
        <v>42</v>
      </c>
      <c r="C13" s="1037"/>
      <c r="D13" s="1038">
        <v>2330</v>
      </c>
      <c r="E13" s="1809">
        <f>'Expenditures 15-22'!K51</f>
        <v>6418</v>
      </c>
      <c r="F13" s="1039"/>
      <c r="G13" s="1809">
        <f t="shared" si="0"/>
        <v>6418</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6352</v>
      </c>
      <c r="F16" s="1039"/>
      <c r="G16" s="1809">
        <f t="shared" si="0"/>
        <v>6352</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34" t="s">
        <v>7</v>
      </c>
      <c r="C18" s="2335"/>
      <c r="D18" s="2336"/>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239521</v>
      </c>
      <c r="F19" s="1811">
        <f t="shared" si="2"/>
        <v>0</v>
      </c>
      <c r="G19" s="1811">
        <f t="shared" si="2"/>
        <v>239521</v>
      </c>
      <c r="H19" s="1811">
        <f t="shared" si="2"/>
        <v>0</v>
      </c>
      <c r="I19" s="1811">
        <f t="shared" si="2"/>
        <v>0</v>
      </c>
      <c r="J19" s="1811">
        <f t="shared" si="2"/>
        <v>0</v>
      </c>
    </row>
    <row r="20" spans="1:10" ht="13.5" thickTop="1" x14ac:dyDescent="0.2">
      <c r="A20" s="1035">
        <v>9</v>
      </c>
      <c r="B20" s="2337" t="s">
        <v>1978</v>
      </c>
      <c r="C20" s="2337"/>
      <c r="D20" s="2338"/>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1980</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75"/>
  <sheetViews>
    <sheetView showGridLines="0" topLeftCell="A27" zoomScale="110" zoomScaleNormal="110" workbookViewId="0">
      <selection activeCell="F32" sqref="F32"/>
    </sheetView>
  </sheetViews>
  <sheetFormatPr defaultColWidth="9.140625" defaultRowHeight="12.75" x14ac:dyDescent="0.2"/>
  <cols>
    <col min="1" max="1" width="3" style="1935" customWidth="1"/>
    <col min="2" max="2" width="18.5703125" style="329" customWidth="1"/>
    <col min="3" max="3" width="3.140625" style="329" customWidth="1"/>
    <col min="4" max="5" width="9.140625" style="329"/>
    <col min="6" max="6" width="11" style="329" bestFit="1" customWidth="1"/>
    <col min="7" max="16384" width="9.140625" style="329"/>
  </cols>
  <sheetData>
    <row r="2" spans="1:6" x14ac:dyDescent="0.2">
      <c r="A2" s="1935" t="s">
        <v>258</v>
      </c>
    </row>
    <row r="3" spans="1:6" x14ac:dyDescent="0.2">
      <c r="A3" s="1935" t="s">
        <v>259</v>
      </c>
    </row>
    <row r="5" spans="1:6" x14ac:dyDescent="0.2">
      <c r="A5" s="1936" t="s">
        <v>2069</v>
      </c>
    </row>
    <row r="6" spans="1:6" ht="13.5" thickBot="1" x14ac:dyDescent="0.25">
      <c r="A6" s="1936"/>
      <c r="B6" s="329" t="s">
        <v>2070</v>
      </c>
      <c r="F6" s="1939">
        <f>'Revenues 9-14'!C74</f>
        <v>1228</v>
      </c>
    </row>
    <row r="7" spans="1:6" ht="13.5" thickTop="1" x14ac:dyDescent="0.2">
      <c r="A7" s="1936"/>
      <c r="F7" s="1942"/>
    </row>
    <row r="8" spans="1:6" x14ac:dyDescent="0.2">
      <c r="A8" s="1936" t="s">
        <v>2071</v>
      </c>
    </row>
    <row r="9" spans="1:6" x14ac:dyDescent="0.2">
      <c r="A9" s="1936"/>
      <c r="B9" s="329" t="s">
        <v>2072</v>
      </c>
      <c r="F9" s="1938">
        <v>80289</v>
      </c>
    </row>
    <row r="10" spans="1:6" x14ac:dyDescent="0.2">
      <c r="A10" s="1937"/>
      <c r="B10" s="329" t="s">
        <v>2073</v>
      </c>
      <c r="F10" s="1940">
        <v>23375</v>
      </c>
    </row>
    <row r="11" spans="1:6" x14ac:dyDescent="0.2">
      <c r="A11" s="1937"/>
      <c r="B11" s="329" t="s">
        <v>2074</v>
      </c>
      <c r="F11" s="1940">
        <v>1500</v>
      </c>
    </row>
    <row r="12" spans="1:6" x14ac:dyDescent="0.2">
      <c r="A12" s="1937"/>
      <c r="B12" s="329" t="s">
        <v>2075</v>
      </c>
      <c r="F12" s="1940">
        <f>153+148+82+51+129.75</f>
        <v>563.75</v>
      </c>
    </row>
    <row r="13" spans="1:6" x14ac:dyDescent="0.2">
      <c r="A13" s="1937"/>
      <c r="B13" s="329" t="s">
        <v>2076</v>
      </c>
      <c r="F13" s="1940">
        <f>482.39+505.36+476.77+459.42+597.24+286.61+505.36+475.95+321.59+253.58+57.96+273.48+276.65+344.57+206.75+340.5+482.39+459.42</f>
        <v>6805.9900000000007</v>
      </c>
    </row>
    <row r="14" spans="1:6" x14ac:dyDescent="0.2">
      <c r="A14" s="1937"/>
      <c r="B14" s="329" t="s">
        <v>2077</v>
      </c>
      <c r="F14" s="1940">
        <f>549+366+183+183+366+549+364+185+183</f>
        <v>2928</v>
      </c>
    </row>
    <row r="15" spans="1:6" x14ac:dyDescent="0.2">
      <c r="A15" s="1937"/>
      <c r="B15" s="329" t="s">
        <v>2078</v>
      </c>
      <c r="F15" s="1940">
        <v>2373.4699999999998</v>
      </c>
    </row>
    <row r="16" spans="1:6" x14ac:dyDescent="0.2">
      <c r="A16" s="1937"/>
      <c r="B16" s="329" t="s">
        <v>2079</v>
      </c>
      <c r="F16" s="1941">
        <f>+F17-F9-F10-F11-F12-F13-F14-F15</f>
        <v>5544.7899999999991</v>
      </c>
    </row>
    <row r="17" spans="1:6" ht="13.5" thickBot="1" x14ac:dyDescent="0.25">
      <c r="A17" s="1937"/>
      <c r="F17" s="1939">
        <f>'Revenues 9-14'!C107</f>
        <v>123380</v>
      </c>
    </row>
    <row r="18" spans="1:6" ht="13.5" thickTop="1" x14ac:dyDescent="0.2">
      <c r="A18" s="1937"/>
    </row>
    <row r="19" spans="1:6" x14ac:dyDescent="0.2">
      <c r="A19" s="1936" t="s">
        <v>2080</v>
      </c>
    </row>
    <row r="20" spans="1:6" x14ac:dyDescent="0.2">
      <c r="A20" s="1937"/>
      <c r="B20" s="329" t="s">
        <v>2084</v>
      </c>
      <c r="F20" s="1938">
        <f>3506+3501</f>
        <v>7007</v>
      </c>
    </row>
    <row r="21" spans="1:6" x14ac:dyDescent="0.2">
      <c r="A21" s="1937"/>
      <c r="B21" s="329" t="s">
        <v>2085</v>
      </c>
      <c r="F21" s="1941">
        <f>7901+17810</f>
        <v>25711</v>
      </c>
    </row>
    <row r="22" spans="1:6" ht="13.5" thickBot="1" x14ac:dyDescent="0.25">
      <c r="A22" s="1937"/>
      <c r="F22" s="1939">
        <f>+F20+F21</f>
        <v>32718</v>
      </c>
    </row>
    <row r="23" spans="1:6" ht="13.5" thickTop="1" x14ac:dyDescent="0.2">
      <c r="A23" s="1936" t="s">
        <v>2081</v>
      </c>
    </row>
    <row r="24" spans="1:6" x14ac:dyDescent="0.2">
      <c r="A24" s="1937"/>
      <c r="B24" s="329" t="s">
        <v>2082</v>
      </c>
      <c r="F24" s="1938">
        <f>9410-F25</f>
        <v>5735</v>
      </c>
    </row>
    <row r="25" spans="1:6" x14ac:dyDescent="0.2">
      <c r="A25" s="1937"/>
      <c r="B25" s="329" t="s">
        <v>2083</v>
      </c>
      <c r="F25" s="1941">
        <f>2405+1270</f>
        <v>3675</v>
      </c>
    </row>
    <row r="26" spans="1:6" ht="13.5" thickBot="1" x14ac:dyDescent="0.25">
      <c r="A26" s="1937"/>
      <c r="F26" s="1939">
        <f>+F24+F25</f>
        <v>9410</v>
      </c>
    </row>
    <row r="27" spans="1:6" ht="13.5" thickTop="1" x14ac:dyDescent="0.2">
      <c r="A27" s="1937"/>
      <c r="F27" s="1942"/>
    </row>
    <row r="28" spans="1:6" x14ac:dyDescent="0.2">
      <c r="A28" s="1936" t="s">
        <v>2091</v>
      </c>
      <c r="F28" s="1942"/>
    </row>
    <row r="29" spans="1:6" ht="13.5" thickBot="1" x14ac:dyDescent="0.25">
      <c r="A29" s="1937"/>
      <c r="B29" s="329" t="s">
        <v>2092</v>
      </c>
      <c r="F29" s="1939">
        <v>16345</v>
      </c>
    </row>
    <row r="30" spans="1:6" ht="13.5" thickTop="1" x14ac:dyDescent="0.2">
      <c r="A30" s="1937"/>
    </row>
    <row r="31" spans="1:6" x14ac:dyDescent="0.2">
      <c r="A31" s="1936" t="s">
        <v>2086</v>
      </c>
    </row>
    <row r="32" spans="1:6" x14ac:dyDescent="0.2">
      <c r="A32" s="1936"/>
      <c r="B32" s="329" t="s">
        <v>2087</v>
      </c>
      <c r="F32" s="1938">
        <v>134450</v>
      </c>
    </row>
    <row r="33" spans="1:6" x14ac:dyDescent="0.2">
      <c r="A33" s="1936"/>
      <c r="B33" s="329" t="s">
        <v>2088</v>
      </c>
      <c r="F33" s="1940">
        <v>38764</v>
      </c>
    </row>
    <row r="34" spans="1:6" x14ac:dyDescent="0.2">
      <c r="A34" s="1937"/>
      <c r="B34" s="329" t="s">
        <v>1063</v>
      </c>
      <c r="F34" s="1941">
        <v>821</v>
      </c>
    </row>
    <row r="35" spans="1:6" ht="13.5" thickBot="1" x14ac:dyDescent="0.25">
      <c r="A35" s="1937"/>
      <c r="F35" s="1939">
        <f>'Revenues 9-14'!C168</f>
        <v>174035</v>
      </c>
    </row>
    <row r="36" spans="1:6" ht="13.5" thickTop="1" x14ac:dyDescent="0.2">
      <c r="A36" s="1937"/>
    </row>
    <row r="37" spans="1:6" x14ac:dyDescent="0.2">
      <c r="A37" s="1936" t="s">
        <v>2089</v>
      </c>
    </row>
    <row r="38" spans="1:6" ht="13.5" thickBot="1" x14ac:dyDescent="0.25">
      <c r="A38" s="1936"/>
      <c r="B38" s="329" t="s">
        <v>2090</v>
      </c>
      <c r="F38" s="1939">
        <v>501</v>
      </c>
    </row>
    <row r="39" spans="1:6" ht="13.5" thickTop="1" x14ac:dyDescent="0.2">
      <c r="A39" s="1937"/>
    </row>
    <row r="40" spans="1:6" x14ac:dyDescent="0.2">
      <c r="A40" s="1936" t="s">
        <v>2093</v>
      </c>
    </row>
    <row r="41" spans="1:6" ht="13.5" thickBot="1" x14ac:dyDescent="0.25">
      <c r="A41" s="1937"/>
      <c r="B41" s="329" t="s">
        <v>2094</v>
      </c>
      <c r="F41" s="1939">
        <v>3625</v>
      </c>
    </row>
    <row r="42" spans="1:6" ht="13.5" thickTop="1" x14ac:dyDescent="0.2">
      <c r="A42" s="1937"/>
    </row>
    <row r="43" spans="1:6" ht="13.5" thickBot="1" x14ac:dyDescent="0.25">
      <c r="A43" s="1937"/>
      <c r="B43" s="329" t="s">
        <v>2095</v>
      </c>
      <c r="F43" s="1939">
        <v>4745</v>
      </c>
    </row>
    <row r="44" spans="1:6" ht="13.5" thickTop="1" x14ac:dyDescent="0.2">
      <c r="A44" s="1937"/>
    </row>
    <row r="45" spans="1:6" x14ac:dyDescent="0.2">
      <c r="A45" s="1936" t="s">
        <v>2096</v>
      </c>
    </row>
    <row r="46" spans="1:6" ht="13.5" thickBot="1" x14ac:dyDescent="0.25">
      <c r="A46" s="1936"/>
      <c r="B46" s="329" t="s">
        <v>2097</v>
      </c>
      <c r="F46" s="1939">
        <v>59339</v>
      </c>
    </row>
    <row r="47" spans="1:6" ht="13.5" thickTop="1" x14ac:dyDescent="0.2">
      <c r="A47" s="1937"/>
    </row>
    <row r="48" spans="1:6" x14ac:dyDescent="0.2">
      <c r="A48" s="1937"/>
    </row>
    <row r="49" spans="1:1" x14ac:dyDescent="0.2">
      <c r="A49" s="1937"/>
    </row>
    <row r="50" spans="1:1" x14ac:dyDescent="0.2">
      <c r="A50" s="1937"/>
    </row>
    <row r="51" spans="1:1" x14ac:dyDescent="0.2">
      <c r="A51" s="1937"/>
    </row>
    <row r="52" spans="1:1" x14ac:dyDescent="0.2">
      <c r="A52" s="1937"/>
    </row>
    <row r="53" spans="1:1" x14ac:dyDescent="0.2">
      <c r="A53" s="1937"/>
    </row>
    <row r="54" spans="1:1" x14ac:dyDescent="0.2">
      <c r="A54" s="1937"/>
    </row>
    <row r="55" spans="1:1" x14ac:dyDescent="0.2">
      <c r="A55" s="1937"/>
    </row>
    <row r="56" spans="1:1" x14ac:dyDescent="0.2">
      <c r="A56" s="1937"/>
    </row>
    <row r="57" spans="1:1" x14ac:dyDescent="0.2">
      <c r="A57" s="1937"/>
    </row>
    <row r="58" spans="1:1" x14ac:dyDescent="0.2">
      <c r="A58" s="1937"/>
    </row>
    <row r="59" spans="1:1" x14ac:dyDescent="0.2">
      <c r="A59" s="1937"/>
    </row>
    <row r="60" spans="1:1" x14ac:dyDescent="0.2">
      <c r="A60" s="1937"/>
    </row>
    <row r="61" spans="1:1" x14ac:dyDescent="0.2">
      <c r="A61" s="1937"/>
    </row>
    <row r="62" spans="1:1" x14ac:dyDescent="0.2">
      <c r="A62" s="1937"/>
    </row>
    <row r="63" spans="1:1" x14ac:dyDescent="0.2">
      <c r="A63" s="1937"/>
    </row>
    <row r="64" spans="1:1" x14ac:dyDescent="0.2">
      <c r="A64" s="1937"/>
    </row>
    <row r="65" spans="1:2" x14ac:dyDescent="0.2">
      <c r="A65" s="1937"/>
    </row>
    <row r="66" spans="1:2" x14ac:dyDescent="0.2">
      <c r="A66" s="1937"/>
    </row>
    <row r="67" spans="1:2" x14ac:dyDescent="0.2">
      <c r="A67" s="1937"/>
    </row>
    <row r="68" spans="1:2" x14ac:dyDescent="0.2">
      <c r="A68" s="1937"/>
    </row>
    <row r="69" spans="1:2" x14ac:dyDescent="0.2">
      <c r="A69" s="1937"/>
    </row>
    <row r="70" spans="1:2" x14ac:dyDescent="0.2">
      <c r="A70" s="1937"/>
    </row>
    <row r="71" spans="1:2" x14ac:dyDescent="0.2">
      <c r="A71" s="1937"/>
    </row>
    <row r="72" spans="1:2" x14ac:dyDescent="0.2">
      <c r="A72" s="1937"/>
    </row>
    <row r="73" spans="1:2" x14ac:dyDescent="0.2">
      <c r="A73" s="1937"/>
    </row>
    <row r="74" spans="1:2" x14ac:dyDescent="0.2">
      <c r="A74" s="1937"/>
      <c r="B74" s="258" t="str">
        <f>COVER!A17</f>
        <v>Centralia SD 135</v>
      </c>
    </row>
    <row r="75" spans="1:2" x14ac:dyDescent="0.2">
      <c r="B75" s="1068">
        <f>COVER!A13</f>
        <v>13058135002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4" t="s">
        <v>1611</v>
      </c>
    </row>
    <row r="23" spans="1:5" x14ac:dyDescent="0.2">
      <c r="A23" s="168"/>
      <c r="B23" s="162" t="s">
        <v>1854</v>
      </c>
      <c r="D23" s="167" t="s">
        <v>637</v>
      </c>
      <c r="E23" s="1834"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3" t="s">
        <v>1773</v>
      </c>
    </row>
    <row r="60" spans="1:3" x14ac:dyDescent="0.2">
      <c r="A60" s="196"/>
      <c r="B60" s="148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3" sqref="B2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4" t="s">
        <v>1685</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5</xdr:row>
                <xdr:rowOff>76200</xdr:rowOff>
              </from>
              <to>
                <xdr:col>1</xdr:col>
                <xdr:colOff>914400</xdr:colOff>
                <xdr:row>10</xdr:row>
                <xdr:rowOff>142875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1984</v>
      </c>
      <c r="B2" s="2356"/>
      <c r="C2" s="2356"/>
      <c r="D2" s="2356"/>
      <c r="E2" s="2356"/>
      <c r="F2" s="2357"/>
      <c r="G2" s="1072"/>
      <c r="H2" s="1072"/>
    </row>
    <row r="3" spans="1:8" ht="57" customHeight="1" x14ac:dyDescent="0.2">
      <c r="A3" s="2358" t="s">
        <v>1686</v>
      </c>
      <c r="B3" s="2359"/>
      <c r="C3" s="2359"/>
      <c r="D3" s="2359"/>
      <c r="E3" s="2359"/>
      <c r="F3" s="2360"/>
      <c r="G3" s="1072"/>
      <c r="H3" s="1072"/>
    </row>
    <row r="4" spans="1:8" ht="14.25" customHeight="1" x14ac:dyDescent="0.2">
      <c r="A4" s="2364" t="s">
        <v>1985</v>
      </c>
      <c r="B4" s="2365"/>
      <c r="C4" s="2365"/>
      <c r="D4" s="2365"/>
      <c r="E4" s="2365"/>
      <c r="F4" s="2366"/>
      <c r="G4" s="1072"/>
      <c r="H4" s="1072"/>
    </row>
    <row r="5" spans="1:8" ht="14.25" customHeight="1" x14ac:dyDescent="0.2">
      <c r="A5" s="2367" t="s">
        <v>1981</v>
      </c>
      <c r="B5" s="2368"/>
      <c r="C5" s="2368"/>
      <c r="D5" s="2368"/>
      <c r="E5" s="2368"/>
      <c r="F5" s="2369"/>
      <c r="G5" s="1072"/>
      <c r="H5" s="1072"/>
    </row>
    <row r="6" spans="1:8" s="1073" customFormat="1" ht="41.25" customHeight="1" x14ac:dyDescent="0.2">
      <c r="A6" s="2361" t="s">
        <v>1691</v>
      </c>
      <c r="B6" s="2362"/>
      <c r="C6" s="2362"/>
      <c r="D6" s="2362"/>
      <c r="E6" s="2362"/>
      <c r="F6" s="2363"/>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13">
        <f>'Acct Summary 7-8'!C8</f>
        <v>12266758</v>
      </c>
      <c r="C8" s="1813">
        <f>'Acct Summary 7-8'!D8</f>
        <v>475414</v>
      </c>
      <c r="D8" s="1813">
        <f>'Acct Summary 7-8'!F8</f>
        <v>570841</v>
      </c>
      <c r="E8" s="1813">
        <f>'Acct Summary 7-8'!I8</f>
        <v>61842</v>
      </c>
      <c r="F8" s="1813">
        <f>SUM(B8:E8)</f>
        <v>13374855</v>
      </c>
    </row>
    <row r="9" spans="1:8" s="1077" customFormat="1" ht="14.25" customHeight="1" thickBot="1" x14ac:dyDescent="0.25">
      <c r="A9" s="1076" t="s">
        <v>1369</v>
      </c>
      <c r="B9" s="1814">
        <f>'Acct Summary 7-8'!C17</f>
        <v>11694267</v>
      </c>
      <c r="C9" s="1814">
        <f>'Acct Summary 7-8'!D17</f>
        <v>430180</v>
      </c>
      <c r="D9" s="1814">
        <f>'Acct Summary 7-8'!F17</f>
        <v>716386</v>
      </c>
      <c r="E9" s="1813"/>
      <c r="F9" s="1813">
        <f>SUM(B9:E9)</f>
        <v>12840833</v>
      </c>
    </row>
    <row r="10" spans="1:8" s="1077" customFormat="1" ht="14.25" thickTop="1" thickBot="1" x14ac:dyDescent="0.25">
      <c r="A10" s="1078" t="s">
        <v>1370</v>
      </c>
      <c r="B10" s="1815">
        <f>(B8-B9)</f>
        <v>572491</v>
      </c>
      <c r="C10" s="1815">
        <f>(C8-C9)</f>
        <v>45234</v>
      </c>
      <c r="D10" s="1815">
        <f>(D8-D9)</f>
        <v>-145545</v>
      </c>
      <c r="E10" s="1814">
        <f>(E8-E9)</f>
        <v>61842</v>
      </c>
      <c r="F10" s="1816">
        <f>SUM(F8-F9)</f>
        <v>534022</v>
      </c>
    </row>
    <row r="11" spans="1:8" s="1077" customFormat="1" ht="14.25" thickTop="1" thickBot="1" x14ac:dyDescent="0.25">
      <c r="A11" s="1079" t="s">
        <v>1982</v>
      </c>
      <c r="B11" s="1817">
        <f>'Acct Summary 7-8'!C81</f>
        <v>4951196</v>
      </c>
      <c r="C11" s="1817">
        <f>'Acct Summary 7-8'!D81</f>
        <v>137516</v>
      </c>
      <c r="D11" s="1817">
        <f>'Acct Summary 7-8'!F81</f>
        <v>642506</v>
      </c>
      <c r="E11" s="1817">
        <f>'Acct Summary 7-8'!I81</f>
        <v>0</v>
      </c>
      <c r="F11" s="1818">
        <f>SUM(B11:E11)</f>
        <v>5731218</v>
      </c>
    </row>
    <row r="12" spans="1:8" ht="16.5" customHeight="1" thickTop="1" x14ac:dyDescent="0.2">
      <c r="A12" s="1080"/>
      <c r="B12" s="1081"/>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2"/>
      <c r="B13" s="1083"/>
      <c r="C13" s="2349"/>
      <c r="D13" s="2350"/>
      <c r="E13" s="2350"/>
      <c r="F13" s="2351"/>
      <c r="H13" s="1072"/>
    </row>
    <row r="14" spans="1:8" ht="19.5" customHeight="1" x14ac:dyDescent="0.2">
      <c r="A14" s="1082"/>
      <c r="B14" s="1083"/>
      <c r="C14" s="2349"/>
      <c r="D14" s="2350"/>
      <c r="E14" s="2350"/>
      <c r="F14" s="2351"/>
      <c r="H14" s="1072"/>
    </row>
    <row r="15" spans="1:8" ht="17.25" customHeight="1" x14ac:dyDescent="0.2">
      <c r="A15" s="1082"/>
      <c r="B15" s="1083"/>
      <c r="C15" s="2352"/>
      <c r="D15" s="2353"/>
      <c r="E15" s="2353"/>
      <c r="F15" s="2354"/>
      <c r="H15" s="1072"/>
    </row>
    <row r="16" spans="1:8" s="310" customFormat="1" ht="51.75" hidden="1" customHeight="1" x14ac:dyDescent="0.2">
      <c r="A16" s="2348" t="s">
        <v>1687</v>
      </c>
      <c r="B16" s="2348"/>
      <c r="C16" s="2348"/>
      <c r="D16" s="2348"/>
      <c r="E16" s="2348"/>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6" colorId="8" zoomScale="110" zoomScaleNormal="110" workbookViewId="0">
      <selection activeCell="C38" sqref="C38"/>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70" t="s">
        <v>665</v>
      </c>
      <c r="B3" s="2371"/>
      <c r="C3" s="2371"/>
      <c r="D3" s="2372"/>
    </row>
    <row r="4" spans="1:4" x14ac:dyDescent="0.2">
      <c r="A4" s="1150" t="s">
        <v>1692</v>
      </c>
      <c r="B4" s="1151"/>
      <c r="C4" s="1152"/>
      <c r="D4" s="1153"/>
    </row>
    <row r="5" spans="1:4" ht="21" customHeight="1" x14ac:dyDescent="0.2">
      <c r="A5" s="1146"/>
      <c r="B5" s="1147">
        <v>1</v>
      </c>
      <c r="C5" s="1148" t="s">
        <v>1832</v>
      </c>
      <c r="D5" s="1149"/>
    </row>
    <row r="6" spans="1:4" s="668" customFormat="1" ht="14.25" customHeight="1" x14ac:dyDescent="0.2">
      <c r="A6" s="1136"/>
      <c r="B6" s="1091">
        <f t="shared" ref="B6:B13" si="0">B5+1</f>
        <v>2</v>
      </c>
      <c r="C6" s="1092" t="s">
        <v>864</v>
      </c>
      <c r="D6" s="1093"/>
    </row>
    <row r="7" spans="1:4" s="668" customFormat="1" ht="12.75" x14ac:dyDescent="0.2">
      <c r="A7" s="1136"/>
      <c r="B7" s="1091">
        <f t="shared" si="0"/>
        <v>3</v>
      </c>
      <c r="C7" s="2381" t="s">
        <v>1504</v>
      </c>
      <c r="D7" s="2382"/>
    </row>
    <row r="8" spans="1:4" s="668" customFormat="1" ht="12.75" x14ac:dyDescent="0.2">
      <c r="A8" s="1136"/>
      <c r="B8" s="1091"/>
      <c r="C8" s="1094" t="s">
        <v>1503</v>
      </c>
      <c r="D8" s="1095"/>
    </row>
    <row r="9" spans="1:4" s="668" customFormat="1" ht="14.25" customHeight="1" x14ac:dyDescent="0.2">
      <c r="A9" s="1136"/>
      <c r="B9" s="1091">
        <f>B7+1</f>
        <v>4</v>
      </c>
      <c r="C9" s="1092" t="s">
        <v>1910</v>
      </c>
      <c r="D9" s="1093"/>
    </row>
    <row r="10" spans="1:4" s="668" customFormat="1" ht="14.25" customHeight="1" x14ac:dyDescent="0.2">
      <c r="A10" s="1136"/>
      <c r="B10" s="1091">
        <f t="shared" si="0"/>
        <v>5</v>
      </c>
      <c r="C10" s="1092" t="s">
        <v>639</v>
      </c>
      <c r="D10" s="1093"/>
    </row>
    <row r="11" spans="1:4" s="668" customFormat="1" ht="14.25" customHeight="1" x14ac:dyDescent="0.2">
      <c r="A11" s="1136"/>
      <c r="B11" s="1091">
        <f t="shared" si="0"/>
        <v>6</v>
      </c>
      <c r="C11" s="1092" t="s">
        <v>778</v>
      </c>
      <c r="D11" s="1093"/>
    </row>
    <row r="12" spans="1:4" s="668" customFormat="1" ht="14.25" customHeight="1" x14ac:dyDescent="0.2">
      <c r="A12" s="1136"/>
      <c r="B12" s="1091">
        <f t="shared" si="0"/>
        <v>7</v>
      </c>
      <c r="C12" s="1092" t="s">
        <v>1062</v>
      </c>
      <c r="D12" s="1093"/>
    </row>
    <row r="13" spans="1:4" s="668" customFormat="1" ht="14.25" customHeight="1" x14ac:dyDescent="0.2">
      <c r="A13" s="1136"/>
      <c r="B13" s="1091">
        <f t="shared" si="0"/>
        <v>8</v>
      </c>
      <c r="C13" s="1132" t="s">
        <v>779</v>
      </c>
      <c r="D13" s="1093"/>
    </row>
    <row r="14" spans="1:4" s="668" customFormat="1" ht="14.25" customHeight="1" x14ac:dyDescent="0.2">
      <c r="A14" s="1136"/>
      <c r="B14" s="1133">
        <v>9</v>
      </c>
      <c r="C14" s="1134" t="s">
        <v>1505</v>
      </c>
      <c r="D14" s="1135"/>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4" t="s">
        <v>1693</v>
      </c>
      <c r="B17" s="1155"/>
      <c r="C17" s="1156"/>
      <c r="D17" s="1157"/>
    </row>
    <row r="18" spans="1:10" s="668"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5" t="s">
        <v>314</v>
      </c>
      <c r="D21" s="2386"/>
    </row>
    <row r="22" spans="1:10" ht="12.75" x14ac:dyDescent="0.2">
      <c r="A22" s="1137"/>
      <c r="B22" s="1138">
        <v>2</v>
      </c>
      <c r="C22" s="2383" t="s">
        <v>1524</v>
      </c>
      <c r="D22" s="2384"/>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NO FINDINGS WERE ISSUED</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7" t="s">
        <v>536</v>
      </c>
      <c r="D43" s="2388"/>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9" t="s">
        <v>784</v>
      </c>
      <c r="D56" s="2380"/>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1911</v>
      </c>
      <c r="D66" s="1123"/>
    </row>
    <row r="67" spans="1:4" x14ac:dyDescent="0.2">
      <c r="A67" s="1117"/>
      <c r="B67" s="1138"/>
      <c r="C67" s="1145" t="s">
        <v>1021</v>
      </c>
      <c r="D67" s="1123"/>
    </row>
    <row r="68" spans="1:4" x14ac:dyDescent="0.2">
      <c r="A68" s="1098"/>
      <c r="B68" s="1108"/>
      <c r="C68" s="1100" t="s">
        <v>1912</v>
      </c>
      <c r="D68" s="1122" t="str">
        <f>IF('Short-Term Long-Term Debt 24'!F49=SUM(,'Acct Summary 7-8'!C33:K33),"OK","ERROR!")</f>
        <v>OK</v>
      </c>
    </row>
    <row r="69" spans="1:4" x14ac:dyDescent="0.2">
      <c r="A69" s="1098"/>
      <c r="B69" s="1108"/>
      <c r="C69" s="1100" t="s">
        <v>1913</v>
      </c>
      <c r="D69" s="1122" t="str">
        <f>IF('Expenditures 15-22'!H170&lt;&gt;'Short-Term Long-Term Debt 24'!H49,"ERROR!","OK")</f>
        <v>OK</v>
      </c>
    </row>
    <row r="70" spans="1:4" x14ac:dyDescent="0.2">
      <c r="A70" s="1096"/>
      <c r="B70" s="1118">
        <f>B66+1</f>
        <v>9</v>
      </c>
      <c r="C70" s="2379" t="s">
        <v>1696</v>
      </c>
      <c r="D70" s="2380"/>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1914</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1915</v>
      </c>
      <c r="D78" s="1122" t="str">
        <f>IF(ISNUMBER('Acct Summary 7-8'!C9),"OK","ENTRY IS REQUIRED!")</f>
        <v>OK</v>
      </c>
    </row>
    <row r="79" spans="1:4" x14ac:dyDescent="0.2">
      <c r="A79" s="1117"/>
      <c r="B79" s="1118">
        <f>B74+1+1</f>
        <v>12</v>
      </c>
      <c r="C79" s="1128" t="s">
        <v>1900</v>
      </c>
      <c r="D79" s="1129" t="str">
        <f>IF(OR(COVER!$B$6="X",'PCTC-OEPP 27-28'!F78&gt;0),"OK","PLEASE ENTER 9 MO ADA.")</f>
        <v>OK</v>
      </c>
    </row>
    <row r="80" spans="1:4" x14ac:dyDescent="0.2">
      <c r="A80" s="1096"/>
      <c r="B80" s="1118">
        <v>13</v>
      </c>
      <c r="C80" s="1128" t="s">
        <v>1916</v>
      </c>
      <c r="D80" s="1129" t="str">
        <f>IF('Contracts Paid in CY 29'!D141&gt;0,"OK","PLEASE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13058135002</v>
      </c>
    </row>
    <row r="3" spans="1:2" x14ac:dyDescent="0.2">
      <c r="A3" t="s">
        <v>956</v>
      </c>
      <c r="B3" s="138" t="str">
        <f>COVER!A15</f>
        <v>Marion</v>
      </c>
    </row>
    <row r="4" spans="1:2" x14ac:dyDescent="0.2">
      <c r="A4" t="s">
        <v>1007</v>
      </c>
      <c r="B4" s="138" t="str">
        <f>COVER!A17</f>
        <v>Centralia SD 135</v>
      </c>
    </row>
    <row r="5" spans="1:2" x14ac:dyDescent="0.2">
      <c r="A5" t="s">
        <v>704</v>
      </c>
      <c r="B5" s="138" t="str">
        <f>COVER!A38</f>
        <v>Craig E. Clark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066-004976</v>
      </c>
    </row>
    <row r="16" spans="1:2" x14ac:dyDescent="0.2">
      <c r="A16" t="s">
        <v>422</v>
      </c>
      <c r="B16" s="138" t="str">
        <f>COVER!T13</f>
        <v>Glass &amp; Shuffett, Ltd.</v>
      </c>
    </row>
    <row r="17" spans="1:2" x14ac:dyDescent="0.2">
      <c r="A17" t="s">
        <v>884</v>
      </c>
      <c r="B17" s="138" t="str">
        <f>COVER!T15</f>
        <v>Bo V. Thomas, CPA</v>
      </c>
    </row>
    <row r="18" spans="1:2" x14ac:dyDescent="0.2">
      <c r="A18" t="s">
        <v>1150</v>
      </c>
      <c r="B18" s="138" t="str">
        <f>COVER!T17</f>
        <v>1819 W McCord, PO Box 489</v>
      </c>
    </row>
    <row r="19" spans="1:2" x14ac:dyDescent="0.2">
      <c r="A19" t="s">
        <v>886</v>
      </c>
      <c r="B19" s="138" t="str">
        <f>COVER!T25</f>
        <v>gandscpa@sbcglobal.net</v>
      </c>
    </row>
    <row r="20" spans="1:2" x14ac:dyDescent="0.2">
      <c r="A20" t="s">
        <v>887</v>
      </c>
      <c r="B20" s="138" t="str">
        <f>COVER!T19</f>
        <v>Centralia</v>
      </c>
    </row>
    <row r="21" spans="1:2" x14ac:dyDescent="0.2">
      <c r="A21" t="s">
        <v>479</v>
      </c>
      <c r="B21" s="138" t="str">
        <f>COVER!X19</f>
        <v>IL</v>
      </c>
    </row>
    <row r="22" spans="1:2" x14ac:dyDescent="0.2">
      <c r="A22" t="s">
        <v>888</v>
      </c>
      <c r="B22" s="138">
        <f>COVER!Z19</f>
        <v>62801</v>
      </c>
    </row>
    <row r="23" spans="1:2" x14ac:dyDescent="0.2">
      <c r="A23" t="s">
        <v>1152</v>
      </c>
      <c r="B23" s="138" t="str">
        <f>COVER!T21</f>
        <v>618-532-5683</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1970328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4951196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4851196</v>
      </c>
      <c r="D92" s="2" t="str">
        <f t="shared" si="0"/>
        <v>Error?</v>
      </c>
    </row>
    <row r="93" spans="1:4" x14ac:dyDescent="0.2">
      <c r="A93" s="5">
        <v>32</v>
      </c>
      <c r="B93" s="138">
        <f>'Assets-Liab 5-6'!C41</f>
        <v>4951196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137516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137516</v>
      </c>
      <c r="D123" s="2" t="str">
        <f t="shared" si="0"/>
        <v>Error?</v>
      </c>
    </row>
    <row r="124" spans="1:4" x14ac:dyDescent="0.2">
      <c r="A124" s="5">
        <v>63</v>
      </c>
      <c r="B124" s="138">
        <f>'Assets-Liab 5-6'!D41</f>
        <v>137516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311154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311154</v>
      </c>
      <c r="D140" s="2" t="str">
        <f t="shared" si="1"/>
        <v>Error?</v>
      </c>
    </row>
    <row r="141" spans="1:4" x14ac:dyDescent="0.2">
      <c r="A141" s="5">
        <v>80</v>
      </c>
      <c r="B141" s="138">
        <f>'Assets-Liab 5-6'!E41</f>
        <v>311154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642506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642506</v>
      </c>
      <c r="D170" s="2" t="str">
        <f t="shared" si="1"/>
        <v>Error?</v>
      </c>
    </row>
    <row r="171" spans="1:4" x14ac:dyDescent="0.2">
      <c r="A171" s="5">
        <v>110</v>
      </c>
      <c r="B171" s="138">
        <f>'Assets-Liab 5-6'!F41</f>
        <v>642506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263064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263064</v>
      </c>
      <c r="D189" s="2" t="str">
        <f t="shared" si="1"/>
        <v>Error?</v>
      </c>
    </row>
    <row r="190" spans="1:4" x14ac:dyDescent="0.2">
      <c r="A190" s="5">
        <v>129</v>
      </c>
      <c r="B190" s="138">
        <f>'Assets-Liab 5-6'!G41</f>
        <v>263064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212409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212409</v>
      </c>
      <c r="D212" s="2" t="str">
        <f t="shared" si="2"/>
        <v>Error?</v>
      </c>
    </row>
    <row r="213" spans="1:4" x14ac:dyDescent="0.2">
      <c r="A213" s="12">
        <v>152</v>
      </c>
      <c r="B213" s="138">
        <f>'Assets-Liab 5-6'!H41</f>
        <v>212409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365455</v>
      </c>
      <c r="D273" s="2" t="str">
        <f t="shared" si="3"/>
        <v>Error?</v>
      </c>
    </row>
    <row r="274" spans="1:4" x14ac:dyDescent="0.2">
      <c r="A274" s="5">
        <v>213</v>
      </c>
      <c r="B274" s="138">
        <f>'Assets-Liab 5-6'!M17</f>
        <v>18720263</v>
      </c>
      <c r="D274" s="2" t="str">
        <f t="shared" si="3"/>
        <v>Error?</v>
      </c>
    </row>
    <row r="275" spans="1:4" x14ac:dyDescent="0.2">
      <c r="A275" s="5">
        <v>214</v>
      </c>
      <c r="B275" s="138">
        <f>'Assets-Liab 5-6'!M18</f>
        <v>285718</v>
      </c>
      <c r="D275" s="2" t="str">
        <f t="shared" si="3"/>
        <v>Error?</v>
      </c>
    </row>
    <row r="276" spans="1:4" x14ac:dyDescent="0.2">
      <c r="A276" s="5">
        <v>215</v>
      </c>
      <c r="B276" s="138">
        <f>'Assets-Liab 5-6'!M19</f>
        <v>2773659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22519150</v>
      </c>
      <c r="C279" s="2" t="s">
        <v>573</v>
      </c>
      <c r="D279" s="2" t="str">
        <f t="shared" si="3"/>
        <v>Error?</v>
      </c>
    </row>
    <row r="280" spans="1:4" x14ac:dyDescent="0.2">
      <c r="A280" s="5">
        <v>219</v>
      </c>
      <c r="B280" s="138">
        <f>'Assets-Liab 5-6'!M40</f>
        <v>22519150</v>
      </c>
      <c r="D280" s="2" t="str">
        <f t="shared" si="3"/>
        <v>Error?</v>
      </c>
    </row>
    <row r="281" spans="1:4" x14ac:dyDescent="0.2">
      <c r="A281" s="5">
        <v>220</v>
      </c>
      <c r="B281" s="138">
        <f>'Assets-Liab 5-6'!M41</f>
        <v>22519150</v>
      </c>
      <c r="C281" s="2" t="s">
        <v>573</v>
      </c>
      <c r="D281" s="2" t="str">
        <f t="shared" si="3"/>
        <v>Error?</v>
      </c>
    </row>
    <row r="282" spans="1:4" x14ac:dyDescent="0.2">
      <c r="A282" s="5">
        <v>221</v>
      </c>
      <c r="B282" s="138">
        <f>'Assets-Liab 5-6'!N21</f>
        <v>311154</v>
      </c>
      <c r="D282" s="2" t="str">
        <f t="shared" si="3"/>
        <v>Error?</v>
      </c>
    </row>
    <row r="283" spans="1:4" x14ac:dyDescent="0.2">
      <c r="A283" s="5">
        <v>222</v>
      </c>
      <c r="B283" s="138">
        <f>'Assets-Liab 5-6'!N22</f>
        <v>3669569</v>
      </c>
      <c r="D283" s="2" t="str">
        <f t="shared" si="3"/>
        <v>Error?</v>
      </c>
    </row>
    <row r="284" spans="1:4" x14ac:dyDescent="0.2">
      <c r="A284" s="5">
        <v>223</v>
      </c>
      <c r="B284" s="138">
        <f>'Assets-Liab 5-6'!N23</f>
        <v>3980723</v>
      </c>
      <c r="C284" s="2" t="s">
        <v>573</v>
      </c>
      <c r="D284" s="2" t="str">
        <f t="shared" si="3"/>
        <v>Error?</v>
      </c>
    </row>
    <row r="285" spans="1:4" x14ac:dyDescent="0.2">
      <c r="A285" s="5">
        <v>224</v>
      </c>
      <c r="B285" s="138">
        <f>'Assets-Liab 5-6'!N36</f>
        <v>3980723</v>
      </c>
      <c r="D285" s="2" t="str">
        <f t="shared" si="3"/>
        <v>Error?</v>
      </c>
    </row>
    <row r="286" spans="1:4" x14ac:dyDescent="0.2">
      <c r="A286" s="10">
        <v>225</v>
      </c>
      <c r="D286" s="2" t="str">
        <f t="shared" si="3"/>
        <v>OK</v>
      </c>
    </row>
    <row r="287" spans="1:4" x14ac:dyDescent="0.2">
      <c r="A287" s="5">
        <v>226</v>
      </c>
      <c r="B287" s="138">
        <f>'Assets-Liab 5-6'!N37</f>
        <v>3980723</v>
      </c>
      <c r="C287" s="2" t="s">
        <v>573</v>
      </c>
      <c r="D287" s="2" t="str">
        <f t="shared" si="3"/>
        <v>Error?</v>
      </c>
    </row>
    <row r="288" spans="1:4" x14ac:dyDescent="0.2">
      <c r="A288" s="5">
        <v>227</v>
      </c>
      <c r="B288" s="138">
        <f>'Assets-Liab 5-6'!N41</f>
        <v>3980723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2503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845000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3522341</v>
      </c>
      <c r="D705" s="2" t="str">
        <f t="shared" si="10"/>
        <v>Error?</v>
      </c>
    </row>
    <row r="706" spans="1:4" x14ac:dyDescent="0.2">
      <c r="A706" s="5">
        <v>645</v>
      </c>
      <c r="B706" s="138">
        <f>'Expenditures 15-22'!C16</f>
        <v>17419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5594915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64738</v>
      </c>
      <c r="D722" s="2" t="str">
        <f t="shared" si="10"/>
        <v>Error?</v>
      </c>
    </row>
    <row r="723" spans="1:4" x14ac:dyDescent="0.2">
      <c r="A723" s="5">
        <v>662</v>
      </c>
      <c r="B723" s="138">
        <f>'Expenditures 15-22'!C38</f>
        <v>37931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102669</v>
      </c>
      <c r="C727" s="2" t="s">
        <v>573</v>
      </c>
      <c r="D727" s="2" t="str">
        <f t="shared" si="10"/>
        <v>Error?</v>
      </c>
    </row>
    <row r="728" spans="1:4" x14ac:dyDescent="0.2">
      <c r="A728" s="5">
        <v>667</v>
      </c>
      <c r="B728" s="138">
        <f>'Expenditures 15-22'!C44</f>
        <v>18542</v>
      </c>
      <c r="D728" s="2" t="str">
        <f t="shared" si="10"/>
        <v>Error?</v>
      </c>
    </row>
    <row r="729" spans="1:4" x14ac:dyDescent="0.2">
      <c r="A729" s="5">
        <v>668</v>
      </c>
      <c r="B729" s="138">
        <f>'Expenditures 15-22'!C45</f>
        <v>224905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243447</v>
      </c>
      <c r="C731" s="2" t="s">
        <v>573</v>
      </c>
      <c r="D731" s="2" t="str">
        <f t="shared" si="10"/>
        <v>Error?</v>
      </c>
    </row>
    <row r="732" spans="1:4" x14ac:dyDescent="0.2">
      <c r="A732" s="5">
        <v>671</v>
      </c>
      <c r="B732" s="138">
        <f>'Expenditures 15-22'!C49</f>
        <v>1800</v>
      </c>
      <c r="D732" s="2" t="str">
        <f t="shared" si="10"/>
        <v>Error?</v>
      </c>
    </row>
    <row r="733" spans="1:4" x14ac:dyDescent="0.2">
      <c r="A733" s="5">
        <v>672</v>
      </c>
      <c r="B733" s="138">
        <f>'Expenditures 15-22'!C50</f>
        <v>170714</v>
      </c>
      <c r="D733" s="2" t="str">
        <f t="shared" si="10"/>
        <v>Error?</v>
      </c>
    </row>
    <row r="734" spans="1:4" x14ac:dyDescent="0.2">
      <c r="A734" s="5">
        <v>673</v>
      </c>
      <c r="B734" s="138">
        <f>'Expenditures 15-22'!C53</f>
        <v>177514</v>
      </c>
      <c r="C734" s="2" t="s">
        <v>573</v>
      </c>
      <c r="D734" s="2" t="str">
        <f t="shared" si="10"/>
        <v>Error?</v>
      </c>
    </row>
    <row r="735" spans="1:4" x14ac:dyDescent="0.2">
      <c r="A735" s="5">
        <v>674</v>
      </c>
      <c r="B735" s="138">
        <f>'Expenditures 15-22'!C55</f>
        <v>705066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705066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178342</v>
      </c>
      <c r="D739" s="2" t="str">
        <f t="shared" si="10"/>
        <v>Error?</v>
      </c>
    </row>
    <row r="740" spans="1:4" x14ac:dyDescent="0.2">
      <c r="A740" s="5">
        <v>679</v>
      </c>
      <c r="B740" s="138">
        <f>'Expenditures 15-22'!C61</f>
        <v>500847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323946</v>
      </c>
      <c r="D742" s="2" t="str">
        <f t="shared" si="10"/>
        <v>Error?</v>
      </c>
    </row>
    <row r="743" spans="1:4" x14ac:dyDescent="0.2">
      <c r="A743" s="5">
        <v>682</v>
      </c>
      <c r="B743" s="138">
        <f>'Expenditures 15-22'!C64</f>
        <v>5388</v>
      </c>
      <c r="D743" s="2" t="str">
        <f t="shared" si="10"/>
        <v>Error?</v>
      </c>
    </row>
    <row r="744" spans="1:4" x14ac:dyDescent="0.2">
      <c r="A744" s="10">
        <v>683</v>
      </c>
      <c r="D744" s="2" t="str">
        <f t="shared" si="10"/>
        <v>OK</v>
      </c>
    </row>
    <row r="745" spans="1:4" x14ac:dyDescent="0.2">
      <c r="A745" s="5">
        <v>684</v>
      </c>
      <c r="B745" s="138">
        <f>'Expenditures 15-22'!C65</f>
        <v>1008523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12025</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12025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2249244</v>
      </c>
      <c r="C755" s="2" t="s">
        <v>573</v>
      </c>
      <c r="D755" s="2" t="str">
        <f t="shared" si="10"/>
        <v>Error?</v>
      </c>
    </row>
    <row r="756" spans="1:4" x14ac:dyDescent="0.2">
      <c r="A756" s="5">
        <v>695</v>
      </c>
      <c r="B756" s="138">
        <f>'Expenditures 15-22'!C75</f>
        <v>44590</v>
      </c>
      <c r="D756" s="2" t="str">
        <f t="shared" si="10"/>
        <v>Error?</v>
      </c>
    </row>
    <row r="757" spans="1:4" x14ac:dyDescent="0.2">
      <c r="A757" s="5">
        <v>696</v>
      </c>
      <c r="B757" s="138">
        <f>'Expenditures 15-22'!C114</f>
        <v>7888749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991211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1625642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18837</v>
      </c>
      <c r="D780" s="2" t="str">
        <f t="shared" si="11"/>
        <v>Error?</v>
      </c>
    </row>
    <row r="781" spans="1:4" x14ac:dyDescent="0.2">
      <c r="A781" s="5">
        <v>720</v>
      </c>
      <c r="B781" s="138">
        <f>'Expenditures 15-22'!D38</f>
        <v>5289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24126</v>
      </c>
      <c r="C785" s="2" t="s">
        <v>573</v>
      </c>
      <c r="D785" s="2" t="str">
        <f t="shared" si="11"/>
        <v>Error?</v>
      </c>
    </row>
    <row r="786" spans="1:4" x14ac:dyDescent="0.2">
      <c r="A786" s="5">
        <v>725</v>
      </c>
      <c r="B786" s="138">
        <f>'Expenditures 15-22'!D44</f>
        <v>1714</v>
      </c>
      <c r="D786" s="2" t="str">
        <f t="shared" si="11"/>
        <v>Error?</v>
      </c>
    </row>
    <row r="787" spans="1:4" x14ac:dyDescent="0.2">
      <c r="A787" s="5">
        <v>726</v>
      </c>
      <c r="B787" s="138">
        <f>'Expenditures 15-22'!D45</f>
        <v>53195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54909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33593</v>
      </c>
      <c r="D791" s="2" t="str">
        <f t="shared" si="11"/>
        <v>Error?</v>
      </c>
    </row>
    <row r="792" spans="1:4" x14ac:dyDescent="0.2">
      <c r="A792" s="5">
        <v>731</v>
      </c>
      <c r="B792" s="138">
        <f>'Expenditures 15-22'!D53</f>
        <v>34711</v>
      </c>
      <c r="C792" s="2" t="s">
        <v>573</v>
      </c>
      <c r="D792" s="2" t="str">
        <f t="shared" si="11"/>
        <v>Error?</v>
      </c>
    </row>
    <row r="793" spans="1:4" x14ac:dyDescent="0.2">
      <c r="A793" s="5">
        <v>732</v>
      </c>
      <c r="B793" s="138">
        <f>'Expenditures 15-22'!D55</f>
        <v>167367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167367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18315</v>
      </c>
      <c r="D797" s="2" t="str">
        <f t="shared" si="11"/>
        <v>Error?</v>
      </c>
    </row>
    <row r="798" spans="1:4" x14ac:dyDescent="0.2">
      <c r="A798" s="5">
        <v>737</v>
      </c>
      <c r="B798" s="138">
        <f>'Expenditures 15-22'!D61</f>
        <v>95142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114166</v>
      </c>
      <c r="D800" s="2" t="str">
        <f t="shared" si="11"/>
        <v>Error?</v>
      </c>
    </row>
    <row r="801" spans="1:4" x14ac:dyDescent="0.2">
      <c r="A801" s="5">
        <v>740</v>
      </c>
      <c r="B801" s="138">
        <f>'Expenditures 15-22'!D64</f>
        <v>964</v>
      </c>
      <c r="D801" s="2" t="str">
        <f t="shared" si="11"/>
        <v>Error?</v>
      </c>
    </row>
    <row r="802" spans="1:4" x14ac:dyDescent="0.2">
      <c r="A802" s="10">
        <v>741</v>
      </c>
      <c r="D802" s="2" t="str">
        <f t="shared" si="11"/>
        <v>OK</v>
      </c>
    </row>
    <row r="803" spans="1:4" x14ac:dyDescent="0.2">
      <c r="A803" s="5">
        <v>742</v>
      </c>
      <c r="B803" s="138">
        <f>'Expenditures 15-22'!D65</f>
        <v>228587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2670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2670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512370</v>
      </c>
      <c r="C813" s="2" t="s">
        <v>573</v>
      </c>
      <c r="D813" s="2" t="str">
        <f t="shared" si="11"/>
        <v>Error?</v>
      </c>
    </row>
    <row r="814" spans="1:4" x14ac:dyDescent="0.2">
      <c r="A814" s="5">
        <v>753</v>
      </c>
      <c r="B814" s="138">
        <f>'Expenditures 15-22'!D75</f>
        <v>9640</v>
      </c>
      <c r="D814" s="2" t="str">
        <f t="shared" si="11"/>
        <v>Error?</v>
      </c>
    </row>
    <row r="815" spans="1:4" x14ac:dyDescent="0.2">
      <c r="A815" s="5">
        <v>754</v>
      </c>
      <c r="B815" s="138">
        <f>'Expenditures 15-22'!D114</f>
        <v>2147652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92127</v>
      </c>
      <c r="D821" s="2" t="str">
        <f t="shared" si="11"/>
        <v>Error?</v>
      </c>
    </row>
    <row r="822" spans="1:4" x14ac:dyDescent="0.2">
      <c r="A822" s="5">
        <v>761</v>
      </c>
      <c r="B822" s="138">
        <f>'Expenditures 15-22'!E16</f>
        <v>38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10549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175447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23284</v>
      </c>
      <c r="D838" s="2" t="str">
        <f t="shared" si="12"/>
        <v>Error?</v>
      </c>
    </row>
    <row r="839" spans="1:4" x14ac:dyDescent="0.2">
      <c r="A839" s="5">
        <v>778</v>
      </c>
      <c r="B839" s="138">
        <f>'Expenditures 15-22'!E38</f>
        <v>29953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53237</v>
      </c>
      <c r="C843" s="2" t="s">
        <v>573</v>
      </c>
      <c r="D843" s="2" t="str">
        <f t="shared" si="12"/>
        <v>Error?</v>
      </c>
    </row>
    <row r="844" spans="1:4" x14ac:dyDescent="0.2">
      <c r="A844" s="5">
        <v>783</v>
      </c>
      <c r="B844" s="138">
        <f>'Expenditures 15-22'!E44</f>
        <v>52713</v>
      </c>
      <c r="D844" s="2" t="str">
        <f t="shared" si="12"/>
        <v>Error?</v>
      </c>
    </row>
    <row r="845" spans="1:4" x14ac:dyDescent="0.2">
      <c r="A845" s="5">
        <v>784</v>
      </c>
      <c r="B845" s="138">
        <f>'Expenditures 15-22'!E45</f>
        <v>877</v>
      </c>
      <c r="D845" s="2" t="str">
        <f t="shared" si="12"/>
        <v>Error?</v>
      </c>
    </row>
    <row r="846" spans="1:4" x14ac:dyDescent="0.2">
      <c r="A846" s="5">
        <v>785</v>
      </c>
      <c r="B846" s="138">
        <f>'Expenditures 15-22'!E46</f>
        <v>15965</v>
      </c>
      <c r="D846" s="2" t="str">
        <f t="shared" si="12"/>
        <v>Error?</v>
      </c>
    </row>
    <row r="847" spans="1:4" x14ac:dyDescent="0.2">
      <c r="A847" s="5">
        <v>786</v>
      </c>
      <c r="B847" s="138">
        <f>'Expenditures 15-22'!E47</f>
        <v>69555</v>
      </c>
      <c r="C847" s="2" t="s">
        <v>573</v>
      </c>
      <c r="D847" s="2" t="str">
        <f t="shared" si="12"/>
        <v>Error?</v>
      </c>
    </row>
    <row r="848" spans="1:4" x14ac:dyDescent="0.2">
      <c r="A848" s="5">
        <v>787</v>
      </c>
      <c r="B848" s="138">
        <f>'Expenditures 15-22'!E49</f>
        <v>35891</v>
      </c>
      <c r="D848" s="2" t="str">
        <f t="shared" si="12"/>
        <v>Error?</v>
      </c>
    </row>
    <row r="849" spans="1:4" x14ac:dyDescent="0.2">
      <c r="A849" s="5">
        <v>788</v>
      </c>
      <c r="B849" s="138">
        <f>'Expenditures 15-22'!E50</f>
        <v>13587</v>
      </c>
      <c r="D849" s="2" t="str">
        <f t="shared" si="12"/>
        <v>Error?</v>
      </c>
    </row>
    <row r="850" spans="1:4" x14ac:dyDescent="0.2">
      <c r="A850" s="5">
        <v>789</v>
      </c>
      <c r="B850" s="138">
        <f>'Expenditures 15-22'!E53</f>
        <v>49778</v>
      </c>
      <c r="C850" s="2" t="s">
        <v>573</v>
      </c>
      <c r="D850" s="2" t="str">
        <f t="shared" si="12"/>
        <v>Error?</v>
      </c>
    </row>
    <row r="851" spans="1:4" x14ac:dyDescent="0.2">
      <c r="A851" s="5">
        <v>790</v>
      </c>
      <c r="B851" s="138">
        <f>'Expenditures 15-22'!E55</f>
        <v>21624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21624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8339</v>
      </c>
      <c r="D855" s="2" t="str">
        <f t="shared" si="12"/>
        <v>Error?</v>
      </c>
    </row>
    <row r="856" spans="1:4" x14ac:dyDescent="0.2">
      <c r="A856" s="5">
        <v>795</v>
      </c>
      <c r="B856" s="138">
        <f>'Expenditures 15-22'!E61</f>
        <v>105673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3556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117568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311762</v>
      </c>
      <c r="C871" s="2" t="s">
        <v>573</v>
      </c>
      <c r="D871" s="2" t="str">
        <f t="shared" si="12"/>
        <v>Error?</v>
      </c>
    </row>
    <row r="872" spans="1:4" x14ac:dyDescent="0.2">
      <c r="A872" s="5">
        <v>811</v>
      </c>
      <c r="B872" s="138">
        <f>'Expenditures 15-22'!E75</f>
        <v>9100</v>
      </c>
      <c r="D872" s="2" t="str">
        <f t="shared" si="12"/>
        <v>Error?</v>
      </c>
    </row>
    <row r="873" spans="1:4" x14ac:dyDescent="0.2">
      <c r="A873" s="5">
        <v>812</v>
      </c>
      <c r="B873" s="138">
        <f>'Expenditures 15-22'!E114</f>
        <v>992458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42263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121655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2432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2432</v>
      </c>
      <c r="C901" s="2" t="s">
        <v>573</v>
      </c>
      <c r="D901" s="2" t="str">
        <f t="shared" si="13"/>
        <v>Error?</v>
      </c>
    </row>
    <row r="902" spans="1:4" x14ac:dyDescent="0.2">
      <c r="A902" s="5">
        <v>841</v>
      </c>
      <c r="B902" s="138">
        <f>'Expenditures 15-22'!F44</f>
        <v>5140</v>
      </c>
      <c r="D902" s="2" t="str">
        <f t="shared" si="13"/>
        <v>Error?</v>
      </c>
    </row>
    <row r="903" spans="1:4" x14ac:dyDescent="0.2">
      <c r="A903" s="5">
        <v>842</v>
      </c>
      <c r="B903" s="138">
        <f>'Expenditures 15-22'!F45</f>
        <v>6264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11404</v>
      </c>
      <c r="C905" s="2" t="s">
        <v>573</v>
      </c>
      <c r="D905" s="2" t="str">
        <f t="shared" si="13"/>
        <v>Error?</v>
      </c>
    </row>
    <row r="906" spans="1:4" x14ac:dyDescent="0.2">
      <c r="A906" s="5">
        <v>845</v>
      </c>
      <c r="B906" s="138">
        <f>'Expenditures 15-22'!F49</f>
        <v>4530</v>
      </c>
      <c r="D906" s="2" t="str">
        <f t="shared" si="13"/>
        <v>Error?</v>
      </c>
    </row>
    <row r="907" spans="1:4" x14ac:dyDescent="0.2">
      <c r="A907" s="5">
        <v>846</v>
      </c>
      <c r="B907" s="138">
        <f>'Expenditures 15-22'!F50</f>
        <v>7877</v>
      </c>
      <c r="D907" s="2" t="str">
        <f t="shared" si="13"/>
        <v>Error?</v>
      </c>
    </row>
    <row r="908" spans="1:4" x14ac:dyDescent="0.2">
      <c r="A908" s="5">
        <v>847</v>
      </c>
      <c r="B908" s="138">
        <f>'Expenditures 15-22'!F53</f>
        <v>12407</v>
      </c>
      <c r="C908" s="2" t="s">
        <v>573</v>
      </c>
      <c r="D908" s="2" t="str">
        <f t="shared" si="13"/>
        <v>Error?</v>
      </c>
    </row>
    <row r="909" spans="1:4" x14ac:dyDescent="0.2">
      <c r="A909" s="5">
        <v>848</v>
      </c>
      <c r="B909" s="138">
        <f>'Expenditures 15-22'!F55</f>
        <v>7159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7159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2167</v>
      </c>
      <c r="D913" s="2" t="str">
        <f t="shared" si="13"/>
        <v>Error?</v>
      </c>
    </row>
    <row r="914" spans="1:4" x14ac:dyDescent="0.2">
      <c r="A914" s="5">
        <v>853</v>
      </c>
      <c r="B914" s="138">
        <f>'Expenditures 15-22'!F61</f>
        <v>45935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276001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324103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1100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1100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358605</v>
      </c>
      <c r="C929" s="2" t="s">
        <v>573</v>
      </c>
      <c r="D929" s="2" t="str">
        <f t="shared" si="13"/>
        <v>Error?</v>
      </c>
    </row>
    <row r="930" spans="1:4" x14ac:dyDescent="0.2">
      <c r="A930" s="5">
        <v>869</v>
      </c>
      <c r="B930" s="138">
        <f>'Expenditures 15-22'!F75</f>
        <v>2240</v>
      </c>
      <c r="D930" s="2" t="str">
        <f t="shared" si="13"/>
        <v>Error?</v>
      </c>
    </row>
    <row r="931" spans="1:4" x14ac:dyDescent="0.2">
      <c r="A931" s="5">
        <v>870</v>
      </c>
      <c r="B931" s="138">
        <f>'Expenditures 15-22'!F114</f>
        <v>482500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53050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815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815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675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675</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19248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19248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20738</v>
      </c>
      <c r="C987" s="2" t="s">
        <v>573</v>
      </c>
      <c r="D987" s="2" t="str">
        <f t="shared" si="14"/>
        <v>Error?</v>
      </c>
    </row>
    <row r="988" spans="1:4" x14ac:dyDescent="0.2">
      <c r="A988" s="5">
        <v>927</v>
      </c>
      <c r="B988" s="138">
        <f>'Expenditures 15-22'!G75</f>
        <v>45750</v>
      </c>
      <c r="D988" s="2" t="str">
        <f t="shared" si="14"/>
        <v>Error?</v>
      </c>
    </row>
    <row r="989" spans="1:4" x14ac:dyDescent="0.2">
      <c r="A989" s="5">
        <v>928</v>
      </c>
      <c r="B989" s="138">
        <f>'Expenditures 15-22'!G114</f>
        <v>119538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5858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25682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25165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25165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4356</v>
      </c>
      <c r="D1022" s="2" t="str">
        <f t="shared" si="14"/>
        <v>Error?</v>
      </c>
    </row>
    <row r="1023" spans="1:4" x14ac:dyDescent="0.2">
      <c r="A1023" s="5">
        <v>962</v>
      </c>
      <c r="B1023" s="138">
        <f>'Expenditures 15-22'!H50</f>
        <v>980</v>
      </c>
      <c r="D1023" s="2" t="str">
        <f t="shared" ref="D1023:D1086" si="15">IF(ISBLANK(B1023),"OK",IF(A1023-B1023=0,"OK","Error?"))</f>
        <v>Error?</v>
      </c>
    </row>
    <row r="1024" spans="1:4" x14ac:dyDescent="0.2">
      <c r="A1024" s="5">
        <v>963</v>
      </c>
      <c r="B1024" s="138">
        <f>'Expenditures 15-22'!H53</f>
        <v>5336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30501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4745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60928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4656811</v>
      </c>
      <c r="C1093" s="2" t="s">
        <v>573</v>
      </c>
      <c r="D1093" s="2" t="str">
        <f t="shared" si="16"/>
        <v>Error?</v>
      </c>
    </row>
    <row r="1094" spans="1:4" x14ac:dyDescent="0.2">
      <c r="A1094" s="5">
        <v>1033</v>
      </c>
      <c r="B1094" s="138">
        <f>'Expenditures 15-22'!K16</f>
        <v>17457</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12051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7598833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106859</v>
      </c>
      <c r="C1110" s="2" t="s">
        <v>573</v>
      </c>
      <c r="D1110" s="2" t="str">
        <f t="shared" si="16"/>
        <v>Error?</v>
      </c>
    </row>
    <row r="1111" spans="1:4" x14ac:dyDescent="0.2">
      <c r="A1111" s="5">
        <v>1050</v>
      </c>
      <c r="B1111" s="138">
        <f>'Expenditures 15-22'!K38</f>
        <v>100770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207629</v>
      </c>
      <c r="C1115" s="2" t="s">
        <v>573</v>
      </c>
      <c r="D1115" s="2" t="str">
        <f t="shared" si="16"/>
        <v>Error?</v>
      </c>
    </row>
    <row r="1116" spans="1:4" x14ac:dyDescent="0.2">
      <c r="A1116" s="5">
        <v>1055</v>
      </c>
      <c r="B1116" s="138">
        <f>'Expenditures 15-22'!K44</f>
        <v>78924</v>
      </c>
      <c r="C1116" s="2" t="s">
        <v>573</v>
      </c>
      <c r="D1116" s="2" t="str">
        <f t="shared" si="16"/>
        <v>Error?</v>
      </c>
    </row>
    <row r="1117" spans="1:4" x14ac:dyDescent="0.2">
      <c r="A1117" s="5">
        <v>1056</v>
      </c>
      <c r="B1117" s="138">
        <f>'Expenditures 15-22'!K45</f>
        <v>285241</v>
      </c>
      <c r="C1117" s="2" t="s">
        <v>573</v>
      </c>
      <c r="D1117" s="2" t="str">
        <f t="shared" si="16"/>
        <v>Error?</v>
      </c>
    </row>
    <row r="1118" spans="1:4" x14ac:dyDescent="0.2">
      <c r="A1118" s="5">
        <v>1057</v>
      </c>
      <c r="B1118" s="138">
        <f>'Expenditures 15-22'!K46</f>
        <v>15965</v>
      </c>
      <c r="C1118" s="2" t="s">
        <v>573</v>
      </c>
      <c r="D1118" s="2" t="str">
        <f t="shared" si="16"/>
        <v>Error?</v>
      </c>
    </row>
    <row r="1119" spans="1:4" x14ac:dyDescent="0.2">
      <c r="A1119" s="5">
        <v>1058</v>
      </c>
      <c r="B1119" s="138">
        <f>'Expenditures 15-22'!K47</f>
        <v>380130</v>
      </c>
      <c r="C1119" s="2" t="s">
        <v>573</v>
      </c>
      <c r="D1119" s="2" t="str">
        <f t="shared" si="16"/>
        <v>Error?</v>
      </c>
    </row>
    <row r="1120" spans="1:4" x14ac:dyDescent="0.2">
      <c r="A1120" s="5">
        <v>1059</v>
      </c>
      <c r="B1120" s="138">
        <f>'Expenditures 15-22'!K49</f>
        <v>46577</v>
      </c>
      <c r="C1120" s="2" t="s">
        <v>573</v>
      </c>
      <c r="D1120" s="2" t="str">
        <f t="shared" si="16"/>
        <v>Error?</v>
      </c>
    </row>
    <row r="1121" spans="1:4" x14ac:dyDescent="0.2">
      <c r="A1121" s="5">
        <v>1060</v>
      </c>
      <c r="B1121" s="138">
        <f>'Expenditures 15-22'!K50</f>
        <v>226751</v>
      </c>
      <c r="C1121" s="2" t="s">
        <v>573</v>
      </c>
      <c r="D1121" s="2" t="str">
        <f t="shared" si="16"/>
        <v>Error?</v>
      </c>
    </row>
    <row r="1122" spans="1:4" x14ac:dyDescent="0.2">
      <c r="A1122" s="5">
        <v>1061</v>
      </c>
      <c r="B1122" s="138">
        <f>'Expenditures 15-22'!K53</f>
        <v>279746</v>
      </c>
      <c r="C1122" s="2" t="s">
        <v>573</v>
      </c>
      <c r="D1122" s="2" t="str">
        <f t="shared" si="16"/>
        <v>Error?</v>
      </c>
    </row>
    <row r="1123" spans="1:4" x14ac:dyDescent="0.2">
      <c r="A1123" s="5">
        <v>1062</v>
      </c>
      <c r="B1123" s="138">
        <f>'Expenditures 15-22'!K55</f>
        <v>901891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901891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207163</v>
      </c>
      <c r="C1127" s="2" t="s">
        <v>573</v>
      </c>
      <c r="D1127" s="2" t="str">
        <f t="shared" si="16"/>
        <v>Error?</v>
      </c>
    </row>
    <row r="1128" spans="1:4" x14ac:dyDescent="0.2">
      <c r="A1128" s="5">
        <v>1067</v>
      </c>
      <c r="B1128" s="138">
        <f>'Expenditures 15-22'!K61</f>
        <v>747597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736917</v>
      </c>
      <c r="C1130" s="2" t="s">
        <v>573</v>
      </c>
      <c r="D1130" s="2" t="str">
        <f t="shared" si="16"/>
        <v>Error?</v>
      </c>
    </row>
    <row r="1131" spans="1:4" x14ac:dyDescent="0.2">
      <c r="A1131" s="5">
        <v>1070</v>
      </c>
      <c r="B1131" s="138">
        <f>'Expenditures 15-22'!K64</f>
        <v>6352</v>
      </c>
      <c r="C1131" s="2" t="s">
        <v>573</v>
      </c>
      <c r="D1131" s="2" t="str">
        <f t="shared" si="16"/>
        <v>Error?</v>
      </c>
    </row>
    <row r="1132" spans="1:4" x14ac:dyDescent="0.2">
      <c r="A1132" s="10">
        <v>1071</v>
      </c>
      <c r="D1132" s="2" t="str">
        <f t="shared" si="16"/>
        <v>OK</v>
      </c>
    </row>
    <row r="1133" spans="1:4" x14ac:dyDescent="0.2">
      <c r="A1133" s="5">
        <v>1072</v>
      </c>
      <c r="B1133" s="138">
        <f>'Expenditures 15-22'!K65</f>
        <v>1698029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15795</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15795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3483220</v>
      </c>
      <c r="C1143" s="2" t="s">
        <v>573</v>
      </c>
      <c r="D1143" s="2" t="str">
        <f t="shared" si="16"/>
        <v>Error?</v>
      </c>
    </row>
    <row r="1144" spans="1:4" x14ac:dyDescent="0.2">
      <c r="A1144" s="5">
        <v>1083</v>
      </c>
      <c r="B1144" s="138">
        <f>'Expenditures 15-22'!K75</f>
        <v>111320</v>
      </c>
      <c r="C1144" s="2" t="s">
        <v>573</v>
      </c>
      <c r="D1144" s="2" t="str">
        <f t="shared" si="16"/>
        <v>Error?</v>
      </c>
    </row>
    <row r="1145" spans="1:4" x14ac:dyDescent="0.2">
      <c r="A1145" s="5">
        <v>1084</v>
      </c>
      <c r="B1145" s="138">
        <f>'Expenditures 15-22'!K102</f>
        <v>500894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11694267</v>
      </c>
      <c r="C1152" s="2" t="s">
        <v>573</v>
      </c>
      <c r="D1152" s="2" t="str">
        <f t="shared" si="17"/>
        <v>Error?</v>
      </c>
    </row>
    <row r="1153" spans="1:4" x14ac:dyDescent="0.2">
      <c r="A1153" s="5">
        <v>1092</v>
      </c>
      <c r="B1153" s="138">
        <f>'Expenditures 15-22'!K115</f>
        <v>572491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41494</v>
      </c>
      <c r="D1237" s="2" t="str">
        <f t="shared" si="18"/>
        <v>Error?</v>
      </c>
    </row>
    <row r="1238" spans="1:4" x14ac:dyDescent="0.2">
      <c r="A1238" s="10">
        <v>1177</v>
      </c>
      <c r="D1238" s="2" t="str">
        <f t="shared" si="18"/>
        <v>OK</v>
      </c>
    </row>
    <row r="1239" spans="1:4" x14ac:dyDescent="0.2">
      <c r="A1239" s="5">
        <v>1178</v>
      </c>
      <c r="B1239" s="138">
        <f>'Expenditures 15-22'!E127</f>
        <v>41494</v>
      </c>
      <c r="C1239" s="2" t="s">
        <v>573</v>
      </c>
      <c r="D1239" s="2" t="str">
        <f t="shared" si="18"/>
        <v>Error?</v>
      </c>
    </row>
    <row r="1240" spans="1:4" x14ac:dyDescent="0.2">
      <c r="A1240" s="5">
        <v>1179</v>
      </c>
      <c r="B1240" s="138">
        <f>'Expenditures 15-22'!E128</f>
        <v>59339</v>
      </c>
      <c r="D1240" s="2" t="str">
        <f t="shared" si="18"/>
        <v>Error?</v>
      </c>
    </row>
    <row r="1241" spans="1:4" x14ac:dyDescent="0.2">
      <c r="A1241" s="5">
        <v>1180</v>
      </c>
      <c r="B1241" s="138">
        <f>'Expenditures 15-22'!E129</f>
        <v>100833</v>
      </c>
      <c r="C1241" s="2" t="s">
        <v>573</v>
      </c>
      <c r="D1241" s="2" t="str">
        <f t="shared" si="18"/>
        <v>Error?</v>
      </c>
    </row>
    <row r="1242" spans="1:4" x14ac:dyDescent="0.2">
      <c r="A1242" s="5">
        <v>1181</v>
      </c>
      <c r="B1242" s="138">
        <f>'Expenditures 15-22'!E151</f>
        <v>100833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209718</v>
      </c>
      <c r="D1245" s="2" t="str">
        <f t="shared" si="18"/>
        <v>Error?</v>
      </c>
    </row>
    <row r="1246" spans="1:4" x14ac:dyDescent="0.2">
      <c r="A1246" s="10">
        <v>1185</v>
      </c>
      <c r="D1246" s="2" t="str">
        <f t="shared" si="18"/>
        <v>OK</v>
      </c>
    </row>
    <row r="1247" spans="1:4" x14ac:dyDescent="0.2">
      <c r="A1247" s="5">
        <v>1186</v>
      </c>
      <c r="B1247" s="138">
        <f>'Expenditures 15-22'!F127</f>
        <v>209718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209718</v>
      </c>
      <c r="C1249" s="2" t="s">
        <v>573</v>
      </c>
      <c r="D1249" s="2" t="str">
        <f t="shared" si="18"/>
        <v>Error?</v>
      </c>
    </row>
    <row r="1250" spans="1:4" x14ac:dyDescent="0.2">
      <c r="A1250" s="5">
        <v>1189</v>
      </c>
      <c r="B1250" s="138">
        <f>'Expenditures 15-22'!F151</f>
        <v>209718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40553</v>
      </c>
      <c r="D1252" s="2" t="str">
        <f t="shared" si="18"/>
        <v>Error?</v>
      </c>
    </row>
    <row r="1253" spans="1:4" x14ac:dyDescent="0.2">
      <c r="A1253" s="5">
        <v>1192</v>
      </c>
      <c r="B1253" s="138">
        <f>'Expenditures 15-22'!G124</f>
        <v>79076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119629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119629</v>
      </c>
      <c r="C1258" s="2" t="s">
        <v>573</v>
      </c>
      <c r="D1258" s="2" t="str">
        <f t="shared" si="18"/>
        <v>Error?</v>
      </c>
    </row>
    <row r="1259" spans="1:4" x14ac:dyDescent="0.2">
      <c r="A1259" s="5">
        <v>1198</v>
      </c>
      <c r="B1259" s="138">
        <f>'Expenditures 15-22'!G151</f>
        <v>119629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40553</v>
      </c>
      <c r="C1275" s="2" t="s">
        <v>573</v>
      </c>
      <c r="D1275" s="2" t="str">
        <f t="shared" si="18"/>
        <v>Error?</v>
      </c>
    </row>
    <row r="1276" spans="1:4" x14ac:dyDescent="0.2">
      <c r="A1276" s="5">
        <v>1215</v>
      </c>
      <c r="B1276" s="138">
        <f>'Expenditures 15-22'!K124</f>
        <v>330288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370841</v>
      </c>
      <c r="C1279" s="2" t="s">
        <v>573</v>
      </c>
      <c r="D1279" s="2" t="str">
        <f t="shared" ref="D1279:D1342" si="19">IF(ISBLANK(B1279),"OK",IF(A1279-B1279=0,"OK","Error?"))</f>
        <v>Error?</v>
      </c>
    </row>
    <row r="1280" spans="1:4" x14ac:dyDescent="0.2">
      <c r="A1280" s="5">
        <v>1219</v>
      </c>
      <c r="B1280" s="138">
        <f>'Expenditures 15-22'!K128</f>
        <v>59339</v>
      </c>
      <c r="C1280" s="2" t="s">
        <v>573</v>
      </c>
      <c r="D1280" s="2" t="str">
        <f t="shared" si="19"/>
        <v>Error?</v>
      </c>
    </row>
    <row r="1281" spans="1:4" x14ac:dyDescent="0.2">
      <c r="A1281" s="5">
        <v>1220</v>
      </c>
      <c r="B1281" s="138">
        <f>'Expenditures 15-22'!K129</f>
        <v>430180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430180</v>
      </c>
      <c r="C1288" s="2" t="s">
        <v>573</v>
      </c>
      <c r="D1288" s="2" t="str">
        <f t="shared" si="19"/>
        <v>Error?</v>
      </c>
    </row>
    <row r="1289" spans="1:4" x14ac:dyDescent="0.2">
      <c r="A1289" s="5">
        <v>1228</v>
      </c>
      <c r="B1289" s="138">
        <f>'Expenditures 15-22'!K152</f>
        <v>45234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108263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1987494</v>
      </c>
      <c r="D1315" s="2" t="str">
        <f t="shared" si="19"/>
        <v>Error?</v>
      </c>
    </row>
    <row r="1316" spans="1:4" x14ac:dyDescent="0.2">
      <c r="A1316" s="5">
        <v>1255</v>
      </c>
      <c r="B1316" s="138">
        <f>'Expenditures 15-22'!H171</f>
        <v>27493</v>
      </c>
      <c r="D1316" s="2" t="str">
        <f t="shared" si="19"/>
        <v>Error?</v>
      </c>
    </row>
    <row r="1317" spans="1:4" x14ac:dyDescent="0.2">
      <c r="A1317" s="5">
        <v>1256</v>
      </c>
      <c r="B1317" s="138">
        <f>'Expenditures 15-22'!H172</f>
        <v>2123250</v>
      </c>
      <c r="C1317" s="2" t="s">
        <v>573</v>
      </c>
      <c r="D1317" s="2" t="str">
        <f t="shared" si="19"/>
        <v>Error?</v>
      </c>
    </row>
    <row r="1318" spans="1:4" x14ac:dyDescent="0.2">
      <c r="A1318" s="5">
        <v>1257</v>
      </c>
      <c r="B1318" s="138">
        <f>'Expenditures 15-22'!H174</f>
        <v>2123250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108263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1987494</v>
      </c>
      <c r="C1329" s="2" t="s">
        <v>573</v>
      </c>
      <c r="D1329" s="2" t="str">
        <f t="shared" si="19"/>
        <v>Error?</v>
      </c>
    </row>
    <row r="1330" spans="1:4" x14ac:dyDescent="0.2">
      <c r="A1330" s="5">
        <v>1269</v>
      </c>
      <c r="B1330" s="138">
        <f>'Expenditures 15-22'!K171</f>
        <v>27493</v>
      </c>
      <c r="C1330" s="2" t="s">
        <v>573</v>
      </c>
      <c r="D1330" s="2" t="str">
        <f t="shared" si="19"/>
        <v>Error?</v>
      </c>
    </row>
    <row r="1331" spans="1:4" x14ac:dyDescent="0.2">
      <c r="A1331" s="5">
        <v>1270</v>
      </c>
      <c r="B1331" s="138">
        <f>'Expenditures 15-22'!K172</f>
        <v>2123250</v>
      </c>
      <c r="C1331" s="2" t="s">
        <v>573</v>
      </c>
      <c r="D1331" s="2" t="str">
        <f t="shared" si="19"/>
        <v>Error?</v>
      </c>
    </row>
    <row r="1332" spans="1:4" x14ac:dyDescent="0.2">
      <c r="A1332" s="5">
        <v>1271</v>
      </c>
      <c r="B1332" s="138">
        <f>'Expenditures 15-22'!K174</f>
        <v>2123250</v>
      </c>
      <c r="C1332" s="2" t="s">
        <v>573</v>
      </c>
      <c r="D1332" s="2" t="str">
        <f t="shared" si="19"/>
        <v>Error?</v>
      </c>
    </row>
    <row r="1333" spans="1:4" x14ac:dyDescent="0.2">
      <c r="A1333" s="5">
        <v>1272</v>
      </c>
      <c r="B1333" s="138">
        <f>'Expenditures 15-22'!K175</f>
        <v>-1605638</v>
      </c>
      <c r="C1333" s="2" t="s">
        <v>573</v>
      </c>
      <c r="D1333" s="2" t="str">
        <f t="shared" si="19"/>
        <v>Error?</v>
      </c>
    </row>
    <row r="1334" spans="1:4" x14ac:dyDescent="0.2">
      <c r="A1334" s="10">
        <v>1273</v>
      </c>
      <c r="D1334" s="2" t="str">
        <f t="shared" si="19"/>
        <v>OK</v>
      </c>
    </row>
    <row r="1335" spans="1:4" x14ac:dyDescent="0.2">
      <c r="A1335" s="5">
        <v>1274</v>
      </c>
      <c r="B1335" s="138">
        <f>'Expenditures 15-22'!C182</f>
        <v>304984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304984</v>
      </c>
      <c r="C1339" s="2" t="s">
        <v>573</v>
      </c>
      <c r="D1339" s="2" t="str">
        <f t="shared" si="19"/>
        <v>Error?</v>
      </c>
    </row>
    <row r="1340" spans="1:4" x14ac:dyDescent="0.2">
      <c r="A1340" s="5">
        <v>1279</v>
      </c>
      <c r="B1340" s="138">
        <f>'Expenditures 15-22'!C210</f>
        <v>304984</v>
      </c>
      <c r="C1340" s="2" t="s">
        <v>573</v>
      </c>
      <c r="D1340" s="2" t="str">
        <f t="shared" si="19"/>
        <v>Error?</v>
      </c>
    </row>
    <row r="1341" spans="1:4" x14ac:dyDescent="0.2">
      <c r="A1341" s="5">
        <v>1280</v>
      </c>
      <c r="B1341" s="138">
        <f>'Expenditures 15-22'!D182</f>
        <v>9890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9890</v>
      </c>
      <c r="C1345" s="2" t="s">
        <v>573</v>
      </c>
      <c r="D1345" s="2" t="str">
        <f t="shared" si="20"/>
        <v>Error?</v>
      </c>
    </row>
    <row r="1346" spans="1:4" x14ac:dyDescent="0.2">
      <c r="A1346" s="5">
        <v>1285</v>
      </c>
      <c r="B1346" s="138">
        <f>'Expenditures 15-22'!D210</f>
        <v>9890</v>
      </c>
      <c r="C1346" s="2" t="s">
        <v>573</v>
      </c>
      <c r="D1346" s="2" t="str">
        <f t="shared" si="20"/>
        <v>Error?</v>
      </c>
    </row>
    <row r="1347" spans="1:4" x14ac:dyDescent="0.2">
      <c r="A1347" s="5">
        <v>1286</v>
      </c>
      <c r="B1347" s="138">
        <f>'Expenditures 15-22'!E182</f>
        <v>307230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307230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307230</v>
      </c>
      <c r="C1353" s="2" t="s">
        <v>573</v>
      </c>
      <c r="D1353" s="2" t="str">
        <f t="shared" si="20"/>
        <v>Error?</v>
      </c>
    </row>
    <row r="1354" spans="1:4" x14ac:dyDescent="0.2">
      <c r="A1354" s="5">
        <v>1293</v>
      </c>
      <c r="B1354" s="138">
        <f>'Expenditures 15-22'!F182</f>
        <v>66949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66949</v>
      </c>
      <c r="C1358" s="2" t="s">
        <v>573</v>
      </c>
      <c r="D1358" s="2" t="str">
        <f t="shared" si="20"/>
        <v>Error?</v>
      </c>
    </row>
    <row r="1359" spans="1:4" x14ac:dyDescent="0.2">
      <c r="A1359" s="5">
        <v>1298</v>
      </c>
      <c r="B1359" s="138">
        <f>'Expenditures 15-22'!F210</f>
        <v>66949</v>
      </c>
      <c r="C1359" s="2" t="s">
        <v>573</v>
      </c>
      <c r="D1359" s="2" t="str">
        <f t="shared" si="20"/>
        <v>Error?</v>
      </c>
    </row>
    <row r="1360" spans="1:4" x14ac:dyDescent="0.2">
      <c r="A1360" s="5">
        <v>1299</v>
      </c>
      <c r="B1360" s="138">
        <f>'Expenditures 15-22'!G182</f>
        <v>25758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25758</v>
      </c>
      <c r="C1364" s="2" t="s">
        <v>573</v>
      </c>
      <c r="D1364" s="2" t="str">
        <f t="shared" si="20"/>
        <v>Error?</v>
      </c>
    </row>
    <row r="1365" spans="1:4" x14ac:dyDescent="0.2">
      <c r="A1365" s="5">
        <v>1304</v>
      </c>
      <c r="B1365" s="138">
        <f>'Expenditures 15-22'!G210</f>
        <v>25758</v>
      </c>
      <c r="C1365" s="2" t="s">
        <v>573</v>
      </c>
      <c r="D1365" s="2" t="str">
        <f t="shared" si="20"/>
        <v>Error?</v>
      </c>
    </row>
    <row r="1366" spans="1:4" x14ac:dyDescent="0.2">
      <c r="A1366" s="5">
        <v>1305</v>
      </c>
      <c r="B1366" s="138">
        <f>'Expenditures 15-22'!H182</f>
        <v>1575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1575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1575</v>
      </c>
      <c r="C1376" s="2" t="s">
        <v>573</v>
      </c>
      <c r="D1376" s="2" t="str">
        <f t="shared" si="20"/>
        <v>Error?</v>
      </c>
    </row>
    <row r="1377" spans="1:4" x14ac:dyDescent="0.2">
      <c r="A1377" s="5">
        <v>1316</v>
      </c>
      <c r="B1377" s="138">
        <f>'Expenditures 15-22'!K182</f>
        <v>716386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716386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716386</v>
      </c>
      <c r="C1388" s="2" t="s">
        <v>573</v>
      </c>
      <c r="D1388" s="2" t="str">
        <f t="shared" si="20"/>
        <v>Error?</v>
      </c>
    </row>
    <row r="1389" spans="1:4" x14ac:dyDescent="0.2">
      <c r="A1389" s="5">
        <v>1328</v>
      </c>
      <c r="B1389" s="138">
        <f>'Expenditures 15-22'!K211</f>
        <v>-145545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253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169630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922</v>
      </c>
      <c r="D1412" s="2" t="str">
        <f t="shared" si="21"/>
        <v>Error?</v>
      </c>
    </row>
    <row r="1413" spans="1:4" x14ac:dyDescent="0.2">
      <c r="A1413" s="5">
        <v>1352</v>
      </c>
      <c r="B1413" s="138">
        <f>'Expenditures 15-22'!D234</f>
        <v>3424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4346</v>
      </c>
      <c r="C1417" s="2" t="s">
        <v>573</v>
      </c>
      <c r="D1417" s="2" t="str">
        <f t="shared" si="21"/>
        <v>Error?</v>
      </c>
    </row>
    <row r="1418" spans="1:4" x14ac:dyDescent="0.2">
      <c r="A1418" s="5">
        <v>1357</v>
      </c>
      <c r="B1418" s="138">
        <f>'Expenditures 15-22'!D240</f>
        <v>797</v>
      </c>
      <c r="D1418" s="2" t="str">
        <f t="shared" si="21"/>
        <v>Error?</v>
      </c>
    </row>
    <row r="1419" spans="1:4" x14ac:dyDescent="0.2">
      <c r="A1419" s="5">
        <v>1358</v>
      </c>
      <c r="B1419" s="138">
        <f>'Expenditures 15-22'!D241</f>
        <v>32925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33722</v>
      </c>
      <c r="C1421" s="2" t="s">
        <v>573</v>
      </c>
      <c r="D1421" s="2" t="str">
        <f t="shared" si="21"/>
        <v>Error?</v>
      </c>
    </row>
    <row r="1422" spans="1:4" x14ac:dyDescent="0.2">
      <c r="A1422" s="5">
        <v>1361</v>
      </c>
      <c r="B1422" s="138">
        <f>'Expenditures 15-22'!D245</f>
        <v>138</v>
      </c>
      <c r="D1422" s="2" t="str">
        <f t="shared" si="21"/>
        <v>Error?</v>
      </c>
    </row>
    <row r="1423" spans="1:4" x14ac:dyDescent="0.2">
      <c r="A1423" s="5">
        <v>1362</v>
      </c>
      <c r="B1423" s="138">
        <f>'Expenditures 15-22'!D246</f>
        <v>10356</v>
      </c>
      <c r="D1423" s="2" t="str">
        <f t="shared" si="21"/>
        <v>Error?</v>
      </c>
    </row>
    <row r="1424" spans="1:4" x14ac:dyDescent="0.2">
      <c r="A1424" s="5">
        <v>1363</v>
      </c>
      <c r="B1424" s="138">
        <f>'Expenditures 15-22'!D257</f>
        <v>17884</v>
      </c>
      <c r="C1424" s="2" t="s">
        <v>573</v>
      </c>
      <c r="D1424" s="2" t="str">
        <f t="shared" si="21"/>
        <v>Error?</v>
      </c>
    </row>
    <row r="1425" spans="1:4" x14ac:dyDescent="0.2">
      <c r="A1425" s="5">
        <v>1364</v>
      </c>
      <c r="B1425" s="138">
        <f>'Expenditures 15-22'!D259</f>
        <v>48295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48295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31555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91101</v>
      </c>
      <c r="D1431" s="2" t="str">
        <f t="shared" si="21"/>
        <v>Error?</v>
      </c>
    </row>
    <row r="1432" spans="1:4" x14ac:dyDescent="0.2">
      <c r="A1432" s="5">
        <v>1371</v>
      </c>
      <c r="B1432" s="138">
        <f>'Expenditures 15-22'!D267</f>
        <v>53125</v>
      </c>
      <c r="D1432" s="2" t="str">
        <f t="shared" si="21"/>
        <v>Error?</v>
      </c>
    </row>
    <row r="1433" spans="1:4" x14ac:dyDescent="0.2">
      <c r="A1433" s="5">
        <v>1372</v>
      </c>
      <c r="B1433" s="138">
        <f>'Expenditures 15-22'!D268</f>
        <v>54965</v>
      </c>
      <c r="D1433" s="2" t="str">
        <f t="shared" si="21"/>
        <v>Error?</v>
      </c>
    </row>
    <row r="1434" spans="1:4" x14ac:dyDescent="0.2">
      <c r="A1434" s="5">
        <v>1373</v>
      </c>
      <c r="B1434" s="138">
        <f>'Expenditures 15-22'!D269</f>
        <v>992</v>
      </c>
      <c r="D1434" s="2" t="str">
        <f t="shared" si="21"/>
        <v>Error?</v>
      </c>
    </row>
    <row r="1435" spans="1:4" x14ac:dyDescent="0.2">
      <c r="A1435" s="10">
        <v>1374</v>
      </c>
      <c r="D1435" s="2" t="str">
        <f t="shared" si="21"/>
        <v>OK</v>
      </c>
    </row>
    <row r="1436" spans="1:4" x14ac:dyDescent="0.2">
      <c r="A1436" s="5">
        <v>1375</v>
      </c>
      <c r="B1436" s="138">
        <f>'Expenditures 15-22'!D270</f>
        <v>231738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173</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173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336158</v>
      </c>
      <c r="C1446" s="2" t="s">
        <v>573</v>
      </c>
      <c r="D1446" s="2" t="str">
        <f t="shared" si="21"/>
        <v>Error?</v>
      </c>
    </row>
    <row r="1447" spans="1:4" x14ac:dyDescent="0.2">
      <c r="A1447" s="5">
        <v>1386</v>
      </c>
      <c r="B1447" s="138">
        <f>'Expenditures 15-22'!D280</f>
        <v>8156</v>
      </c>
      <c r="D1447" s="2" t="str">
        <f t="shared" si="21"/>
        <v>Error?</v>
      </c>
    </row>
    <row r="1448" spans="1:4" x14ac:dyDescent="0.2">
      <c r="A1448" s="5">
        <v>1387</v>
      </c>
      <c r="B1448" s="138">
        <f>'Expenditures 15-22'!D295</f>
        <v>513944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253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169630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922</v>
      </c>
      <c r="C1476" s="2" t="s">
        <v>573</v>
      </c>
      <c r="D1476" s="2" t="str">
        <f t="shared" si="22"/>
        <v>Error?</v>
      </c>
    </row>
    <row r="1477" spans="1:4" x14ac:dyDescent="0.2">
      <c r="A1477" s="5">
        <v>1416</v>
      </c>
      <c r="B1477" s="138">
        <f>'Expenditures 15-22'!K234</f>
        <v>3424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4346</v>
      </c>
      <c r="C1481" s="2" t="s">
        <v>573</v>
      </c>
      <c r="D1481" s="2" t="str">
        <f t="shared" si="22"/>
        <v>Error?</v>
      </c>
    </row>
    <row r="1482" spans="1:4" x14ac:dyDescent="0.2">
      <c r="A1482" s="5">
        <v>1421</v>
      </c>
      <c r="B1482" s="138">
        <f>'Expenditures 15-22'!K240</f>
        <v>797</v>
      </c>
      <c r="C1482" s="2" t="s">
        <v>573</v>
      </c>
      <c r="D1482" s="2" t="str">
        <f t="shared" si="22"/>
        <v>Error?</v>
      </c>
    </row>
    <row r="1483" spans="1:4" x14ac:dyDescent="0.2">
      <c r="A1483" s="5">
        <v>1422</v>
      </c>
      <c r="B1483" s="138">
        <f>'Expenditures 15-22'!K241</f>
        <v>32925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33722</v>
      </c>
      <c r="C1485" s="2" t="s">
        <v>573</v>
      </c>
      <c r="D1485" s="2" t="str">
        <f t="shared" si="22"/>
        <v>Error?</v>
      </c>
    </row>
    <row r="1486" spans="1:4" x14ac:dyDescent="0.2">
      <c r="A1486" s="5">
        <v>1425</v>
      </c>
      <c r="B1486" s="138">
        <f>'Expenditures 15-22'!K245</f>
        <v>138</v>
      </c>
      <c r="C1486" s="2" t="s">
        <v>573</v>
      </c>
      <c r="D1486" s="2" t="str">
        <f t="shared" si="22"/>
        <v>Error?</v>
      </c>
    </row>
    <row r="1487" spans="1:4" x14ac:dyDescent="0.2">
      <c r="A1487" s="5">
        <v>1426</v>
      </c>
      <c r="B1487" s="138">
        <f>'Expenditures 15-22'!K246</f>
        <v>10356</v>
      </c>
      <c r="C1487" s="2" t="s">
        <v>573</v>
      </c>
      <c r="D1487" s="2" t="str">
        <f t="shared" si="22"/>
        <v>Error?</v>
      </c>
    </row>
    <row r="1488" spans="1:4" x14ac:dyDescent="0.2">
      <c r="A1488" s="5">
        <v>1427</v>
      </c>
      <c r="B1488" s="138">
        <f>'Expenditures 15-22'!K257</f>
        <v>17884</v>
      </c>
      <c r="C1488" s="2" t="s">
        <v>573</v>
      </c>
      <c r="D1488" s="2" t="str">
        <f t="shared" si="22"/>
        <v>Error?</v>
      </c>
    </row>
    <row r="1489" spans="1:4" x14ac:dyDescent="0.2">
      <c r="A1489" s="5">
        <v>1428</v>
      </c>
      <c r="B1489" s="138">
        <f>'Expenditures 15-22'!K259</f>
        <v>48295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48295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31555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91101</v>
      </c>
      <c r="C1495" s="2" t="s">
        <v>573</v>
      </c>
      <c r="D1495" s="2" t="str">
        <f t="shared" si="22"/>
        <v>Error?</v>
      </c>
    </row>
    <row r="1496" spans="1:4" x14ac:dyDescent="0.2">
      <c r="A1496" s="5">
        <v>1435</v>
      </c>
      <c r="B1496" s="138">
        <f>'Expenditures 15-22'!K267</f>
        <v>53125</v>
      </c>
      <c r="C1496" s="2" t="s">
        <v>573</v>
      </c>
      <c r="D1496" s="2" t="str">
        <f t="shared" si="22"/>
        <v>Error?</v>
      </c>
    </row>
    <row r="1497" spans="1:4" x14ac:dyDescent="0.2">
      <c r="A1497" s="5">
        <v>1436</v>
      </c>
      <c r="B1497" s="138">
        <f>'Expenditures 15-22'!K268</f>
        <v>54965</v>
      </c>
      <c r="C1497" s="2" t="s">
        <v>573</v>
      </c>
      <c r="D1497" s="2" t="str">
        <f t="shared" si="22"/>
        <v>Error?</v>
      </c>
    </row>
    <row r="1498" spans="1:4" x14ac:dyDescent="0.2">
      <c r="A1498" s="5">
        <v>1437</v>
      </c>
      <c r="B1498" s="138">
        <f>'Expenditures 15-22'!K269</f>
        <v>992</v>
      </c>
      <c r="C1498" s="2" t="s">
        <v>573</v>
      </c>
      <c r="D1498" s="2" t="str">
        <f t="shared" si="22"/>
        <v>Error?</v>
      </c>
    </row>
    <row r="1499" spans="1:4" x14ac:dyDescent="0.2">
      <c r="A1499" s="10">
        <v>1438</v>
      </c>
      <c r="D1499" s="2" t="str">
        <f t="shared" si="22"/>
        <v>OK</v>
      </c>
    </row>
    <row r="1500" spans="1:4" x14ac:dyDescent="0.2">
      <c r="A1500" s="5">
        <v>1439</v>
      </c>
      <c r="B1500" s="138">
        <f>'Expenditures 15-22'!K270</f>
        <v>231738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173</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173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336158</v>
      </c>
      <c r="C1510" s="2" t="s">
        <v>573</v>
      </c>
      <c r="D1510" s="2" t="str">
        <f t="shared" si="22"/>
        <v>Error?</v>
      </c>
    </row>
    <row r="1511" spans="1:4" x14ac:dyDescent="0.2">
      <c r="A1511" s="5">
        <v>1450</v>
      </c>
      <c r="B1511" s="138">
        <f>'Expenditures 15-22'!K280</f>
        <v>8156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513944</v>
      </c>
      <c r="C1517" s="2" t="s">
        <v>573</v>
      </c>
      <c r="D1517" s="2" t="str">
        <f t="shared" si="22"/>
        <v>Error?</v>
      </c>
    </row>
    <row r="1518" spans="1:4" x14ac:dyDescent="0.2">
      <c r="A1518" s="5">
        <v>1457</v>
      </c>
      <c r="B1518" s="138">
        <f>'Expenditures 15-22'!K296</f>
        <v>8189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2407863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2407863</v>
      </c>
      <c r="C1547" s="2" t="s">
        <v>573</v>
      </c>
      <c r="D1547" s="2" t="str">
        <f t="shared" si="23"/>
        <v>Error?</v>
      </c>
    </row>
    <row r="1548" spans="1:4" x14ac:dyDescent="0.2">
      <c r="A1548" s="5">
        <v>1487</v>
      </c>
      <c r="B1548" s="138">
        <f>'Expenditures 15-22'!G312</f>
        <v>2407863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2407863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2407863</v>
      </c>
      <c r="C1559" s="2" t="s">
        <v>573</v>
      </c>
      <c r="D1559" s="2" t="str">
        <f t="shared" si="23"/>
        <v>Error?</v>
      </c>
    </row>
    <row r="1560" spans="1:4" x14ac:dyDescent="0.2">
      <c r="A1560" s="5">
        <v>1499</v>
      </c>
      <c r="B1560" s="138">
        <f>'Expenditures 15-22'!K312</f>
        <v>2407863</v>
      </c>
      <c r="C1560" s="2" t="s">
        <v>573</v>
      </c>
      <c r="D1560" s="2" t="str">
        <f t="shared" si="23"/>
        <v>Error?</v>
      </c>
    </row>
    <row r="1561" spans="1:4" x14ac:dyDescent="0.2">
      <c r="A1561" s="5">
        <v>1500</v>
      </c>
      <c r="B1561" s="138">
        <f>'Expenditures 15-22'!K313</f>
        <v>-1132591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4308023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4951196</v>
      </c>
      <c r="C1630" s="2" t="s">
        <v>573</v>
      </c>
      <c r="D1630" s="2" t="str">
        <f t="shared" si="24"/>
        <v>Error?</v>
      </c>
    </row>
    <row r="1631" spans="1:4" x14ac:dyDescent="0.2">
      <c r="A1631" s="5">
        <v>1570</v>
      </c>
      <c r="B1631" s="138">
        <f>'Acct Summary 7-8'!D79</f>
        <v>131637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137516</v>
      </c>
      <c r="C1644" s="2" t="s">
        <v>573</v>
      </c>
      <c r="D1644" s="2" t="str">
        <f t="shared" si="24"/>
        <v>Error?</v>
      </c>
    </row>
    <row r="1645" spans="1:4" x14ac:dyDescent="0.2">
      <c r="A1645" s="5">
        <v>1584</v>
      </c>
      <c r="B1645" s="138">
        <f>'Acct Summary 7-8'!E79</f>
        <v>38177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311154</v>
      </c>
      <c r="C1658" s="2" t="s">
        <v>573</v>
      </c>
      <c r="D1658" s="2" t="str">
        <f t="shared" si="24"/>
        <v>Error?</v>
      </c>
    </row>
    <row r="1659" spans="1:4" x14ac:dyDescent="0.2">
      <c r="A1659" s="5">
        <v>1598</v>
      </c>
      <c r="B1659" s="138">
        <f>'Acct Summary 7-8'!F79</f>
        <v>788051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642506</v>
      </c>
      <c r="C1672" s="2" t="s">
        <v>573</v>
      </c>
      <c r="D1672" s="2" t="str">
        <f t="shared" si="25"/>
        <v>Error?</v>
      </c>
    </row>
    <row r="1673" spans="1:4" x14ac:dyDescent="0.2">
      <c r="A1673" s="5">
        <v>1612</v>
      </c>
      <c r="B1673" s="138">
        <f>'Acct Summary 7-8'!G79</f>
        <v>254875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263064</v>
      </c>
      <c r="C1686" s="2" t="s">
        <v>573</v>
      </c>
      <c r="D1686" s="2" t="str">
        <f t="shared" si="25"/>
        <v>Error?</v>
      </c>
    </row>
    <row r="1687" spans="1:4" x14ac:dyDescent="0.2">
      <c r="A1687" s="5">
        <v>1626</v>
      </c>
      <c r="B1687" s="138">
        <f>'Acct Summary 7-8'!H79</f>
        <v>500000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212409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1914413</v>
      </c>
      <c r="C1744" s="2" t="s">
        <v>573</v>
      </c>
      <c r="D1744" s="2" t="str">
        <f t="shared" si="26"/>
        <v>Error?</v>
      </c>
    </row>
    <row r="1745" spans="1:5" x14ac:dyDescent="0.2">
      <c r="A1745" s="5">
        <v>1684</v>
      </c>
      <c r="B1745" s="138">
        <f>'Tax Sched 23'!B5</f>
        <v>296660</v>
      </c>
      <c r="C1745" s="2" t="s">
        <v>573</v>
      </c>
      <c r="D1745" s="2" t="str">
        <f t="shared" si="26"/>
        <v>Error?</v>
      </c>
    </row>
    <row r="1746" spans="1:5" x14ac:dyDescent="0.2">
      <c r="A1746" s="5">
        <v>1685</v>
      </c>
      <c r="B1746" s="138">
        <f>'Tax Sched 23'!B6</f>
        <v>208772</v>
      </c>
      <c r="C1746" s="2" t="s">
        <v>573</v>
      </c>
      <c r="D1746" s="2" t="str">
        <f t="shared" si="26"/>
        <v>Error?</v>
      </c>
    </row>
    <row r="1747" spans="1:5" x14ac:dyDescent="0.2">
      <c r="A1747" s="5">
        <v>1686</v>
      </c>
      <c r="B1747" s="138">
        <f>'Tax Sched 23'!B7</f>
        <v>142397</v>
      </c>
      <c r="C1747" s="2" t="s">
        <v>573</v>
      </c>
      <c r="D1747" s="2" t="str">
        <f t="shared" si="26"/>
        <v>Error?</v>
      </c>
    </row>
    <row r="1748" spans="1:5" x14ac:dyDescent="0.2">
      <c r="A1748" s="5">
        <v>1687</v>
      </c>
      <c r="B1748" s="138">
        <f>'Tax Sched 23'!B8</f>
        <v>209702</v>
      </c>
      <c r="C1748" s="2" t="s">
        <v>573</v>
      </c>
      <c r="D1748" s="2" t="str">
        <f t="shared" si="26"/>
        <v>Error?</v>
      </c>
    </row>
    <row r="1749" spans="1:5" x14ac:dyDescent="0.2">
      <c r="A1749" s="5">
        <v>1688</v>
      </c>
      <c r="B1749" s="138">
        <f>'Tax Sched 23'!B10</f>
        <v>59339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267348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23743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3333841</v>
      </c>
      <c r="C1759" s="2" t="s">
        <v>573</v>
      </c>
      <c r="D1759" s="2" t="str">
        <f t="shared" si="26"/>
        <v>Error?</v>
      </c>
    </row>
    <row r="1760" spans="1:5" x14ac:dyDescent="0.2">
      <c r="A1760" s="5">
        <v>1699</v>
      </c>
      <c r="B1760" s="138">
        <f>'Tax Sched 23'!D4</f>
        <v>1914413</v>
      </c>
      <c r="C1760" s="2" t="s">
        <v>573</v>
      </c>
      <c r="D1760" s="2" t="str">
        <f t="shared" si="26"/>
        <v>Error?</v>
      </c>
    </row>
    <row r="1761" spans="1:5" x14ac:dyDescent="0.2">
      <c r="A1761" s="5">
        <v>1700</v>
      </c>
      <c r="B1761" s="138">
        <f>'Tax Sched 23'!D5</f>
        <v>296660</v>
      </c>
      <c r="C1761" s="2" t="s">
        <v>573</v>
      </c>
      <c r="D1761" s="2" t="str">
        <f t="shared" si="26"/>
        <v>Error?</v>
      </c>
    </row>
    <row r="1762" spans="1:5" s="8" customFormat="1" x14ac:dyDescent="0.2">
      <c r="A1762" s="5">
        <v>1701</v>
      </c>
      <c r="B1762" s="138">
        <f>'Tax Sched 23'!D6</f>
        <v>208772</v>
      </c>
      <c r="C1762" s="2" t="s">
        <v>573</v>
      </c>
      <c r="D1762" s="2" t="str">
        <f t="shared" si="26"/>
        <v>Error?</v>
      </c>
      <c r="E1762" s="9"/>
    </row>
    <row r="1763" spans="1:5" x14ac:dyDescent="0.2">
      <c r="A1763" s="5">
        <v>1702</v>
      </c>
      <c r="B1763" s="138">
        <f>'Tax Sched 23'!D7</f>
        <v>142397</v>
      </c>
      <c r="C1763" s="2" t="s">
        <v>573</v>
      </c>
      <c r="D1763" s="2" t="str">
        <f t="shared" si="26"/>
        <v>Error?</v>
      </c>
    </row>
    <row r="1764" spans="1:5" x14ac:dyDescent="0.2">
      <c r="A1764" s="5">
        <v>1703</v>
      </c>
      <c r="B1764" s="138">
        <f>'Tax Sched 23'!D8</f>
        <v>209702</v>
      </c>
      <c r="C1764" s="2" t="s">
        <v>573</v>
      </c>
      <c r="D1764" s="2" t="str">
        <f t="shared" si="26"/>
        <v>Error?</v>
      </c>
    </row>
    <row r="1765" spans="1:5" x14ac:dyDescent="0.2">
      <c r="A1765" s="5">
        <v>1704</v>
      </c>
      <c r="B1765" s="138">
        <f>'Tax Sched 23'!D10</f>
        <v>59339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267348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23743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3333841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1794103</v>
      </c>
      <c r="C1792" s="2" t="s">
        <v>573</v>
      </c>
      <c r="D1792" s="2" t="str">
        <f t="shared" si="27"/>
        <v>Error?</v>
      </c>
    </row>
    <row r="1793" spans="1:4" x14ac:dyDescent="0.2">
      <c r="A1793" s="5">
        <v>1732</v>
      </c>
      <c r="B1793" s="138">
        <f>'Tax Sched 23'!F5</f>
        <v>276915</v>
      </c>
      <c r="C1793" s="2" t="s">
        <v>573</v>
      </c>
      <c r="D1793" s="2" t="str">
        <f t="shared" si="27"/>
        <v>Error?</v>
      </c>
    </row>
    <row r="1794" spans="1:4" x14ac:dyDescent="0.2">
      <c r="A1794" s="5">
        <v>1733</v>
      </c>
      <c r="B1794" s="138">
        <f>'Tax Sched 23'!F6</f>
        <v>152922</v>
      </c>
      <c r="C1794" s="2" t="s">
        <v>573</v>
      </c>
      <c r="D1794" s="2" t="str">
        <f t="shared" si="27"/>
        <v>Error?</v>
      </c>
    </row>
    <row r="1795" spans="1:4" x14ac:dyDescent="0.2">
      <c r="A1795" s="5">
        <v>1734</v>
      </c>
      <c r="B1795" s="138">
        <f>'Tax Sched 23'!F7</f>
        <v>132921</v>
      </c>
      <c r="C1795" s="2" t="s">
        <v>573</v>
      </c>
      <c r="D1795" s="2" t="str">
        <f t="shared" si="27"/>
        <v>Error?</v>
      </c>
    </row>
    <row r="1796" spans="1:4" x14ac:dyDescent="0.2">
      <c r="A1796" s="5">
        <v>1735</v>
      </c>
      <c r="B1796" s="138">
        <f>'Tax Sched 23'!F8</f>
        <v>188304</v>
      </c>
      <c r="C1796" s="2" t="s">
        <v>573</v>
      </c>
      <c r="D1796" s="2" t="str">
        <f t="shared" si="27"/>
        <v>Error?</v>
      </c>
    </row>
    <row r="1797" spans="1:4" x14ac:dyDescent="0.2">
      <c r="A1797" s="5">
        <v>1736</v>
      </c>
      <c r="B1797" s="138">
        <f>'Tax Sched 23'!F10</f>
        <v>55383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232604</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22155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3043611</v>
      </c>
      <c r="C1807" s="2" t="s">
        <v>573</v>
      </c>
      <c r="D1807" s="2" t="str">
        <f t="shared" si="27"/>
        <v>Error?</v>
      </c>
    </row>
    <row r="1808" spans="1:4" x14ac:dyDescent="0.2">
      <c r="A1808" s="5">
        <v>1747</v>
      </c>
      <c r="B1808" s="138">
        <f>'Tax Sched 23'!E4</f>
        <v>1794103</v>
      </c>
      <c r="D1808" s="2" t="str">
        <f t="shared" si="27"/>
        <v>Error?</v>
      </c>
    </row>
    <row r="1809" spans="1:4" x14ac:dyDescent="0.2">
      <c r="A1809" s="5">
        <v>1748</v>
      </c>
      <c r="B1809" s="138">
        <f>'Tax Sched 23'!E5</f>
        <v>276915</v>
      </c>
      <c r="D1809" s="2" t="str">
        <f t="shared" si="27"/>
        <v>Error?</v>
      </c>
    </row>
    <row r="1810" spans="1:4" x14ac:dyDescent="0.2">
      <c r="A1810" s="5">
        <v>1749</v>
      </c>
      <c r="B1810" s="138">
        <f>'Tax Sched 23'!E6</f>
        <v>152922</v>
      </c>
      <c r="D1810" s="2" t="str">
        <f t="shared" si="27"/>
        <v>Error?</v>
      </c>
    </row>
    <row r="1811" spans="1:4" x14ac:dyDescent="0.2">
      <c r="A1811" s="5">
        <v>1750</v>
      </c>
      <c r="B1811" s="138">
        <f>'Tax Sched 23'!E7</f>
        <v>132921</v>
      </c>
      <c r="D1811" s="2" t="str">
        <f t="shared" si="27"/>
        <v>Error?</v>
      </c>
    </row>
    <row r="1812" spans="1:4" x14ac:dyDescent="0.2">
      <c r="A1812" s="5">
        <v>1751</v>
      </c>
      <c r="B1812" s="138">
        <f>'Tax Sched 23'!E8</f>
        <v>188304</v>
      </c>
      <c r="D1812" s="2" t="str">
        <f t="shared" si="27"/>
        <v>Error?</v>
      </c>
    </row>
    <row r="1813" spans="1:4" x14ac:dyDescent="0.2">
      <c r="A1813" s="5">
        <v>1752</v>
      </c>
      <c r="B1813" s="138">
        <f>'Tax Sched 23'!E10</f>
        <v>55383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232604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22155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3043611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2120117</v>
      </c>
      <c r="C1939" s="2" t="s">
        <v>573</v>
      </c>
      <c r="D1939" s="2" t="str">
        <f t="shared" si="29"/>
        <v>Error?</v>
      </c>
    </row>
    <row r="1940" spans="1:5" x14ac:dyDescent="0.2">
      <c r="A1940" s="5">
        <v>1879</v>
      </c>
      <c r="B1940" s="138">
        <f>'Short-Term Long-Term Debt 24'!F49</f>
        <v>3848100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23743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23743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23743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365455</v>
      </c>
      <c r="D2008" s="2" t="str">
        <f t="shared" si="30"/>
        <v>Error?</v>
      </c>
    </row>
    <row r="2009" spans="1:4" x14ac:dyDescent="0.2">
      <c r="A2009" s="5">
        <v>1948</v>
      </c>
      <c r="B2009" s="138">
        <f>'Cap Outlay Deprec 26'!C8</f>
        <v>15454418</v>
      </c>
      <c r="D2009" s="2" t="str">
        <f t="shared" si="30"/>
        <v>Error?</v>
      </c>
    </row>
    <row r="2010" spans="1:4" x14ac:dyDescent="0.2">
      <c r="A2010" s="5">
        <v>1949</v>
      </c>
      <c r="B2010" s="138">
        <f>'Cap Outlay Deprec 26'!C10</f>
        <v>285718</v>
      </c>
      <c r="D2010" s="2" t="str">
        <f t="shared" si="30"/>
        <v>Error?</v>
      </c>
    </row>
    <row r="2011" spans="1:4" x14ac:dyDescent="0.2">
      <c r="A2011" s="5">
        <v>1950</v>
      </c>
      <c r="B2011" s="138">
        <f>'Cap Outlay Deprec 26'!C12</f>
        <v>2560944</v>
      </c>
      <c r="D2011" s="2" t="str">
        <f t="shared" si="30"/>
        <v>Error?</v>
      </c>
    </row>
    <row r="2012" spans="1:4" x14ac:dyDescent="0.2">
      <c r="A2012" s="5">
        <v>1951</v>
      </c>
      <c r="B2012" s="138">
        <f>'Cap Outlay Deprec 26'!C13</f>
        <v>24827</v>
      </c>
      <c r="D2012" s="2" t="str">
        <f t="shared" si="30"/>
        <v>Error?</v>
      </c>
    </row>
    <row r="2013" spans="1:4" x14ac:dyDescent="0.2">
      <c r="A2013" s="5">
        <v>1952</v>
      </c>
      <c r="B2013" s="138">
        <f>'Cap Outlay Deprec 26'!C16</f>
        <v>18691362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3265845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162130</v>
      </c>
      <c r="D2017" s="2" t="str">
        <f t="shared" si="30"/>
        <v>Error?</v>
      </c>
    </row>
    <row r="2018" spans="1:4" x14ac:dyDescent="0.2">
      <c r="A2018" s="5">
        <v>1957</v>
      </c>
      <c r="B2018" s="138">
        <f>'Cap Outlay Deprec 26'!D13</f>
        <v>25758</v>
      </c>
      <c r="D2018" s="2" t="str">
        <f t="shared" si="30"/>
        <v>Error?</v>
      </c>
    </row>
    <row r="2019" spans="1:4" x14ac:dyDescent="0.2">
      <c r="A2019" s="5">
        <v>1958</v>
      </c>
      <c r="B2019" s="138">
        <f>'Cap Outlay Deprec 26'!D16</f>
        <v>3827788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365455</v>
      </c>
      <c r="C2026" s="2" t="s">
        <v>573</v>
      </c>
      <c r="D2026" s="2" t="str">
        <f t="shared" si="30"/>
        <v>Error?</v>
      </c>
    </row>
    <row r="2027" spans="1:4" x14ac:dyDescent="0.2">
      <c r="A2027" s="5">
        <v>1966</v>
      </c>
      <c r="B2027" s="138">
        <f>'Cap Outlay Deprec 26'!F8</f>
        <v>18720263</v>
      </c>
      <c r="C2027" s="2" t="s">
        <v>573</v>
      </c>
      <c r="D2027" s="2" t="str">
        <f t="shared" si="30"/>
        <v>Error?</v>
      </c>
    </row>
    <row r="2028" spans="1:4" x14ac:dyDescent="0.2">
      <c r="A2028" s="5">
        <v>1967</v>
      </c>
      <c r="B2028" s="138">
        <f>'Cap Outlay Deprec 26'!F10</f>
        <v>285718</v>
      </c>
      <c r="C2028" s="2" t="s">
        <v>573</v>
      </c>
      <c r="D2028" s="2" t="str">
        <f t="shared" si="30"/>
        <v>Error?</v>
      </c>
    </row>
    <row r="2029" spans="1:4" x14ac:dyDescent="0.2">
      <c r="A2029" s="5">
        <v>1968</v>
      </c>
      <c r="B2029" s="138">
        <f>'Cap Outlay Deprec 26'!F12</f>
        <v>2723074</v>
      </c>
      <c r="C2029" s="2" t="s">
        <v>573</v>
      </c>
      <c r="D2029" s="2" t="str">
        <f t="shared" si="30"/>
        <v>Error?</v>
      </c>
    </row>
    <row r="2030" spans="1:4" x14ac:dyDescent="0.2">
      <c r="A2030" s="5">
        <v>1969</v>
      </c>
      <c r="B2030" s="138">
        <f>'Cap Outlay Deprec 26'!F13</f>
        <v>50585</v>
      </c>
      <c r="C2030" s="2" t="s">
        <v>573</v>
      </c>
      <c r="D2030" s="2" t="str">
        <f t="shared" si="30"/>
        <v>Error?</v>
      </c>
    </row>
    <row r="2031" spans="1:4" x14ac:dyDescent="0.2">
      <c r="A2031" s="5">
        <v>1970</v>
      </c>
      <c r="B2031" s="138">
        <f>'Cap Outlay Deprec 26'!F16</f>
        <v>22519150</v>
      </c>
      <c r="C2031" s="2" t="s">
        <v>573</v>
      </c>
      <c r="D2031" s="2" t="str">
        <f t="shared" si="30"/>
        <v>Error?</v>
      </c>
    </row>
    <row r="2032" spans="1:4" x14ac:dyDescent="0.2">
      <c r="A2032" s="10">
        <v>1971</v>
      </c>
      <c r="D2032" s="2" t="str">
        <f t="shared" si="30"/>
        <v>OK</v>
      </c>
    </row>
    <row r="2033" spans="1:4" x14ac:dyDescent="0.2">
      <c r="A2033" s="5">
        <v>1972</v>
      </c>
      <c r="B2033" s="138">
        <f>'Cap Outlay Deprec 26'!H8</f>
        <v>7124475</v>
      </c>
      <c r="D2033" s="2" t="str">
        <f t="shared" si="30"/>
        <v>Error?</v>
      </c>
    </row>
    <row r="2034" spans="1:4" x14ac:dyDescent="0.2">
      <c r="A2034" s="5">
        <v>1973</v>
      </c>
      <c r="B2034" s="138">
        <f>'Cap Outlay Deprec 26'!H10</f>
        <v>227902</v>
      </c>
      <c r="D2034" s="2" t="str">
        <f t="shared" si="30"/>
        <v>Error?</v>
      </c>
    </row>
    <row r="2035" spans="1:4" x14ac:dyDescent="0.2">
      <c r="A2035" s="5">
        <v>1974</v>
      </c>
      <c r="B2035" s="138">
        <f>'Cap Outlay Deprec 26'!H12</f>
        <v>1916396</v>
      </c>
      <c r="D2035" s="2" t="str">
        <f t="shared" si="30"/>
        <v>Error?</v>
      </c>
    </row>
    <row r="2036" spans="1:4" x14ac:dyDescent="0.2">
      <c r="A2036" s="5">
        <v>1975</v>
      </c>
      <c r="B2036" s="138">
        <f>'Cap Outlay Deprec 26'!H13</f>
        <v>23810</v>
      </c>
      <c r="D2036" s="2" t="str">
        <f t="shared" si="30"/>
        <v>Error?</v>
      </c>
    </row>
    <row r="2037" spans="1:4" x14ac:dyDescent="0.2">
      <c r="A2037" s="5">
        <v>1976</v>
      </c>
      <c r="B2037" s="138">
        <f>'Cap Outlay Deprec 26'!H16</f>
        <v>9292583</v>
      </c>
      <c r="C2037" s="2" t="s">
        <v>573</v>
      </c>
      <c r="D2037" s="2" t="str">
        <f t="shared" si="30"/>
        <v>Error?</v>
      </c>
    </row>
    <row r="2038" spans="1:4" x14ac:dyDescent="0.2">
      <c r="A2038" s="10">
        <v>1977</v>
      </c>
      <c r="D2038" s="2" t="str">
        <f t="shared" si="30"/>
        <v>OK</v>
      </c>
    </row>
    <row r="2039" spans="1:4" x14ac:dyDescent="0.2">
      <c r="A2039" s="5">
        <v>1978</v>
      </c>
      <c r="B2039" s="138">
        <f>'Cap Outlay Deprec 26'!I8</f>
        <v>386216</v>
      </c>
      <c r="D2039" s="2" t="str">
        <f t="shared" si="30"/>
        <v>Error?</v>
      </c>
    </row>
    <row r="2040" spans="1:4" x14ac:dyDescent="0.2">
      <c r="A2040" s="5">
        <v>1979</v>
      </c>
      <c r="B2040" s="138">
        <f>'Cap Outlay Deprec 26'!I10</f>
        <v>5147</v>
      </c>
      <c r="D2040" s="2" t="str">
        <f t="shared" si="30"/>
        <v>Error?</v>
      </c>
    </row>
    <row r="2041" spans="1:4" x14ac:dyDescent="0.2">
      <c r="A2041" s="5">
        <v>1980</v>
      </c>
      <c r="B2041" s="138">
        <f>'Cap Outlay Deprec 26'!I12</f>
        <v>156950</v>
      </c>
      <c r="D2041" s="2" t="str">
        <f t="shared" si="30"/>
        <v>Error?</v>
      </c>
    </row>
    <row r="2042" spans="1:4" x14ac:dyDescent="0.2">
      <c r="A2042" s="5">
        <v>1981</v>
      </c>
      <c r="B2042" s="138">
        <f>'Cap Outlay Deprec 26'!I13</f>
        <v>2568</v>
      </c>
      <c r="D2042" s="2" t="str">
        <f t="shared" si="30"/>
        <v>Error?</v>
      </c>
    </row>
    <row r="2043" spans="1:4" x14ac:dyDescent="0.2">
      <c r="A2043" s="5">
        <v>1982</v>
      </c>
      <c r="B2043" s="138">
        <f>'Cap Outlay Deprec 26'!I16</f>
        <v>550881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7510691</v>
      </c>
      <c r="C2051" s="2" t="s">
        <v>573</v>
      </c>
      <c r="D2051" s="2" t="str">
        <f t="shared" si="31"/>
        <v>Error?</v>
      </c>
    </row>
    <row r="2052" spans="1:4" x14ac:dyDescent="0.2">
      <c r="A2052" s="5">
        <v>1991</v>
      </c>
      <c r="B2052" s="138">
        <f>'Cap Outlay Deprec 26'!K10</f>
        <v>233049</v>
      </c>
      <c r="C2052" s="2" t="s">
        <v>573</v>
      </c>
      <c r="D2052" s="2" t="str">
        <f t="shared" si="31"/>
        <v>Error?</v>
      </c>
    </row>
    <row r="2053" spans="1:4" x14ac:dyDescent="0.2">
      <c r="A2053" s="5">
        <v>1992</v>
      </c>
      <c r="B2053" s="138">
        <f>'Cap Outlay Deprec 26'!K12</f>
        <v>2073346</v>
      </c>
      <c r="C2053" s="2" t="s">
        <v>573</v>
      </c>
      <c r="D2053" s="2" t="str">
        <f t="shared" si="31"/>
        <v>Error?</v>
      </c>
    </row>
    <row r="2054" spans="1:4" x14ac:dyDescent="0.2">
      <c r="A2054" s="5">
        <v>1993</v>
      </c>
      <c r="B2054" s="138">
        <f>'Cap Outlay Deprec 26'!K13</f>
        <v>26378</v>
      </c>
      <c r="C2054" s="2" t="s">
        <v>573</v>
      </c>
      <c r="D2054" s="2" t="str">
        <f t="shared" si="31"/>
        <v>Error?</v>
      </c>
    </row>
    <row r="2055" spans="1:4" x14ac:dyDescent="0.2">
      <c r="A2055" s="5">
        <v>1994</v>
      </c>
      <c r="B2055" s="138">
        <f>'Cap Outlay Deprec 26'!K16</f>
        <v>9843464</v>
      </c>
      <c r="C2055" s="2" t="s">
        <v>573</v>
      </c>
      <c r="D2055" s="2" t="str">
        <f t="shared" si="31"/>
        <v>Error?</v>
      </c>
    </row>
    <row r="2056" spans="1:4" x14ac:dyDescent="0.2">
      <c r="A2056" s="5">
        <v>1995</v>
      </c>
      <c r="B2056" s="138">
        <f>'Cap Outlay Deprec 26'!L5</f>
        <v>365455</v>
      </c>
      <c r="C2056" s="2" t="s">
        <v>573</v>
      </c>
      <c r="D2056" s="2" t="str">
        <f t="shared" si="31"/>
        <v>Error?</v>
      </c>
    </row>
    <row r="2057" spans="1:4" x14ac:dyDescent="0.2">
      <c r="A2057" s="5">
        <v>1996</v>
      </c>
      <c r="B2057" s="138">
        <f>'Cap Outlay Deprec 26'!L8</f>
        <v>11209572</v>
      </c>
      <c r="C2057" s="2" t="s">
        <v>573</v>
      </c>
      <c r="D2057" s="2" t="str">
        <f t="shared" si="31"/>
        <v>Error?</v>
      </c>
    </row>
    <row r="2058" spans="1:4" x14ac:dyDescent="0.2">
      <c r="A2058" s="5">
        <v>1997</v>
      </c>
      <c r="B2058" s="138">
        <f>'Cap Outlay Deprec 26'!L10</f>
        <v>52669</v>
      </c>
      <c r="C2058" s="2" t="s">
        <v>573</v>
      </c>
      <c r="D2058" s="2" t="str">
        <f t="shared" si="31"/>
        <v>Error?</v>
      </c>
    </row>
    <row r="2059" spans="1:4" x14ac:dyDescent="0.2">
      <c r="A2059" s="5">
        <v>1998</v>
      </c>
      <c r="B2059" s="138">
        <f>'Cap Outlay Deprec 26'!L12</f>
        <v>649728</v>
      </c>
      <c r="C2059" s="2" t="s">
        <v>573</v>
      </c>
      <c r="D2059" s="2" t="str">
        <f t="shared" si="31"/>
        <v>Error?</v>
      </c>
    </row>
    <row r="2060" spans="1:4" x14ac:dyDescent="0.2">
      <c r="A2060" s="5">
        <v>1999</v>
      </c>
      <c r="B2060" s="138">
        <f>'Cap Outlay Deprec 26'!L13</f>
        <v>24207</v>
      </c>
      <c r="C2060" s="2" t="s">
        <v>573</v>
      </c>
      <c r="D2060" s="2" t="str">
        <f t="shared" si="31"/>
        <v>Error?</v>
      </c>
    </row>
    <row r="2061" spans="1:4" x14ac:dyDescent="0.2">
      <c r="A2061" s="5">
        <v>2000</v>
      </c>
      <c r="B2061" s="138">
        <f>'Cap Outlay Deprec 26'!L16</f>
        <v>12675686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4745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500894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904339</v>
      </c>
      <c r="C2105" s="2" t="s">
        <v>573</v>
      </c>
      <c r="D2105" s="2" t="str">
        <f t="shared" si="31"/>
        <v>Error?</v>
      </c>
    </row>
    <row r="2106" spans="1:4" x14ac:dyDescent="0.2">
      <c r="A2106" s="5">
        <v>2045</v>
      </c>
      <c r="B2106" s="138">
        <f>'Acct Summary 7-8'!I48</f>
        <v>2503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100000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2138343</v>
      </c>
      <c r="C2551" s="2" t="s">
        <v>573</v>
      </c>
      <c r="D2551" s="2" t="str">
        <f t="shared" si="38"/>
        <v>Error?</v>
      </c>
    </row>
    <row r="2552" spans="1:4" x14ac:dyDescent="0.2">
      <c r="A2552" s="10">
        <v>2491</v>
      </c>
      <c r="D2552" s="2" t="str">
        <f t="shared" si="38"/>
        <v>OK</v>
      </c>
    </row>
    <row r="2553" spans="1:4" x14ac:dyDescent="0.2">
      <c r="A2553" s="5">
        <v>2492</v>
      </c>
      <c r="B2553" s="138">
        <f>'Acct Summary 7-8'!C6</f>
        <v>7868293</v>
      </c>
      <c r="C2553" s="2" t="s">
        <v>573</v>
      </c>
      <c r="D2553" s="2" t="str">
        <f t="shared" si="38"/>
        <v>Error?</v>
      </c>
    </row>
    <row r="2554" spans="1:4" x14ac:dyDescent="0.2">
      <c r="A2554" s="5">
        <v>2493</v>
      </c>
      <c r="B2554" s="138">
        <f>'Acct Summary 7-8'!C7</f>
        <v>2260122</v>
      </c>
      <c r="C2554" s="2" t="s">
        <v>573</v>
      </c>
      <c r="D2554" s="2" t="str">
        <f t="shared" si="38"/>
        <v>Error?</v>
      </c>
    </row>
    <row r="2555" spans="1:4" x14ac:dyDescent="0.2">
      <c r="A2555" s="5">
        <v>2494</v>
      </c>
      <c r="B2555" s="138">
        <f>'Acct Summary 7-8'!C8</f>
        <v>12266758</v>
      </c>
      <c r="C2555" s="2" t="s">
        <v>573</v>
      </c>
      <c r="D2555" s="2" t="str">
        <f t="shared" si="38"/>
        <v>Error?</v>
      </c>
    </row>
    <row r="2556" spans="1:4" x14ac:dyDescent="0.2">
      <c r="A2556" s="5">
        <v>2495</v>
      </c>
      <c r="B2556" s="138">
        <f>'Acct Summary 7-8'!C12</f>
        <v>7598833</v>
      </c>
      <c r="C2556" s="2" t="s">
        <v>573</v>
      </c>
      <c r="D2556" s="2" t="str">
        <f t="shared" si="38"/>
        <v>Error?</v>
      </c>
    </row>
    <row r="2557" spans="1:4" x14ac:dyDescent="0.2">
      <c r="A2557" s="5">
        <v>2496</v>
      </c>
      <c r="B2557" s="138">
        <f>'Acct Summary 7-8'!C13</f>
        <v>3483220</v>
      </c>
      <c r="C2557" s="2" t="s">
        <v>573</v>
      </c>
      <c r="D2557" s="2" t="str">
        <f t="shared" si="38"/>
        <v>Error?</v>
      </c>
    </row>
    <row r="2558" spans="1:4" x14ac:dyDescent="0.2">
      <c r="A2558" s="5">
        <v>2497</v>
      </c>
      <c r="B2558" s="138">
        <f>'Acct Summary 7-8'!C14</f>
        <v>111320</v>
      </c>
      <c r="C2558" s="2" t="s">
        <v>573</v>
      </c>
      <c r="D2558" s="2" t="str">
        <f t="shared" si="38"/>
        <v>Error?</v>
      </c>
    </row>
    <row r="2559" spans="1:4" x14ac:dyDescent="0.2">
      <c r="A2559" s="5">
        <v>2498</v>
      </c>
      <c r="B2559" s="138">
        <f>'Acct Summary 7-8'!C15</f>
        <v>500894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11694267</v>
      </c>
      <c r="C2561" s="2" t="s">
        <v>573</v>
      </c>
      <c r="D2561" s="2" t="str">
        <f t="shared" si="39"/>
        <v>Error?</v>
      </c>
    </row>
    <row r="2562" spans="1:4" x14ac:dyDescent="0.2">
      <c r="A2562" s="5">
        <v>2501</v>
      </c>
      <c r="B2562" s="138">
        <f>'Acct Summary 7-8'!C20</f>
        <v>572491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475414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475414</v>
      </c>
      <c r="C2568" s="2" t="s">
        <v>573</v>
      </c>
      <c r="D2568" s="2" t="str">
        <f t="shared" si="39"/>
        <v>Error?</v>
      </c>
    </row>
    <row r="2569" spans="1:4" x14ac:dyDescent="0.2">
      <c r="A2569" s="5">
        <v>2508</v>
      </c>
      <c r="B2569" s="138">
        <f>'Acct Summary 7-8'!D13</f>
        <v>430180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430180</v>
      </c>
      <c r="C2573" s="2" t="s">
        <v>573</v>
      </c>
      <c r="D2573" s="2" t="str">
        <f t="shared" si="39"/>
        <v>Error?</v>
      </c>
    </row>
    <row r="2574" spans="1:4" x14ac:dyDescent="0.2">
      <c r="A2574" s="5">
        <v>2513</v>
      </c>
      <c r="B2574" s="138">
        <f>'Acct Summary 7-8'!D20</f>
        <v>45234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157818</v>
      </c>
      <c r="C2591" s="2" t="s">
        <v>573</v>
      </c>
      <c r="D2591" s="2" t="str">
        <f t="shared" si="39"/>
        <v>Error?</v>
      </c>
    </row>
    <row r="2592" spans="1:4" x14ac:dyDescent="0.2">
      <c r="A2592" s="10">
        <v>2531</v>
      </c>
      <c r="D2592" s="2" t="str">
        <f t="shared" si="39"/>
        <v>OK</v>
      </c>
    </row>
    <row r="2593" spans="1:4" x14ac:dyDescent="0.2">
      <c r="A2593" s="5">
        <v>2532</v>
      </c>
      <c r="B2593" s="138">
        <f>'Acct Summary 7-8'!F6</f>
        <v>359027</v>
      </c>
      <c r="C2593" s="2" t="s">
        <v>573</v>
      </c>
      <c r="D2593" s="2" t="str">
        <f t="shared" si="39"/>
        <v>Error?</v>
      </c>
    </row>
    <row r="2594" spans="1:4" x14ac:dyDescent="0.2">
      <c r="A2594" s="5">
        <v>2533</v>
      </c>
      <c r="B2594" s="138">
        <f>'Acct Summary 7-8'!F7</f>
        <v>53996</v>
      </c>
      <c r="C2594" s="2" t="s">
        <v>573</v>
      </c>
      <c r="D2594" s="2" t="str">
        <f t="shared" si="39"/>
        <v>Error?</v>
      </c>
    </row>
    <row r="2595" spans="1:4" x14ac:dyDescent="0.2">
      <c r="A2595" s="5">
        <v>2534</v>
      </c>
      <c r="B2595" s="138">
        <f>'Acct Summary 7-8'!F8</f>
        <v>570841</v>
      </c>
      <c r="C2595" s="2" t="s">
        <v>573</v>
      </c>
      <c r="D2595" s="2" t="str">
        <f t="shared" si="39"/>
        <v>Error?</v>
      </c>
    </row>
    <row r="2596" spans="1:4" x14ac:dyDescent="0.2">
      <c r="A2596" s="5">
        <v>2535</v>
      </c>
      <c r="B2596" s="138">
        <f>'Acct Summary 7-8'!F13</f>
        <v>716386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716386</v>
      </c>
      <c r="C2600" s="2" t="s">
        <v>573</v>
      </c>
      <c r="D2600" s="2" t="str">
        <f t="shared" si="39"/>
        <v>Error?</v>
      </c>
    </row>
    <row r="2601" spans="1:4" x14ac:dyDescent="0.2">
      <c r="A2601" s="5">
        <v>2540</v>
      </c>
      <c r="B2601" s="138">
        <f>'Acct Summary 7-8'!F20</f>
        <v>-145545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462186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59947</v>
      </c>
      <c r="C2605" s="2" t="s">
        <v>573</v>
      </c>
      <c r="D2605" s="2" t="str">
        <f t="shared" si="39"/>
        <v>Error?</v>
      </c>
    </row>
    <row r="2606" spans="1:4" x14ac:dyDescent="0.2">
      <c r="A2606" s="5">
        <v>2545</v>
      </c>
      <c r="B2606" s="138">
        <f>'Acct Summary 7-8'!G8</f>
        <v>522133</v>
      </c>
      <c r="C2606" s="2" t="s">
        <v>573</v>
      </c>
      <c r="D2606" s="2" t="str">
        <f t="shared" si="39"/>
        <v>Error?</v>
      </c>
    </row>
    <row r="2607" spans="1:4" x14ac:dyDescent="0.2">
      <c r="A2607" s="5">
        <v>2546</v>
      </c>
      <c r="B2607" s="138">
        <f>'Acct Summary 7-8'!G12</f>
        <v>169630</v>
      </c>
      <c r="C2607" s="2" t="s">
        <v>573</v>
      </c>
      <c r="D2607" s="2" t="str">
        <f t="shared" si="39"/>
        <v>Error?</v>
      </c>
    </row>
    <row r="2608" spans="1:4" x14ac:dyDescent="0.2">
      <c r="A2608" s="5">
        <v>2547</v>
      </c>
      <c r="B2608" s="138">
        <f>'Acct Summary 7-8'!G13</f>
        <v>336158</v>
      </c>
      <c r="C2608" s="2" t="s">
        <v>573</v>
      </c>
      <c r="D2608" s="2" t="str">
        <f t="shared" si="39"/>
        <v>Error?</v>
      </c>
    </row>
    <row r="2609" spans="1:4" x14ac:dyDescent="0.2">
      <c r="A2609" s="5">
        <v>2548</v>
      </c>
      <c r="B2609" s="138">
        <f>'Acct Summary 7-8'!G14</f>
        <v>8156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513944</v>
      </c>
      <c r="C2612" s="2" t="s">
        <v>573</v>
      </c>
      <c r="D2612" s="2" t="str">
        <f t="shared" si="39"/>
        <v>Error?</v>
      </c>
    </row>
    <row r="2613" spans="1:4" x14ac:dyDescent="0.2">
      <c r="A2613" s="5">
        <v>2552</v>
      </c>
      <c r="B2613" s="138">
        <f>'Acct Summary 7-8'!G20</f>
        <v>8189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217612</v>
      </c>
      <c r="C2630" s="2" t="s">
        <v>573</v>
      </c>
      <c r="D2630" s="2" t="str">
        <f t="shared" si="40"/>
        <v>Error?</v>
      </c>
    </row>
    <row r="2631" spans="1:4" x14ac:dyDescent="0.2">
      <c r="A2631" s="5">
        <v>2570</v>
      </c>
      <c r="B2631" s="138">
        <f>'Acct Summary 7-8'!E6</f>
        <v>300000</v>
      </c>
      <c r="C2631" s="2" t="s">
        <v>573</v>
      </c>
      <c r="D2631" s="2" t="str">
        <f t="shared" si="40"/>
        <v>Error?</v>
      </c>
    </row>
    <row r="2632" spans="1:4" x14ac:dyDescent="0.2">
      <c r="A2632" s="5">
        <v>2571</v>
      </c>
      <c r="B2632" s="138">
        <f>'Acct Summary 7-8'!E8</f>
        <v>517612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2123250</v>
      </c>
      <c r="C2634" s="2" t="s">
        <v>573</v>
      </c>
      <c r="D2634" s="2" t="str">
        <f t="shared" si="40"/>
        <v>Error?</v>
      </c>
    </row>
    <row r="2635" spans="1:4" x14ac:dyDescent="0.2">
      <c r="A2635" s="5">
        <v>2574</v>
      </c>
      <c r="B2635" s="138">
        <f>'Acct Summary 7-8'!E17</f>
        <v>2123250</v>
      </c>
      <c r="C2635" s="2" t="s">
        <v>573</v>
      </c>
      <c r="D2635" s="2" t="str">
        <f t="shared" si="40"/>
        <v>Error?</v>
      </c>
    </row>
    <row r="2636" spans="1:4" x14ac:dyDescent="0.2">
      <c r="A2636" s="5">
        <v>2575</v>
      </c>
      <c r="B2636" s="138">
        <f>'Acct Summary 7-8'!E20</f>
        <v>-1605638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603272</v>
      </c>
      <c r="C2655" s="2" t="s">
        <v>573</v>
      </c>
      <c r="D2655" s="2" t="str">
        <f t="shared" si="40"/>
        <v>Error?</v>
      </c>
    </row>
    <row r="2656" spans="1:4" x14ac:dyDescent="0.2">
      <c r="A2656" s="5">
        <v>2595</v>
      </c>
      <c r="B2656" s="138">
        <f>'Acct Summary 7-8'!H6</f>
        <v>672000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1275272</v>
      </c>
      <c r="C2658" s="2" t="s">
        <v>573</v>
      </c>
      <c r="D2658" s="2" t="str">
        <f t="shared" si="40"/>
        <v>Error?</v>
      </c>
    </row>
    <row r="2659" spans="1:4" x14ac:dyDescent="0.2">
      <c r="A2659" s="5">
        <v>2598</v>
      </c>
      <c r="B2659" s="138">
        <f>'Acct Summary 7-8'!H13</f>
        <v>2407863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2407863</v>
      </c>
      <c r="C2661" s="2" t="s">
        <v>573</v>
      </c>
      <c r="D2661" s="2" t="str">
        <f t="shared" si="40"/>
        <v>Error?</v>
      </c>
    </row>
    <row r="2662" spans="1:4" x14ac:dyDescent="0.2">
      <c r="A2662" s="5">
        <v>2601</v>
      </c>
      <c r="B2662" s="138">
        <f>'Acct Summary 7-8'!H20</f>
        <v>-1132591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5000</v>
      </c>
      <c r="D2718" s="2" t="str">
        <f t="shared" si="41"/>
        <v>Error?</v>
      </c>
    </row>
    <row r="2719" spans="1:4" x14ac:dyDescent="0.2">
      <c r="A2719" s="5">
        <v>2658</v>
      </c>
      <c r="B2719" s="138">
        <f>'Expenditures 15-22'!D51</f>
        <v>1118</v>
      </c>
      <c r="D2719" s="2" t="str">
        <f t="shared" si="41"/>
        <v>Error?</v>
      </c>
    </row>
    <row r="2720" spans="1:4" x14ac:dyDescent="0.2">
      <c r="A2720" s="5">
        <v>2659</v>
      </c>
      <c r="B2720" s="138">
        <f>'Expenditures 15-22'!E51</f>
        <v>300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6418</v>
      </c>
      <c r="C2724" s="2" t="s">
        <v>573</v>
      </c>
      <c r="D2724" s="2" t="str">
        <f t="shared" si="41"/>
        <v>Error?</v>
      </c>
    </row>
    <row r="2725" spans="1:4" x14ac:dyDescent="0.2">
      <c r="A2725" s="5">
        <v>2664</v>
      </c>
      <c r="B2725" s="138">
        <f>'Expenditures 15-22'!D247</f>
        <v>72</v>
      </c>
      <c r="D2725" s="2" t="str">
        <f t="shared" si="41"/>
        <v>Error?</v>
      </c>
    </row>
    <row r="2726" spans="1:4" x14ac:dyDescent="0.2">
      <c r="A2726" s="5">
        <v>2665</v>
      </c>
      <c r="B2726" s="138">
        <f>'Expenditures 15-22'!K247</f>
        <v>72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8840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496149</v>
      </c>
      <c r="C2789" s="2" t="s">
        <v>573</v>
      </c>
      <c r="D2789" s="2" t="str">
        <f t="shared" si="42"/>
        <v>Error?</v>
      </c>
    </row>
    <row r="2790" spans="1:4" x14ac:dyDescent="0.2">
      <c r="A2790" s="5">
        <v>2729</v>
      </c>
      <c r="B2790" s="138">
        <f>'Expenditures 15-22'!E102</f>
        <v>496149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8840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374055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91263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91263</v>
      </c>
      <c r="D2914" s="2" t="str">
        <f t="shared" si="44"/>
        <v>Error?</v>
      </c>
    </row>
    <row r="2915" spans="1:4" x14ac:dyDescent="0.2">
      <c r="A2915" s="10">
        <v>2854</v>
      </c>
      <c r="D2915" s="2" t="str">
        <f t="shared" si="44"/>
        <v>OK</v>
      </c>
    </row>
    <row r="2916" spans="1:4" x14ac:dyDescent="0.2">
      <c r="A2916" s="5">
        <v>2855</v>
      </c>
      <c r="B2916" s="138">
        <f>'Assets-Liab 5-6'!L34</f>
        <v>91263</v>
      </c>
      <c r="C2916" s="2" t="s">
        <v>573</v>
      </c>
      <c r="D2916" s="2" t="str">
        <f t="shared" si="44"/>
        <v>Error?</v>
      </c>
    </row>
    <row r="2917" spans="1:4" x14ac:dyDescent="0.2">
      <c r="A2917" s="5">
        <v>2856</v>
      </c>
      <c r="B2917" s="138">
        <f>'Assets-Liab 5-6'!L41</f>
        <v>91263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492524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3625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4745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492524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8370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284642</v>
      </c>
      <c r="D3055" s="2" t="str">
        <f t="shared" si="46"/>
        <v>Error?</v>
      </c>
    </row>
    <row r="3056" spans="1:4" x14ac:dyDescent="0.2">
      <c r="A3056" s="5">
        <v>2995</v>
      </c>
      <c r="B3056" s="138">
        <f>'Expenditures 15-22'!D10</f>
        <v>116806</v>
      </c>
      <c r="D3056" s="2" t="str">
        <f t="shared" si="46"/>
        <v>Error?</v>
      </c>
    </row>
    <row r="3057" spans="1:4" x14ac:dyDescent="0.2">
      <c r="A3057" s="5">
        <v>2996</v>
      </c>
      <c r="B3057" s="138">
        <f>'Expenditures 15-22'!E10</f>
        <v>65005</v>
      </c>
      <c r="D3057" s="2" t="str">
        <f t="shared" si="46"/>
        <v>Error?</v>
      </c>
    </row>
    <row r="3058" spans="1:4" x14ac:dyDescent="0.2">
      <c r="A3058" s="5">
        <v>2997</v>
      </c>
      <c r="B3058" s="138">
        <f>'Expenditures 15-22'!F10</f>
        <v>52374</v>
      </c>
      <c r="D3058" s="2" t="str">
        <f t="shared" si="46"/>
        <v>Error?</v>
      </c>
    </row>
    <row r="3059" spans="1:4" x14ac:dyDescent="0.2">
      <c r="A3059" s="5">
        <v>2998</v>
      </c>
      <c r="B3059" s="138">
        <f>'Expenditures 15-22'!G10</f>
        <v>52481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571308</v>
      </c>
      <c r="C3062" s="2" t="s">
        <v>573</v>
      </c>
      <c r="D3062" s="2" t="str">
        <f t="shared" si="46"/>
        <v>Error?</v>
      </c>
    </row>
    <row r="3063" spans="1:4" x14ac:dyDescent="0.2">
      <c r="A3063" s="10">
        <v>3002</v>
      </c>
      <c r="D3063" s="2" t="str">
        <f t="shared" si="46"/>
        <v>OK</v>
      </c>
    </row>
    <row r="3064" spans="1:4" x14ac:dyDescent="0.2">
      <c r="A3064" s="5">
        <v>3003</v>
      </c>
      <c r="B3064" s="138">
        <f>'Expenditures 15-22'!D219</f>
        <v>5441</v>
      </c>
      <c r="D3064" s="2" t="str">
        <f t="shared" si="46"/>
        <v>Error?</v>
      </c>
    </row>
    <row r="3065" spans="1:4" x14ac:dyDescent="0.2">
      <c r="A3065" s="5">
        <v>3004</v>
      </c>
      <c r="B3065" s="138">
        <f>'Expenditures 15-22'!K219</f>
        <v>5441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1848100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61842</v>
      </c>
      <c r="C3225" s="2" t="s">
        <v>573</v>
      </c>
      <c r="D3225" s="2" t="str">
        <f t="shared" si="49"/>
        <v>Error?</v>
      </c>
    </row>
    <row r="3226" spans="1:4" x14ac:dyDescent="0.2">
      <c r="A3226" s="5">
        <v>3165</v>
      </c>
      <c r="B3226" s="138">
        <f>'Acct Summary 7-8'!I8</f>
        <v>61842</v>
      </c>
      <c r="C3226" s="2" t="s">
        <v>573</v>
      </c>
      <c r="D3226" s="2" t="str">
        <f t="shared" si="49"/>
        <v>Error?</v>
      </c>
    </row>
    <row r="3227" spans="1:4" x14ac:dyDescent="0.2">
      <c r="A3227" s="5">
        <v>3166</v>
      </c>
      <c r="B3227" s="138">
        <f>'Acct Summary 7-8'!I20</f>
        <v>61842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70682</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70682</v>
      </c>
      <c r="C3232" s="2" t="s">
        <v>573</v>
      </c>
      <c r="D3232" s="2" t="str">
        <f t="shared" si="49"/>
        <v>Error?</v>
      </c>
    </row>
    <row r="3233" spans="1:4" x14ac:dyDescent="0.2">
      <c r="A3233" s="5">
        <v>3172</v>
      </c>
      <c r="B3233" s="138">
        <f>'Acct Summary 7-8'!C78</f>
        <v>643173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39355</v>
      </c>
      <c r="C3237" s="2" t="s">
        <v>573</v>
      </c>
      <c r="D3237" s="2" t="str">
        <f t="shared" si="49"/>
        <v>Error?</v>
      </c>
    </row>
    <row r="3238" spans="1:4" x14ac:dyDescent="0.2">
      <c r="A3238" s="5">
        <v>3177</v>
      </c>
      <c r="B3238" s="138">
        <f>'Acct Summary 7-8'!D77</f>
        <v>-39355</v>
      </c>
      <c r="C3238" s="2" t="s">
        <v>573</v>
      </c>
      <c r="D3238" s="2" t="str">
        <f t="shared" si="49"/>
        <v>Error?</v>
      </c>
    </row>
    <row r="3239" spans="1:4" x14ac:dyDescent="0.2">
      <c r="A3239" s="5">
        <v>3178</v>
      </c>
      <c r="B3239" s="138">
        <f>'Acct Summary 7-8'!D78</f>
        <v>5879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-145545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8189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1887455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8840</v>
      </c>
      <c r="C3276" s="2" t="s">
        <v>573</v>
      </c>
      <c r="D3276" s="2" t="str">
        <f t="shared" si="50"/>
        <v>Error?</v>
      </c>
    </row>
    <row r="3277" spans="1:4" x14ac:dyDescent="0.2">
      <c r="A3277" s="5">
        <v>3216</v>
      </c>
      <c r="B3277" s="138">
        <f>'Acct Summary 7-8'!E77</f>
        <v>1878615</v>
      </c>
      <c r="C3277" s="2" t="s">
        <v>573</v>
      </c>
      <c r="D3277" s="2" t="str">
        <f t="shared" si="50"/>
        <v>Error?</v>
      </c>
    </row>
    <row r="3278" spans="1:4" x14ac:dyDescent="0.2">
      <c r="A3278" s="5">
        <v>3217</v>
      </c>
      <c r="B3278" s="138">
        <f>'Acct Summary 7-8'!E78</f>
        <v>272977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845000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845000</v>
      </c>
      <c r="C3299" s="2" t="s">
        <v>573</v>
      </c>
      <c r="D3299" s="2" t="str">
        <f t="shared" si="50"/>
        <v>Error?</v>
      </c>
    </row>
    <row r="3300" spans="1:4" x14ac:dyDescent="0.2">
      <c r="A3300" s="5">
        <v>3239</v>
      </c>
      <c r="B3300" s="138">
        <f>'Acct Summary 7-8'!H78</f>
        <v>-287591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845000</v>
      </c>
      <c r="C3317" s="2" t="s">
        <v>573</v>
      </c>
      <c r="D3317" s="2" t="str">
        <f t="shared" si="50"/>
        <v>Error?</v>
      </c>
    </row>
    <row r="3318" spans="1:4" x14ac:dyDescent="0.2">
      <c r="A3318" s="5">
        <v>3257</v>
      </c>
      <c r="B3318" s="138">
        <f>'Acct Summary 7-8'!I76</f>
        <v>906842</v>
      </c>
      <c r="C3318" s="2" t="s">
        <v>573</v>
      </c>
      <c r="D3318" s="2" t="str">
        <f t="shared" si="50"/>
        <v>Error?</v>
      </c>
    </row>
    <row r="3319" spans="1:4" x14ac:dyDescent="0.2">
      <c r="A3319" s="5">
        <v>3258</v>
      </c>
      <c r="B3319" s="138">
        <f>'Acct Summary 7-8'!I77</f>
        <v>-61842</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1770513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517625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7728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25516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6032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2327414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54522</v>
      </c>
      <c r="D3387" s="2" t="str">
        <f t="shared" si="51"/>
        <v>Error?</v>
      </c>
    </row>
    <row r="3388" spans="1:4" x14ac:dyDescent="0.2">
      <c r="A3388" s="5">
        <v>3327</v>
      </c>
      <c r="B3388" s="138">
        <f>'Expenditures 15-22'!D217</f>
        <v>109414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54522</v>
      </c>
      <c r="C3390" s="2" t="s">
        <v>573</v>
      </c>
      <c r="D3390" s="2" t="str">
        <f t="shared" si="51"/>
        <v>Error?</v>
      </c>
    </row>
    <row r="3391" spans="1:4" x14ac:dyDescent="0.2">
      <c r="A3391" s="5">
        <v>3330</v>
      </c>
      <c r="B3391" s="138">
        <f>'Expenditures 15-22'!K217</f>
        <v>109414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2980868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137516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311154</v>
      </c>
      <c r="D3417" s="2" t="str">
        <f t="shared" si="52"/>
        <v>Error?</v>
      </c>
    </row>
    <row r="3418" spans="1:4" x14ac:dyDescent="0.2">
      <c r="A3418" s="10">
        <v>3357</v>
      </c>
      <c r="D3418" s="2" t="str">
        <f t="shared" si="52"/>
        <v>OK</v>
      </c>
    </row>
    <row r="3419" spans="1:4" x14ac:dyDescent="0.2">
      <c r="A3419" s="5">
        <v>3358</v>
      </c>
      <c r="B3419" s="138">
        <f>'Assets-Liab 5-6'!F4</f>
        <v>642506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263064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212409</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91263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152128</v>
      </c>
      <c r="C3446" s="2" t="s">
        <v>573</v>
      </c>
      <c r="D3446" s="2" t="str">
        <f t="shared" si="52"/>
        <v>Error?</v>
      </c>
    </row>
    <row r="3447" spans="1:4" x14ac:dyDescent="0.2">
      <c r="A3447" s="5">
        <v>3386</v>
      </c>
      <c r="B3447" s="138">
        <f>'Tax Sched 23'!D16</f>
        <v>152128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132921</v>
      </c>
      <c r="C3449" s="2" t="s">
        <v>573</v>
      </c>
      <c r="D3449" s="2" t="str">
        <f t="shared" si="52"/>
        <v>Error?</v>
      </c>
    </row>
    <row r="3450" spans="1:4" x14ac:dyDescent="0.2">
      <c r="A3450" s="5">
        <v>3389</v>
      </c>
      <c r="B3450" s="138">
        <f>'Tax Sched 23'!E16</f>
        <v>132921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374055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374055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374055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1155000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1155000</v>
      </c>
      <c r="C3575" s="2" t="s">
        <v>573</v>
      </c>
      <c r="D3575" s="2" t="str">
        <f t="shared" si="54"/>
        <v>Error?</v>
      </c>
    </row>
    <row r="3576" spans="1:4" x14ac:dyDescent="0.2">
      <c r="A3576" s="5">
        <v>3515</v>
      </c>
      <c r="B3576" s="138">
        <f>'Acct Summary 7-8'!K20</f>
        <v>-1155000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1155000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1155000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1155000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1155000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1155000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1155000</v>
      </c>
      <c r="C3649" s="2" t="s">
        <v>573</v>
      </c>
      <c r="D3649" s="2" t="str">
        <f t="shared" si="56"/>
        <v>Error?</v>
      </c>
    </row>
    <row r="3650" spans="1:4" x14ac:dyDescent="0.2">
      <c r="A3650" s="5">
        <v>3589</v>
      </c>
      <c r="B3650" s="138">
        <f>'Expenditures 15-22'!G367</f>
        <v>1155000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1155000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1155000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1155000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1155000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-1155000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59339</v>
      </c>
      <c r="C3725" s="2" t="s">
        <v>573</v>
      </c>
      <c r="D3725" s="2" t="str">
        <f t="shared" si="57"/>
        <v>Error?</v>
      </c>
    </row>
    <row r="3726" spans="1:4" x14ac:dyDescent="0.2">
      <c r="A3726" s="5">
        <v>3665</v>
      </c>
      <c r="B3726" s="138">
        <f>'Tax Sched 23'!D13</f>
        <v>59339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55383</v>
      </c>
      <c r="C3728" s="2" t="s">
        <v>573</v>
      </c>
      <c r="D3728" s="2" t="str">
        <f t="shared" si="57"/>
        <v>Error?</v>
      </c>
    </row>
    <row r="3729" spans="1:4" x14ac:dyDescent="0.2">
      <c r="A3729" s="5">
        <v>3668</v>
      </c>
      <c r="B3729" s="138">
        <f>'Tax Sched 23'!E13</f>
        <v>55383</v>
      </c>
      <c r="D3729" s="2" t="str">
        <f t="shared" si="57"/>
        <v>Error?</v>
      </c>
    </row>
    <row r="3730" spans="1:4" x14ac:dyDescent="0.2">
      <c r="A3730" s="5">
        <v>3669</v>
      </c>
      <c r="B3730" s="138">
        <f>'ICR Computation 30'!E10</f>
        <v>261947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2447221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14713979</v>
      </c>
      <c r="C4122" s="2" t="s">
        <v>573</v>
      </c>
      <c r="D4122" s="2" t="str">
        <f t="shared" si="63"/>
        <v>Error?</v>
      </c>
    </row>
    <row r="4123" spans="1:4" x14ac:dyDescent="0.2">
      <c r="A4123" s="5">
        <v>4062</v>
      </c>
      <c r="B4123" s="138">
        <f>'Acct Summary 7-8'!D10</f>
        <v>475414</v>
      </c>
      <c r="C4123" s="2" t="s">
        <v>573</v>
      </c>
      <c r="D4123" s="2" t="str">
        <f t="shared" si="63"/>
        <v>Error?</v>
      </c>
    </row>
    <row r="4124" spans="1:4" x14ac:dyDescent="0.2">
      <c r="A4124" s="5">
        <v>4063</v>
      </c>
      <c r="B4124" s="138">
        <f>'Acct Summary 7-8'!E10</f>
        <v>517612</v>
      </c>
      <c r="C4124" s="2" t="s">
        <v>573</v>
      </c>
      <c r="D4124" s="2" t="str">
        <f t="shared" si="63"/>
        <v>Error?</v>
      </c>
    </row>
    <row r="4125" spans="1:4" x14ac:dyDescent="0.2">
      <c r="A4125" s="5">
        <v>4064</v>
      </c>
      <c r="B4125" s="138">
        <f>'Acct Summary 7-8'!F10</f>
        <v>570841</v>
      </c>
      <c r="C4125" s="2" t="s">
        <v>573</v>
      </c>
      <c r="D4125" s="2" t="str">
        <f t="shared" si="63"/>
        <v>Error?</v>
      </c>
    </row>
    <row r="4126" spans="1:4" x14ac:dyDescent="0.2">
      <c r="A4126" s="5">
        <v>4065</v>
      </c>
      <c r="B4126" s="138">
        <f>'Acct Summary 7-8'!G10</f>
        <v>522133</v>
      </c>
      <c r="C4126" s="2" t="s">
        <v>573</v>
      </c>
      <c r="D4126" s="2" t="str">
        <f t="shared" si="63"/>
        <v>Error?</v>
      </c>
    </row>
    <row r="4127" spans="1:4" x14ac:dyDescent="0.2">
      <c r="A4127" s="5">
        <v>4066</v>
      </c>
      <c r="B4127" s="138">
        <f>'Acct Summary 7-8'!H10</f>
        <v>1275272</v>
      </c>
      <c r="C4127" s="2" t="s">
        <v>573</v>
      </c>
      <c r="D4127" s="2" t="str">
        <f t="shared" si="63"/>
        <v>Error?</v>
      </c>
    </row>
    <row r="4128" spans="1:4" x14ac:dyDescent="0.2">
      <c r="A4128" s="5">
        <v>4067</v>
      </c>
      <c r="B4128" s="138">
        <f>'Acct Summary 7-8'!I10</f>
        <v>61842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2447221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14141488</v>
      </c>
      <c r="C4136" s="2" t="s">
        <v>573</v>
      </c>
      <c r="D4136" s="2" t="str">
        <f t="shared" si="63"/>
        <v>Error?</v>
      </c>
    </row>
    <row r="4137" spans="1:4" x14ac:dyDescent="0.2">
      <c r="A4137" s="5">
        <v>4076</v>
      </c>
      <c r="B4137" s="138">
        <f>'Acct Summary 7-8'!D19</f>
        <v>430180</v>
      </c>
      <c r="C4137" s="2" t="s">
        <v>573</v>
      </c>
      <c r="D4137" s="2" t="str">
        <f t="shared" si="63"/>
        <v>Error?</v>
      </c>
    </row>
    <row r="4138" spans="1:4" x14ac:dyDescent="0.2">
      <c r="A4138" s="5">
        <v>4077</v>
      </c>
      <c r="B4138" s="138">
        <f>'Acct Summary 7-8'!E19</f>
        <v>2123250</v>
      </c>
      <c r="C4138" s="2" t="s">
        <v>573</v>
      </c>
      <c r="D4138" s="2" t="str">
        <f t="shared" si="63"/>
        <v>Error?</v>
      </c>
    </row>
    <row r="4139" spans="1:4" x14ac:dyDescent="0.2">
      <c r="A4139" s="5">
        <v>4078</v>
      </c>
      <c r="B4139" s="138">
        <f>'Acct Summary 7-8'!F19</f>
        <v>716386</v>
      </c>
      <c r="C4139" s="2" t="s">
        <v>573</v>
      </c>
      <c r="D4139" s="2" t="str">
        <f t="shared" si="63"/>
        <v>Error?</v>
      </c>
    </row>
    <row r="4140" spans="1:4" x14ac:dyDescent="0.2">
      <c r="A4140" s="5">
        <v>4079</v>
      </c>
      <c r="B4140" s="138">
        <f>'Acct Summary 7-8'!G19</f>
        <v>513944</v>
      </c>
      <c r="C4140" s="2" t="s">
        <v>573</v>
      </c>
      <c r="D4140" s="2" t="str">
        <f t="shared" si="63"/>
        <v>Error?</v>
      </c>
    </row>
    <row r="4141" spans="1:4" x14ac:dyDescent="0.2">
      <c r="A4141" s="5">
        <v>4080</v>
      </c>
      <c r="B4141" s="138">
        <f>'Acct Summary 7-8'!H19</f>
        <v>2407863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1155000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3980723</v>
      </c>
      <c r="C4171" s="2" t="s">
        <v>573</v>
      </c>
      <c r="D4171" s="2" t="str">
        <f t="shared" si="64"/>
        <v>Error?</v>
      </c>
    </row>
    <row r="4172" spans="1:4" x14ac:dyDescent="0.2">
      <c r="A4172" s="5">
        <v>4111</v>
      </c>
      <c r="B4172" s="138">
        <f>'Short-Term Long-Term Debt 24'!J49</f>
        <v>3669569</v>
      </c>
      <c r="C4172" s="2" t="s">
        <v>573</v>
      </c>
      <c r="D4172" s="2" t="str">
        <f t="shared" si="64"/>
        <v>Error?</v>
      </c>
    </row>
    <row r="4173" spans="1:4" x14ac:dyDescent="0.2">
      <c r="A4173" s="5">
        <v>4112</v>
      </c>
      <c r="B4173" s="138">
        <f>'Short-Term Long-Term Debt 24'!H49</f>
        <v>1987494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1615.7600000000002</v>
      </c>
      <c r="C4265" s="2" t="s">
        <v>573</v>
      </c>
      <c r="D4265" s="2" t="str">
        <f t="shared" si="65"/>
        <v>Error?</v>
      </c>
      <c r="E4265" s="128"/>
    </row>
    <row r="4266" spans="1:5" x14ac:dyDescent="0.2">
      <c r="A4266" s="12">
        <v>4205</v>
      </c>
      <c r="B4266" s="138">
        <f>('FP Info 3'!F10)*100000</f>
        <v>249.35</v>
      </c>
      <c r="C4266" s="2" t="s">
        <v>573</v>
      </c>
      <c r="D4266" s="2" t="str">
        <f t="shared" si="65"/>
        <v>Error?</v>
      </c>
      <c r="E4266" s="128"/>
    </row>
    <row r="4267" spans="1:5" x14ac:dyDescent="0.2">
      <c r="A4267" s="12">
        <v>4206</v>
      </c>
      <c r="B4267" s="138">
        <f>('FP Info 3'!H10)*100000</f>
        <v>119.69000000000001</v>
      </c>
      <c r="C4267" s="2" t="s">
        <v>573</v>
      </c>
      <c r="D4267" s="2" t="str">
        <f t="shared" si="65"/>
        <v>Error?</v>
      </c>
      <c r="E4267" s="128"/>
    </row>
    <row r="4268" spans="1:5" x14ac:dyDescent="0.2">
      <c r="A4268" s="12">
        <v>4207</v>
      </c>
      <c r="B4268" s="138">
        <f>('FP Info 3'!J10)*100000</f>
        <v>1985</v>
      </c>
      <c r="C4268" s="2" t="s">
        <v>573</v>
      </c>
      <c r="D4268" s="2" t="str">
        <f t="shared" si="65"/>
        <v>Error?</v>
      </c>
    </row>
    <row r="4269" spans="1:5" x14ac:dyDescent="0.2">
      <c r="A4269" s="12">
        <v>4208</v>
      </c>
      <c r="B4269" s="138">
        <f>'FP Info 3'!J16</f>
        <v>5731218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501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6</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37558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211326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19260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19260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48482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3168</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83522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869</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49.870000000000005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53038</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174035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124162421</v>
      </c>
      <c r="D4995" s="2" t="str">
        <f t="shared" si="77"/>
        <v>Error?</v>
      </c>
    </row>
    <row r="4996" spans="1:4" x14ac:dyDescent="0.2">
      <c r="A4996" s="12">
        <v>4935</v>
      </c>
      <c r="B4996" s="138">
        <f>'FP Info 3'!H31</f>
        <v>8567207.0490000006</v>
      </c>
      <c r="D4996" s="2" t="str">
        <f t="shared" si="77"/>
        <v>Error?</v>
      </c>
    </row>
    <row r="4997" spans="1:4" x14ac:dyDescent="0.2">
      <c r="A4997" s="12">
        <v>4936</v>
      </c>
      <c r="B4997" s="138">
        <f>'FP Info 3'!H37</f>
        <v>3980723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1914413</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1914413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80823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80823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4728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1228</v>
      </c>
      <c r="D5095" s="2" t="str">
        <f t="shared" si="78"/>
        <v>Error?</v>
      </c>
    </row>
    <row r="5096" spans="1:4" x14ac:dyDescent="0.2">
      <c r="A5096" s="5">
        <v>5035</v>
      </c>
      <c r="B5096" s="138">
        <f>'Revenues 9-14'!C75</f>
        <v>7861</v>
      </c>
      <c r="C5096" s="2" t="s">
        <v>573</v>
      </c>
      <c r="D5096" s="2" t="str">
        <f t="shared" si="78"/>
        <v>Error?</v>
      </c>
    </row>
    <row r="5097" spans="1:4" x14ac:dyDescent="0.2">
      <c r="A5097" s="5">
        <v>5036</v>
      </c>
      <c r="B5097" s="138">
        <f>'Revenues 9-14'!C77</f>
        <v>7349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4517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11866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123380</v>
      </c>
      <c r="D5119" s="2" t="str">
        <f t="shared" ref="D5119:D5182" si="79">IF(ISBLANK(B5119),"OK",IF(A5119-B5119=0,"OK","Error?"))</f>
        <v>Error?</v>
      </c>
    </row>
    <row r="5120" spans="1:4" x14ac:dyDescent="0.2">
      <c r="A5120" s="5">
        <v>5059</v>
      </c>
      <c r="B5120" s="138">
        <f>'Revenues 9-14'!C108</f>
        <v>123380</v>
      </c>
      <c r="C5120" s="2" t="s">
        <v>573</v>
      </c>
      <c r="D5120" s="2" t="str">
        <f t="shared" si="79"/>
        <v>Error?</v>
      </c>
    </row>
    <row r="5121" spans="1:4" x14ac:dyDescent="0.2">
      <c r="A5121" s="5">
        <v>5060</v>
      </c>
      <c r="B5121" s="138">
        <f>'Revenues 9-14'!C109</f>
        <v>2138343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7563759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7563759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111458</v>
      </c>
      <c r="D5137" s="2" t="str">
        <f t="shared" si="79"/>
        <v>Error?</v>
      </c>
    </row>
    <row r="5138" spans="1:4" x14ac:dyDescent="0.2">
      <c r="A5138" s="10">
        <v>5077</v>
      </c>
      <c r="D5138" s="2" t="str">
        <f t="shared" si="79"/>
        <v>OK</v>
      </c>
    </row>
    <row r="5139" spans="1:4" x14ac:dyDescent="0.2">
      <c r="A5139" s="5">
        <v>5078</v>
      </c>
      <c r="B5139" s="138">
        <f>'Revenues 9-14'!C129</f>
        <v>1431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112889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17610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304534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7868293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607339</v>
      </c>
      <c r="D5239" s="2" t="str">
        <f t="shared" si="80"/>
        <v>Error?</v>
      </c>
    </row>
    <row r="5240" spans="1:4" x14ac:dyDescent="0.2">
      <c r="A5240" s="5">
        <v>5179</v>
      </c>
      <c r="B5240" s="138">
        <f>'Revenues 9-14'!C192</f>
        <v>268</v>
      </c>
      <c r="D5240" s="2" t="str">
        <f t="shared" si="80"/>
        <v>Error?</v>
      </c>
    </row>
    <row r="5241" spans="1:4" x14ac:dyDescent="0.2">
      <c r="A5241" s="5">
        <v>5180</v>
      </c>
      <c r="B5241" s="138">
        <f>'Revenues 9-14'!C193</f>
        <v>228627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865098</v>
      </c>
      <c r="C5246" s="2" t="s">
        <v>573</v>
      </c>
      <c r="D5246" s="2" t="str">
        <f t="shared" si="80"/>
        <v>Error?</v>
      </c>
    </row>
    <row r="5247" spans="1:4" x14ac:dyDescent="0.2">
      <c r="A5247" s="5">
        <v>5186</v>
      </c>
      <c r="B5247" s="138">
        <f>'Revenues 9-14'!C200</f>
        <v>878994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48482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879495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17579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68381</v>
      </c>
      <c r="D5278" s="2" t="str">
        <f t="shared" si="81"/>
        <v>Error?</v>
      </c>
    </row>
    <row r="5279" spans="1:4" x14ac:dyDescent="0.2">
      <c r="A5279" s="5">
        <v>5218</v>
      </c>
      <c r="B5279" s="138">
        <f>'Revenues 9-14'!C214</f>
        <v>29421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115381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2260122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2260122</v>
      </c>
      <c r="C5326" s="2" t="s">
        <v>573</v>
      </c>
      <c r="D5326" s="2" t="str">
        <f t="shared" si="82"/>
        <v>Error?</v>
      </c>
    </row>
    <row r="5327" spans="1:5" x14ac:dyDescent="0.2">
      <c r="A5327" s="5">
        <v>5266</v>
      </c>
      <c r="B5327" s="138">
        <f>'Revenues 9-14'!C268</f>
        <v>12266758</v>
      </c>
      <c r="C5327" s="2" t="s">
        <v>573</v>
      </c>
      <c r="D5327" s="2" t="str">
        <f t="shared" si="82"/>
        <v>Error?</v>
      </c>
    </row>
    <row r="5328" spans="1:5" x14ac:dyDescent="0.2">
      <c r="A5328" s="5">
        <v>5267</v>
      </c>
      <c r="B5328" s="138">
        <f>'Revenues 9-14'!D5</f>
        <v>296660</v>
      </c>
      <c r="D5328" s="2" t="str">
        <f t="shared" si="82"/>
        <v>Error?</v>
      </c>
    </row>
    <row r="5329" spans="1:4" x14ac:dyDescent="0.2">
      <c r="A5329" s="10">
        <v>5268</v>
      </c>
      <c r="D5329" s="2" t="str">
        <f t="shared" si="82"/>
        <v>OK</v>
      </c>
    </row>
    <row r="5330" spans="1:4" x14ac:dyDescent="0.2">
      <c r="A5330" s="5">
        <v>5269</v>
      </c>
      <c r="B5330" s="138">
        <f>'Revenues 9-14'!D6</f>
        <v>59339</v>
      </c>
      <c r="D5330" s="2" t="str">
        <f t="shared" si="82"/>
        <v>Error?</v>
      </c>
    </row>
    <row r="5331" spans="1:4" x14ac:dyDescent="0.2">
      <c r="A5331" s="5">
        <v>5270</v>
      </c>
      <c r="B5331" s="138">
        <f>'Revenues 9-14'!D7</f>
        <v>23743</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379742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43929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43929</v>
      </c>
      <c r="C5339" s="2" t="s">
        <v>573</v>
      </c>
      <c r="D5339" s="2" t="str">
        <f t="shared" si="82"/>
        <v>Error?</v>
      </c>
    </row>
    <row r="5340" spans="1:4" x14ac:dyDescent="0.2">
      <c r="A5340" s="5">
        <v>5279</v>
      </c>
      <c r="B5340" s="138">
        <f>'Revenues 9-14'!D65</f>
        <v>13525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13525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32718</v>
      </c>
      <c r="D5354" s="2" t="str">
        <f t="shared" si="82"/>
        <v>Error?</v>
      </c>
    </row>
    <row r="5355" spans="1:4" x14ac:dyDescent="0.2">
      <c r="A5355" s="5">
        <v>5294</v>
      </c>
      <c r="B5355" s="138">
        <f>'Revenues 9-14'!D108</f>
        <v>38218</v>
      </c>
      <c r="C5355" s="2" t="s">
        <v>573</v>
      </c>
      <c r="D5355" s="2" t="str">
        <f t="shared" si="82"/>
        <v>Error?</v>
      </c>
    </row>
    <row r="5356" spans="1:4" x14ac:dyDescent="0.2">
      <c r="A5356" s="5">
        <v>5295</v>
      </c>
      <c r="B5356" s="138">
        <f>'Revenues 9-14'!D109</f>
        <v>475414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475414</v>
      </c>
      <c r="C5508" s="2" t="s">
        <v>573</v>
      </c>
      <c r="D5508" s="2" t="str">
        <f t="shared" si="85"/>
        <v>Error?</v>
      </c>
    </row>
    <row r="5509" spans="1:4" x14ac:dyDescent="0.2">
      <c r="A5509" s="5">
        <v>5448</v>
      </c>
      <c r="B5509" s="138">
        <f>'Revenues 9-14'!E5</f>
        <v>208772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208772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8840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8840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217612</v>
      </c>
      <c r="C5527" s="2" t="s">
        <v>573</v>
      </c>
      <c r="D5527" s="2" t="str">
        <f t="shared" si="85"/>
        <v>Error?</v>
      </c>
    </row>
    <row r="5528" spans="1:4" x14ac:dyDescent="0.2">
      <c r="A5528" s="5">
        <v>5467</v>
      </c>
      <c r="B5528" s="138">
        <f>'Revenues 9-14'!E117</f>
        <v>300000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300000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300000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517612</v>
      </c>
      <c r="C5552" s="2" t="s">
        <v>573</v>
      </c>
      <c r="D5552" s="2" t="str">
        <f t="shared" si="85"/>
        <v>Error?</v>
      </c>
    </row>
    <row r="5553" spans="1:4" x14ac:dyDescent="0.2">
      <c r="A5553" s="5">
        <v>5492</v>
      </c>
      <c r="B5553" s="138">
        <f>'Revenues 9-14'!F5</f>
        <v>142397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142397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6011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6011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9410</v>
      </c>
      <c r="D5586" s="2" t="str">
        <f t="shared" si="86"/>
        <v>Error?</v>
      </c>
    </row>
    <row r="5587" spans="1:4" x14ac:dyDescent="0.2">
      <c r="A5587" s="5">
        <v>5526</v>
      </c>
      <c r="B5587" s="138">
        <f>'Revenues 9-14'!F108</f>
        <v>9410</v>
      </c>
      <c r="C5587" s="2" t="s">
        <v>573</v>
      </c>
      <c r="D5587" s="2" t="str">
        <f t="shared" si="86"/>
        <v>Error?</v>
      </c>
    </row>
    <row r="5588" spans="1:4" x14ac:dyDescent="0.2">
      <c r="A5588" s="5">
        <v>5527</v>
      </c>
      <c r="B5588" s="138">
        <f>'Revenues 9-14'!F109</f>
        <v>157818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211036</v>
      </c>
      <c r="D5615" s="2" t="str">
        <f t="shared" si="86"/>
        <v>Error?</v>
      </c>
    </row>
    <row r="5616" spans="1:4" x14ac:dyDescent="0.2">
      <c r="A5616" s="10">
        <v>5555</v>
      </c>
      <c r="D5616" s="2" t="str">
        <f t="shared" si="86"/>
        <v>OK</v>
      </c>
    </row>
    <row r="5617" spans="1:5" x14ac:dyDescent="0.2">
      <c r="A5617" s="5">
        <v>5556</v>
      </c>
      <c r="B5617" s="138">
        <f>'Revenues 9-14'!F153</f>
        <v>147991</v>
      </c>
      <c r="D5617" s="2" t="str">
        <f t="shared" si="86"/>
        <v>Error?</v>
      </c>
    </row>
    <row r="5618" spans="1:5" x14ac:dyDescent="0.2">
      <c r="A5618" s="5">
        <v>5557</v>
      </c>
      <c r="B5618" s="138">
        <f>'Revenues 9-14'!F155</f>
        <v>359027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359027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359027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958</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958</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53996</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53996</v>
      </c>
      <c r="C5719" s="2" t="s">
        <v>573</v>
      </c>
      <c r="D5719" s="2" t="str">
        <f t="shared" si="88"/>
        <v>Error?</v>
      </c>
    </row>
    <row r="5720" spans="1:4" x14ac:dyDescent="0.2">
      <c r="A5720" s="5">
        <v>5659</v>
      </c>
      <c r="B5720" s="138">
        <f>'Revenues 9-14'!F268</f>
        <v>570841</v>
      </c>
      <c r="C5720" s="2" t="s">
        <v>573</v>
      </c>
      <c r="D5720" s="2" t="str">
        <f t="shared" si="88"/>
        <v>Error?</v>
      </c>
    </row>
    <row r="5721" spans="1:4" x14ac:dyDescent="0.2">
      <c r="A5721" s="5">
        <v>5660</v>
      </c>
      <c r="B5721" s="138">
        <f>'Revenues 9-14'!G5</f>
        <v>209702</v>
      </c>
      <c r="D5721" s="2" t="str">
        <f t="shared" si="88"/>
        <v>Error?</v>
      </c>
    </row>
    <row r="5722" spans="1:4" x14ac:dyDescent="0.2">
      <c r="A5722" s="5">
        <v>5661</v>
      </c>
      <c r="B5722" s="138">
        <f>'Revenues 9-14'!G7</f>
        <v>0</v>
      </c>
      <c r="D5722" s="2" t="str">
        <f t="shared" si="88"/>
        <v>Error?</v>
      </c>
    </row>
    <row r="5723" spans="1:4" x14ac:dyDescent="0.2">
      <c r="A5723" s="5">
        <v>5662</v>
      </c>
      <c r="B5723" s="138">
        <f>'Revenues 9-14'!G8</f>
        <v>152128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361830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85000</v>
      </c>
      <c r="C5730" s="2" t="s">
        <v>573</v>
      </c>
      <c r="D5730" s="2" t="str">
        <f t="shared" si="88"/>
        <v>Error?</v>
      </c>
    </row>
    <row r="5731" spans="1:4" x14ac:dyDescent="0.2">
      <c r="A5731" s="5">
        <v>5670</v>
      </c>
      <c r="B5731" s="138">
        <f>'Revenues 9-14'!G65</f>
        <v>15356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15356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40782</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3168</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40788</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3120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12002</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15122</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59947</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59947</v>
      </c>
      <c r="C5869" s="2" t="s">
        <v>573</v>
      </c>
      <c r="D5869" s="2" t="str">
        <f t="shared" si="90"/>
        <v>Error?</v>
      </c>
    </row>
    <row r="5870" spans="1:4" x14ac:dyDescent="0.2">
      <c r="A5870" s="5">
        <v>5809</v>
      </c>
      <c r="B5870" s="138">
        <f>'Revenues 9-14'!G268</f>
        <v>522133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602602</v>
      </c>
      <c r="D5876" s="2" t="str">
        <f t="shared" si="90"/>
        <v>Error?</v>
      </c>
    </row>
    <row r="5877" spans="1:4" x14ac:dyDescent="0.2">
      <c r="A5877" s="5">
        <v>5816</v>
      </c>
      <c r="B5877" s="138">
        <f>'Revenues 9-14'!H17</f>
        <v>0</v>
      </c>
      <c r="D5877" s="2" t="str">
        <f t="shared" si="90"/>
        <v>Error?</v>
      </c>
    </row>
    <row r="5878" spans="1:4" x14ac:dyDescent="0.2">
      <c r="A5878" s="5">
        <v>5817</v>
      </c>
      <c r="B5878" s="138">
        <f>'Revenues 9-14'!H18</f>
        <v>602602</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670</v>
      </c>
      <c r="D5885" s="2" t="str">
        <f t="shared" si="90"/>
        <v>Error?</v>
      </c>
    </row>
    <row r="5886" spans="1:4" x14ac:dyDescent="0.2">
      <c r="A5886" s="5">
        <v>5825</v>
      </c>
      <c r="B5886" s="138">
        <f>'Revenues 9-14'!H108</f>
        <v>670</v>
      </c>
      <c r="C5886" s="2" t="s">
        <v>573</v>
      </c>
      <c r="D5886" s="2" t="str">
        <f t="shared" si="90"/>
        <v>Error?</v>
      </c>
    </row>
    <row r="5887" spans="1:4" x14ac:dyDescent="0.2">
      <c r="A5887" s="5">
        <v>5826</v>
      </c>
      <c r="B5887" s="138">
        <f>'Revenues 9-14'!H117</f>
        <v>672000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672000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672000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1275272</v>
      </c>
      <c r="C5915" s="2" t="s">
        <v>573</v>
      </c>
      <c r="D5915" s="2" t="str">
        <f t="shared" si="91"/>
        <v>Error?</v>
      </c>
    </row>
    <row r="5916" spans="1:4" x14ac:dyDescent="0.2">
      <c r="A5916" s="5">
        <v>5855</v>
      </c>
      <c r="B5916" s="138">
        <f>'Revenues 9-14'!I5</f>
        <v>59339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59339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2503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2503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61842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462186</v>
      </c>
      <c r="C6024" s="2" t="s">
        <v>573</v>
      </c>
      <c r="D6024" s="2" t="str">
        <f t="shared" si="93"/>
        <v>Error?</v>
      </c>
    </row>
    <row r="6025" spans="1:5" x14ac:dyDescent="0.2">
      <c r="A6025" s="5">
        <v>5964</v>
      </c>
      <c r="B6025" s="138">
        <f>'Revenues 9-14'!H109</f>
        <v>603272</v>
      </c>
      <c r="C6025" s="2" t="s">
        <v>573</v>
      </c>
      <c r="D6025" s="2" t="str">
        <f t="shared" si="93"/>
        <v>Error?</v>
      </c>
    </row>
    <row r="6026" spans="1:5" x14ac:dyDescent="0.2">
      <c r="A6026" s="5">
        <v>5965</v>
      </c>
      <c r="B6026" s="138">
        <f>'Revenues 9-14'!I109</f>
        <v>61842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1905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66418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1147.7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303003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303003</v>
      </c>
      <c r="D6215" s="2" t="str">
        <f t="shared" si="96"/>
        <v>Error?</v>
      </c>
      <c r="E6215" s="2" t="s">
        <v>190</v>
      </c>
    </row>
    <row r="6216" spans="1:5" x14ac:dyDescent="0.2">
      <c r="A6216">
        <v>6155</v>
      </c>
      <c r="B6216" s="138">
        <f>'Assets-Liab 5-6'!J41</f>
        <v>303003</v>
      </c>
      <c r="D6216" s="2" t="str">
        <f t="shared" si="96"/>
        <v>Error?</v>
      </c>
      <c r="E6216" s="2" t="s">
        <v>190</v>
      </c>
    </row>
    <row r="6217" spans="1:5" x14ac:dyDescent="0.2">
      <c r="A6217">
        <v>6156</v>
      </c>
      <c r="B6217" s="138">
        <f>'Assets-Liab 5-6'!J4</f>
        <v>303003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297484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297484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297484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260391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260391</v>
      </c>
      <c r="D6229" s="2" t="str">
        <f t="shared" si="96"/>
        <v>Error?</v>
      </c>
      <c r="E6229" s="2" t="s">
        <v>190</v>
      </c>
    </row>
    <row r="6230" spans="1:5" x14ac:dyDescent="0.2">
      <c r="A6230">
        <v>6169</v>
      </c>
      <c r="B6230" s="138">
        <f>'Acct Summary 7-8'!J20</f>
        <v>37093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37093</v>
      </c>
      <c r="D6263" s="2" t="str">
        <f t="shared" si="96"/>
        <v>Error?</v>
      </c>
      <c r="E6263" s="2" t="s">
        <v>190</v>
      </c>
    </row>
    <row r="6264" spans="1:5" x14ac:dyDescent="0.2">
      <c r="A6264">
        <v>6203</v>
      </c>
      <c r="B6264" s="138">
        <f>'Acct Summary 7-8'!J79</f>
        <v>265910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303003</v>
      </c>
      <c r="D6266" s="2" t="str">
        <f t="shared" si="96"/>
        <v>Error?</v>
      </c>
      <c r="E6266" s="2" t="s">
        <v>190</v>
      </c>
    </row>
    <row r="6267" spans="1:5" x14ac:dyDescent="0.2">
      <c r="A6267">
        <v>6206</v>
      </c>
      <c r="B6267" s="138">
        <f>'Acct Summary 7-8'!C82</f>
        <v>643173</v>
      </c>
      <c r="D6267" s="2" t="str">
        <f t="shared" si="96"/>
        <v>Error?</v>
      </c>
      <c r="E6267" s="2" t="s">
        <v>190</v>
      </c>
    </row>
    <row r="6268" spans="1:5" x14ac:dyDescent="0.2">
      <c r="A6268">
        <v>6207</v>
      </c>
      <c r="B6268" s="138">
        <f>'Acct Summary 7-8'!D82</f>
        <v>5879</v>
      </c>
      <c r="D6268" s="2" t="str">
        <f t="shared" si="96"/>
        <v>Error?</v>
      </c>
      <c r="E6268" s="2" t="s">
        <v>190</v>
      </c>
    </row>
    <row r="6269" spans="1:5" x14ac:dyDescent="0.2">
      <c r="A6269">
        <v>6208</v>
      </c>
      <c r="B6269" s="138">
        <f>'Acct Summary 7-8'!E82</f>
        <v>272977</v>
      </c>
      <c r="D6269" s="2" t="str">
        <f t="shared" si="96"/>
        <v>Error?</v>
      </c>
      <c r="E6269" s="2" t="s">
        <v>190</v>
      </c>
    </row>
    <row r="6270" spans="1:5" x14ac:dyDescent="0.2">
      <c r="A6270">
        <v>6209</v>
      </c>
      <c r="B6270" s="138">
        <f>'Acct Summary 7-8'!F82</f>
        <v>-145545</v>
      </c>
      <c r="D6270" s="2" t="str">
        <f t="shared" si="96"/>
        <v>Error?</v>
      </c>
      <c r="E6270" s="2" t="s">
        <v>190</v>
      </c>
    </row>
    <row r="6271" spans="1:5" x14ac:dyDescent="0.2">
      <c r="A6271">
        <v>6210</v>
      </c>
      <c r="B6271" s="138">
        <f>'Acct Summary 7-8'!G82</f>
        <v>8189</v>
      </c>
      <c r="D6271" s="2" t="str">
        <f t="shared" ref="D6271:D6334" si="97">IF(ISBLANK(B6271),"OK",IF(A6271-B6271=0,"OK","Error?"))</f>
        <v>Error?</v>
      </c>
      <c r="E6271" s="2" t="s">
        <v>190</v>
      </c>
    </row>
    <row r="6272" spans="1:5" x14ac:dyDescent="0.2">
      <c r="A6272">
        <v>6211</v>
      </c>
      <c r="B6272" s="138">
        <f>'Acct Summary 7-8'!H82</f>
        <v>-287591</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37093</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0.12990255283773861</v>
      </c>
      <c r="D6276" s="2" t="str">
        <f t="shared" si="97"/>
        <v>Error?</v>
      </c>
      <c r="E6276" s="2" t="s">
        <v>190</v>
      </c>
    </row>
    <row r="6277" spans="1:5" x14ac:dyDescent="0.2">
      <c r="A6277">
        <v>6216</v>
      </c>
      <c r="B6277" s="138">
        <f>'Acct Summary 7-8'!D83</f>
        <v>4.2751388929288231E-2</v>
      </c>
      <c r="D6277" s="2" t="str">
        <f t="shared" si="97"/>
        <v>Error?</v>
      </c>
      <c r="E6277" s="2" t="s">
        <v>190</v>
      </c>
    </row>
    <row r="6278" spans="1:5" x14ac:dyDescent="0.2">
      <c r="A6278">
        <v>6217</v>
      </c>
      <c r="B6278" s="138">
        <f>'Acct Summary 7-8'!E83</f>
        <v>0.87730512865012178</v>
      </c>
      <c r="D6278" s="2" t="str">
        <f t="shared" si="97"/>
        <v>Error?</v>
      </c>
      <c r="E6278" s="2" t="s">
        <v>190</v>
      </c>
    </row>
    <row r="6279" spans="1:5" x14ac:dyDescent="0.2">
      <c r="A6279">
        <v>6218</v>
      </c>
      <c r="B6279" s="138">
        <f>'Acct Summary 7-8'!F83</f>
        <v>-0.22652706745151019</v>
      </c>
      <c r="D6279" s="2" t="str">
        <f t="shared" si="97"/>
        <v>Error?</v>
      </c>
      <c r="E6279" s="2" t="s">
        <v>190</v>
      </c>
    </row>
    <row r="6280" spans="1:5" x14ac:dyDescent="0.2">
      <c r="A6280">
        <v>6219</v>
      </c>
      <c r="B6280" s="138">
        <f>'Acct Summary 7-8'!G83</f>
        <v>3.112930693671502E-2</v>
      </c>
      <c r="D6280" s="2" t="str">
        <f t="shared" si="97"/>
        <v>Error?</v>
      </c>
      <c r="E6280" s="2" t="s">
        <v>190</v>
      </c>
    </row>
    <row r="6281" spans="1:5" x14ac:dyDescent="0.2">
      <c r="A6281">
        <v>6220</v>
      </c>
      <c r="B6281" s="138">
        <f>'Acct Summary 7-8'!H83</f>
        <v>-1.3539492206074131</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0.12241792985547997</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32494</v>
      </c>
      <c r="D6285" s="2" t="str">
        <f t="shared" si="97"/>
        <v>Error?</v>
      </c>
      <c r="E6285" s="2" t="s">
        <v>190</v>
      </c>
    </row>
    <row r="6286" spans="1:5" x14ac:dyDescent="0.2">
      <c r="A6286">
        <v>6225</v>
      </c>
      <c r="B6286" s="138">
        <f>'Acct Summary 7-8'!E38</f>
        <v>6861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267348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267348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13791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13791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16345</v>
      </c>
      <c r="D6350" s="2" t="str">
        <f t="shared" si="98"/>
        <v>Error?</v>
      </c>
      <c r="E6350" s="2" t="s">
        <v>190</v>
      </c>
    </row>
    <row r="6351" spans="1:5" x14ac:dyDescent="0.2">
      <c r="A6351">
        <v>6290</v>
      </c>
      <c r="B6351" s="138">
        <f>'Revenues 9-14'!J108</f>
        <v>16345</v>
      </c>
      <c r="D6351" s="2" t="str">
        <f t="shared" si="98"/>
        <v>Error?</v>
      </c>
      <c r="E6351" s="2" t="s">
        <v>190</v>
      </c>
    </row>
    <row r="6352" spans="1:5" x14ac:dyDescent="0.2">
      <c r="A6352">
        <v>6291</v>
      </c>
      <c r="B6352" s="138">
        <f>'Revenues 9-14'!J109</f>
        <v>297484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2442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7292</v>
      </c>
      <c r="D6878" s="2" t="str">
        <f t="shared" si="106"/>
        <v>Error?</v>
      </c>
    </row>
    <row r="6879" spans="1:4" x14ac:dyDescent="0.2">
      <c r="A6879">
        <v>6818</v>
      </c>
      <c r="B6879" s="138">
        <f>'Expenditures 15-22'!K21</f>
        <v>7292</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6500</v>
      </c>
      <c r="D6898" s="2" t="str">
        <f t="shared" si="106"/>
        <v>Error?</v>
      </c>
    </row>
    <row r="6899" spans="1:4" x14ac:dyDescent="0.2">
      <c r="A6899">
        <v>6838</v>
      </c>
      <c r="B6899" s="138">
        <f>'Expenditures 15-22'!K31</f>
        <v>6500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2442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2442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260391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297484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7318</v>
      </c>
      <c r="D7093" s="2" t="str">
        <f t="shared" si="109"/>
        <v>Error?</v>
      </c>
    </row>
    <row r="7094" spans="1:4" x14ac:dyDescent="0.2">
      <c r="A7094">
        <v>7033</v>
      </c>
      <c r="B7094" s="138">
        <f>'Expenditures 15-22'!K254</f>
        <v>7318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93849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93849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13502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13502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65676</v>
      </c>
      <c r="D7172" s="2" t="str">
        <f t="shared" si="111"/>
        <v>Error?</v>
      </c>
    </row>
    <row r="7173" spans="1:4" x14ac:dyDescent="0.2">
      <c r="A7173">
        <v>7112</v>
      </c>
      <c r="B7173" s="138">
        <f>'Expenditures 15-22'!D325</f>
        <v>2479</v>
      </c>
      <c r="D7173" s="2" t="str">
        <f t="shared" si="111"/>
        <v>Error?</v>
      </c>
    </row>
    <row r="7174" spans="1:4" x14ac:dyDescent="0.2">
      <c r="A7174">
        <v>7113</v>
      </c>
      <c r="B7174" s="138">
        <f>'Expenditures 15-22'!E325</f>
        <v>28176</v>
      </c>
      <c r="D7174" s="2" t="str">
        <f t="shared" si="111"/>
        <v>Error?</v>
      </c>
    </row>
    <row r="7175" spans="1:4" x14ac:dyDescent="0.2">
      <c r="A7175">
        <v>7114</v>
      </c>
      <c r="B7175" s="138">
        <f>'Expenditures 15-22'!F325</f>
        <v>12636</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108967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12351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12351</v>
      </c>
      <c r="D7198" s="2" t="str">
        <f t="shared" si="111"/>
        <v>Error?</v>
      </c>
    </row>
    <row r="7199" spans="1:4" x14ac:dyDescent="0.2">
      <c r="A7199">
        <v>7138</v>
      </c>
      <c r="B7199" s="138">
        <f>'Expenditures 15-22'!C330</f>
        <v>65676</v>
      </c>
      <c r="D7199" s="2" t="str">
        <f t="shared" si="111"/>
        <v>Error?</v>
      </c>
    </row>
    <row r="7200" spans="1:4" x14ac:dyDescent="0.2">
      <c r="A7200">
        <v>7139</v>
      </c>
      <c r="B7200" s="138">
        <f>'Expenditures 15-22'!D330</f>
        <v>2479</v>
      </c>
      <c r="D7200" s="2" t="str">
        <f t="shared" si="111"/>
        <v>Error?</v>
      </c>
    </row>
    <row r="7201" spans="1:4" x14ac:dyDescent="0.2">
      <c r="A7201">
        <v>7140</v>
      </c>
      <c r="B7201" s="138">
        <f>'Expenditures 15-22'!E330</f>
        <v>179600</v>
      </c>
      <c r="D7201" s="2" t="str">
        <f t="shared" si="111"/>
        <v>Error?</v>
      </c>
    </row>
    <row r="7202" spans="1:4" x14ac:dyDescent="0.2">
      <c r="A7202">
        <v>7141</v>
      </c>
      <c r="B7202" s="138">
        <f>'Expenditures 15-22'!F330</f>
        <v>12636</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260391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65676</v>
      </c>
      <c r="D7216" s="2" t="str">
        <f t="shared" si="111"/>
        <v>Error?</v>
      </c>
    </row>
    <row r="7217" spans="1:4" x14ac:dyDescent="0.2">
      <c r="A7217">
        <v>7156</v>
      </c>
      <c r="B7217" s="138">
        <f>'Expenditures 15-22'!D342</f>
        <v>2479</v>
      </c>
      <c r="D7217" s="2" t="str">
        <f t="shared" si="111"/>
        <v>Error?</v>
      </c>
    </row>
    <row r="7218" spans="1:4" x14ac:dyDescent="0.2">
      <c r="A7218">
        <v>7157</v>
      </c>
      <c r="B7218" s="138">
        <f>'Expenditures 15-22'!E342</f>
        <v>179600</v>
      </c>
      <c r="D7218" s="2" t="str">
        <f t="shared" si="111"/>
        <v>Error?</v>
      </c>
    </row>
    <row r="7219" spans="1:4" x14ac:dyDescent="0.2">
      <c r="A7219">
        <v>7158</v>
      </c>
      <c r="B7219" s="138">
        <f>'Expenditures 15-22'!F342</f>
        <v>12636</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260391</v>
      </c>
      <c r="D7224" s="2" t="str">
        <f t="shared" si="111"/>
        <v>Error?</v>
      </c>
    </row>
    <row r="7225" spans="1:4" x14ac:dyDescent="0.2">
      <c r="A7225">
        <v>7164</v>
      </c>
      <c r="B7225" s="138">
        <f>'Expenditures 15-22'!K343</f>
        <v>37093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2442</v>
      </c>
      <c r="D7624" s="2" t="str">
        <f t="shared" si="124"/>
        <v>Error?</v>
      </c>
      <c r="E7624" s="2" t="s">
        <v>19</v>
      </c>
    </row>
    <row r="7625" spans="1:5" x14ac:dyDescent="0.2">
      <c r="A7625">
        <f t="shared" si="123"/>
        <v>7564</v>
      </c>
      <c r="B7625" s="138">
        <f>'Cap Outlay Deprec 26'!I17</f>
        <v>244.2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551125.19999999995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32494</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6861</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28864</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31722</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31722</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23743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59339</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845000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352978.39</v>
      </c>
      <c r="D7797" s="2" t="str">
        <f t="shared" si="127"/>
        <v>Error?</v>
      </c>
      <c r="E7797" s="4" t="s">
        <v>1901</v>
      </c>
    </row>
    <row r="7798" spans="1:5" x14ac:dyDescent="0.2">
      <c r="A7798">
        <v>7737</v>
      </c>
      <c r="B7798" s="138">
        <f>'Contracts Paid in CY 29'!F141</f>
        <v>75000</v>
      </c>
      <c r="D7798" s="2" t="str">
        <f t="shared" si="127"/>
        <v>Error?</v>
      </c>
      <c r="E7798" s="4" t="s">
        <v>1901</v>
      </c>
    </row>
    <row r="7799" spans="1:5" x14ac:dyDescent="0.2">
      <c r="A7799">
        <v>7738</v>
      </c>
      <c r="B7799" s="138">
        <f>'Contracts Paid in CY 29'!G141</f>
        <v>277978.39</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E20" sqref="E20"/>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8" t="s">
        <v>1190</v>
      </c>
      <c r="B3" s="2398"/>
      <c r="C3" s="2398"/>
      <c r="D3" s="2398"/>
      <c r="E3" s="2398"/>
      <c r="F3" s="2398"/>
      <c r="G3" s="2398"/>
      <c r="H3" s="2398"/>
      <c r="I3" s="2398"/>
      <c r="J3" s="2398"/>
      <c r="K3" s="2398"/>
      <c r="L3" s="2398"/>
    </row>
    <row r="4" spans="1:29" ht="13.5" customHeight="1" x14ac:dyDescent="0.2">
      <c r="A4" s="2412" t="s">
        <v>1986</v>
      </c>
      <c r="B4" s="2429"/>
      <c r="C4" s="2429"/>
      <c r="D4" s="2429"/>
      <c r="E4" s="2429"/>
      <c r="F4" s="2429"/>
      <c r="G4" s="2429"/>
      <c r="H4" s="2429"/>
      <c r="I4" s="2429"/>
      <c r="J4" s="2429"/>
      <c r="K4" s="2429"/>
      <c r="L4" s="2429"/>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92" t="str">
        <f>COVER!A17</f>
        <v>Centralia SD 135</v>
      </c>
      <c r="B7" s="2393"/>
      <c r="C7" s="2393"/>
      <c r="D7" s="2430"/>
      <c r="E7" s="2431">
        <f>COVER!A13</f>
        <v>13058135002</v>
      </c>
      <c r="F7" s="2432"/>
      <c r="G7" s="2399" t="str">
        <f>COVER!T23</f>
        <v>066-004976</v>
      </c>
      <c r="H7" s="2400"/>
      <c r="I7" s="2400"/>
      <c r="J7" s="2400"/>
      <c r="K7" s="2400"/>
      <c r="L7" s="2401"/>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02"/>
      <c r="B9" s="2403"/>
      <c r="C9" s="2403"/>
      <c r="D9" s="2403"/>
      <c r="E9" s="2403"/>
      <c r="F9" s="2404"/>
      <c r="G9" s="2405" t="str">
        <f>COVER!T13</f>
        <v>Glass &amp; Shuffett, Ltd.</v>
      </c>
      <c r="H9" s="2406"/>
      <c r="I9" s="2406"/>
      <c r="J9" s="2406"/>
      <c r="K9" s="2406"/>
      <c r="L9" s="2407"/>
    </row>
    <row r="10" spans="1:29" ht="13.5" customHeight="1" x14ac:dyDescent="0.2">
      <c r="A10" s="2389" t="str">
        <f>COVER!A38</f>
        <v>Craig E. Clark</v>
      </c>
      <c r="B10" s="2390"/>
      <c r="C10" s="2390"/>
      <c r="D10" s="2390"/>
      <c r="E10" s="2390"/>
      <c r="F10" s="2391"/>
      <c r="G10" s="2405" t="str">
        <f>COVER!T17</f>
        <v>1819 W McCord, PO Box 489</v>
      </c>
      <c r="H10" s="2418"/>
      <c r="I10" s="2418"/>
      <c r="J10" s="2418"/>
      <c r="K10" s="2418"/>
      <c r="L10" s="2419"/>
    </row>
    <row r="11" spans="1:29" ht="13.5" customHeight="1" x14ac:dyDescent="0.2">
      <c r="A11" s="1182" t="s">
        <v>1519</v>
      </c>
      <c r="B11" s="1183"/>
      <c r="C11" s="1184"/>
      <c r="D11" s="1189"/>
      <c r="E11" s="1184"/>
      <c r="F11" s="1188"/>
      <c r="G11" s="2405" t="str">
        <f>COVER!T19</f>
        <v>Centralia</v>
      </c>
      <c r="H11" s="2418"/>
      <c r="I11" s="2418"/>
      <c r="J11" s="2418"/>
      <c r="K11" s="2418"/>
      <c r="L11" s="2419"/>
    </row>
    <row r="12" spans="1:29" ht="13.5" customHeight="1" x14ac:dyDescent="0.2">
      <c r="A12" s="2423" t="s">
        <v>1518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1520</v>
      </c>
      <c r="H13" s="2414"/>
      <c r="I13" s="2426" t="str">
        <f>COVER!T25</f>
        <v>gandscpa@sbcglobal.net</v>
      </c>
      <c r="J13" s="2427"/>
      <c r="K13" s="2427"/>
      <c r="L13" s="2428"/>
    </row>
    <row r="14" spans="1:29" ht="13.5" customHeight="1" x14ac:dyDescent="0.2">
      <c r="A14" s="2405" t="str">
        <f>COVER!A19</f>
        <v>404 South Elm</v>
      </c>
      <c r="B14" s="2418"/>
      <c r="C14" s="2418"/>
      <c r="D14" s="2418"/>
      <c r="E14" s="2418"/>
      <c r="F14" s="2419"/>
      <c r="G14" s="1193" t="s">
        <v>1185</v>
      </c>
      <c r="H14" s="1191"/>
      <c r="I14" s="1191"/>
      <c r="J14" s="1191"/>
      <c r="K14" s="1191"/>
      <c r="L14" s="1192"/>
    </row>
    <row r="15" spans="1:29" ht="13.5" customHeight="1" x14ac:dyDescent="0.2">
      <c r="A15" s="2405" t="str">
        <f>COVER!A21</f>
        <v>Centralia</v>
      </c>
      <c r="B15" s="2418"/>
      <c r="C15" s="2418"/>
      <c r="D15" s="2418"/>
      <c r="E15" s="2418"/>
      <c r="F15" s="2419"/>
      <c r="G15" s="2415" t="str">
        <f>COVER!T15</f>
        <v>Bo V. Thomas, CPA</v>
      </c>
      <c r="H15" s="2416"/>
      <c r="I15" s="2416"/>
      <c r="J15" s="2416"/>
      <c r="K15" s="2416"/>
      <c r="L15" s="2417"/>
    </row>
    <row r="16" spans="1:29" ht="12.2" customHeight="1" x14ac:dyDescent="0.2">
      <c r="A16" s="2395">
        <f>COVER!A25</f>
        <v>62801</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93" t="s">
        <v>1184</v>
      </c>
      <c r="H17" s="1191"/>
      <c r="I17" s="1191"/>
      <c r="J17" s="1191"/>
      <c r="K17" s="1195" t="s">
        <v>1183</v>
      </c>
      <c r="L17" s="1188"/>
      <c r="M17" s="1181"/>
    </row>
    <row r="18" spans="1:13" ht="12.2" customHeight="1" x14ac:dyDescent="0.2">
      <c r="A18" s="2389"/>
      <c r="B18" s="2390"/>
      <c r="C18" s="2390"/>
      <c r="D18" s="2390"/>
      <c r="E18" s="2390"/>
      <c r="F18" s="2391"/>
      <c r="G18" s="2392" t="str">
        <f>COVER!T21</f>
        <v>618-532-5683</v>
      </c>
      <c r="H18" s="2393"/>
      <c r="I18" s="2393"/>
      <c r="J18" s="2393"/>
      <c r="K18" s="2392" t="str">
        <f>COVER!X21</f>
        <v>618-532-5684</v>
      </c>
      <c r="L18" s="2394"/>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t="s">
        <v>2098</v>
      </c>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t="s">
        <v>2098</v>
      </c>
      <c r="C26" s="1200" t="s">
        <v>1699</v>
      </c>
    </row>
    <row r="27" spans="1:13" s="1196" customFormat="1" ht="9" customHeight="1" x14ac:dyDescent="0.2">
      <c r="B27" s="1201"/>
      <c r="C27" s="1200"/>
    </row>
    <row r="28" spans="1:13" s="1196" customFormat="1" ht="12.2" customHeight="1" x14ac:dyDescent="0.2">
      <c r="A28" s="1203"/>
      <c r="B28" s="1199" t="s">
        <v>2098</v>
      </c>
      <c r="C28" s="1200" t="s">
        <v>1700</v>
      </c>
    </row>
    <row r="29" spans="1:13" s="1196" customFormat="1" ht="9" customHeight="1" x14ac:dyDescent="0.2">
      <c r="A29" s="1203"/>
      <c r="B29" s="1201"/>
      <c r="C29" s="1200"/>
    </row>
    <row r="30" spans="1:13" s="1196" customFormat="1" ht="12.2" customHeight="1" x14ac:dyDescent="0.2">
      <c r="B30" s="1199" t="s">
        <v>2098</v>
      </c>
      <c r="C30" s="1200" t="s">
        <v>1562</v>
      </c>
      <c r="D30" s="1194"/>
      <c r="E30" s="1194"/>
    </row>
    <row r="31" spans="1:13" s="1196" customFormat="1" ht="9" customHeight="1" x14ac:dyDescent="0.2">
      <c r="B31" s="1201"/>
      <c r="C31" s="1200"/>
      <c r="D31" s="1194"/>
      <c r="E31" s="1194"/>
    </row>
    <row r="32" spans="1:13" s="1196" customFormat="1" ht="12.2" customHeight="1" x14ac:dyDescent="0.2">
      <c r="B32" s="1199" t="s">
        <v>2098</v>
      </c>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t="s">
        <v>2098</v>
      </c>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t="s">
        <v>2098</v>
      </c>
      <c r="C38" s="1200" t="s">
        <v>1566</v>
      </c>
    </row>
    <row r="39" spans="1:8" ht="9" customHeight="1" x14ac:dyDescent="0.2">
      <c r="B39" s="1201"/>
      <c r="C39" s="1204"/>
    </row>
    <row r="40" spans="1:8" s="1196" customFormat="1" ht="13.5" customHeight="1" x14ac:dyDescent="0.2">
      <c r="B40" s="1199" t="s">
        <v>2098</v>
      </c>
      <c r="C40" s="1200" t="s">
        <v>1567</v>
      </c>
    </row>
    <row r="41" spans="1:8" ht="9" customHeight="1" x14ac:dyDescent="0.2">
      <c r="A41" s="1205"/>
      <c r="B41" s="1201"/>
      <c r="C41" s="1204"/>
    </row>
    <row r="42" spans="1:8" s="1196" customFormat="1" ht="13.5" customHeight="1" x14ac:dyDescent="0.2">
      <c r="B42" s="1199" t="s">
        <v>2098</v>
      </c>
      <c r="C42" s="1200" t="s">
        <v>1833</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t="s">
        <v>2098</v>
      </c>
      <c r="C46" s="1207" t="s">
        <v>1568</v>
      </c>
      <c r="D46" s="1194"/>
      <c r="E46" s="1194"/>
      <c r="F46" s="1194"/>
      <c r="G46" s="1194"/>
      <c r="H46" s="1194"/>
    </row>
    <row r="47" spans="1:8" ht="9" customHeight="1" x14ac:dyDescent="0.2"/>
    <row r="48" spans="1:8" ht="12.2" customHeight="1" x14ac:dyDescent="0.2">
      <c r="B48" s="1934" t="s">
        <v>2098</v>
      </c>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3" sqref="A3:D3"/>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3" t="str">
        <f>'Single Audit Cover'!A7</f>
        <v>Centralia SD 135</v>
      </c>
      <c r="B1" s="2429"/>
      <c r="C1" s="2429"/>
      <c r="D1" s="2429"/>
    </row>
    <row r="2" spans="1:11" s="1210" customFormat="1" ht="12.75" x14ac:dyDescent="0.2">
      <c r="A2" s="2434">
        <f>'Single Audit Cover'!E7</f>
        <v>13058135002</v>
      </c>
      <c r="B2" s="2435"/>
      <c r="C2" s="2435"/>
      <c r="D2" s="2435"/>
    </row>
    <row r="3" spans="1:11" s="1210" customFormat="1" ht="12.75" x14ac:dyDescent="0.2">
      <c r="A3" s="2433" t="s">
        <v>1513</v>
      </c>
      <c r="B3" s="2429"/>
      <c r="C3" s="2429"/>
      <c r="D3" s="2429"/>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1834</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D51" sqref="D51"/>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7" t="str">
        <f>'Single Audit Cover'!A7</f>
        <v>Centralia SD 135</v>
      </c>
      <c r="B1" s="2437"/>
      <c r="C1" s="2437"/>
      <c r="D1" s="2437"/>
      <c r="E1" s="2437"/>
    </row>
    <row r="2" spans="1:5" x14ac:dyDescent="0.2">
      <c r="A2" s="2438">
        <f>'Single Audit Cover'!E7</f>
        <v>13058135002</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5" t="s">
        <v>1243</v>
      </c>
    </row>
    <row r="10" spans="1:5" x14ac:dyDescent="0.2">
      <c r="A10" s="1256" t="s">
        <v>1242</v>
      </c>
      <c r="B10" s="1257" t="s">
        <v>1241</v>
      </c>
      <c r="C10" s="1257"/>
      <c r="D10" s="1258">
        <f>SUM('Acct Summary 7-8'!C7:K7)</f>
        <v>2374065</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66418</v>
      </c>
    </row>
    <row r="15" spans="1:5" x14ac:dyDescent="0.2">
      <c r="A15" s="1256"/>
      <c r="B15" s="1257"/>
      <c r="C15" s="1257"/>
    </row>
    <row r="16" spans="1:5" x14ac:dyDescent="0.2">
      <c r="A16" s="1256" t="s">
        <v>1841</v>
      </c>
      <c r="B16" s="1257"/>
      <c r="C16" s="1257"/>
    </row>
    <row r="17" spans="1:4" x14ac:dyDescent="0.2">
      <c r="A17" s="1256" t="s">
        <v>2058</v>
      </c>
      <c r="B17" s="1257" t="s">
        <v>1236</v>
      </c>
      <c r="C17" s="1257"/>
      <c r="D17" s="1259">
        <f>-SUM('Revenues 9-14'!C264:D264,'Revenues 9-14'!F264:G264)</f>
        <v>-264364</v>
      </c>
    </row>
    <row r="19" spans="1:4" ht="13.5" thickBot="1" x14ac:dyDescent="0.25">
      <c r="A19" s="1260" t="s">
        <v>1235</v>
      </c>
      <c r="D19" s="1261">
        <f>SUM(D10:D17)</f>
        <v>2176119</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9"/>
      <c r="B24" s="2439"/>
      <c r="D24" s="1263"/>
    </row>
    <row r="25" spans="1:4" x14ac:dyDescent="0.2">
      <c r="A25" s="2436"/>
      <c r="B25" s="2436"/>
      <c r="D25" s="1263"/>
    </row>
    <row r="26" spans="1:4" x14ac:dyDescent="0.2">
      <c r="A26" s="2436"/>
      <c r="B26" s="2436"/>
      <c r="D26" s="1263"/>
    </row>
    <row r="27" spans="1:4" x14ac:dyDescent="0.2">
      <c r="A27" s="2436"/>
      <c r="B27" s="2436"/>
      <c r="D27" s="1263"/>
    </row>
    <row r="28" spans="1:4" x14ac:dyDescent="0.2">
      <c r="A28" s="2436"/>
      <c r="B28" s="2436"/>
      <c r="D28" s="1263"/>
    </row>
    <row r="29" spans="1:4" x14ac:dyDescent="0.2">
      <c r="A29" s="2436"/>
      <c r="B29" s="2436"/>
      <c r="D29" s="1263"/>
    </row>
    <row r="30" spans="1:4" x14ac:dyDescent="0.2">
      <c r="A30" s="2436"/>
      <c r="B30" s="2436"/>
      <c r="D30" s="1263"/>
    </row>
    <row r="32" spans="1:4" x14ac:dyDescent="0.2">
      <c r="A32" s="1255" t="s">
        <v>1233</v>
      </c>
      <c r="D32" s="1258">
        <f>SUM(D19:D30)</f>
        <v>2176119</v>
      </c>
    </row>
    <row r="33" spans="1:4" x14ac:dyDescent="0.2">
      <c r="D33" s="1264"/>
    </row>
    <row r="34" spans="1:4" x14ac:dyDescent="0.2">
      <c r="A34" s="317" t="s">
        <v>1232</v>
      </c>
    </row>
    <row r="35" spans="1:4" x14ac:dyDescent="0.2">
      <c r="A35" s="317" t="s">
        <v>1231</v>
      </c>
      <c r="B35" s="1253" t="s">
        <v>1230</v>
      </c>
      <c r="D35" s="1265">
        <f>' SEFA (4)'!F20</f>
        <v>2176119</v>
      </c>
    </row>
    <row r="37" spans="1:4" x14ac:dyDescent="0.2">
      <c r="A37" s="1255" t="s">
        <v>1229</v>
      </c>
    </row>
    <row r="39" spans="1:4" ht="13.35" customHeight="1" x14ac:dyDescent="0.2">
      <c r="A39" s="1262" t="s">
        <v>1228</v>
      </c>
    </row>
    <row r="40" spans="1:4" x14ac:dyDescent="0.2">
      <c r="A40" s="2436"/>
      <c r="B40" s="2436"/>
      <c r="D40" s="1263"/>
    </row>
    <row r="41" spans="1:4" x14ac:dyDescent="0.2">
      <c r="A41" s="2436"/>
      <c r="B41" s="2436"/>
      <c r="D41" s="1266"/>
    </row>
    <row r="42" spans="1:4" x14ac:dyDescent="0.2">
      <c r="A42" s="2436"/>
      <c r="B42" s="2436"/>
      <c r="D42" s="1266"/>
    </row>
    <row r="43" spans="1:4" x14ac:dyDescent="0.2">
      <c r="A43" s="2436"/>
      <c r="B43" s="2436"/>
      <c r="D43" s="1266"/>
    </row>
    <row r="44" spans="1:4" x14ac:dyDescent="0.2">
      <c r="A44" s="2436"/>
      <c r="B44" s="2436"/>
      <c r="D44" s="1266"/>
    </row>
    <row r="45" spans="1:4" x14ac:dyDescent="0.2">
      <c r="A45" s="2436"/>
      <c r="B45" s="2436"/>
      <c r="D45" s="1266"/>
    </row>
    <row r="47" spans="1:4" x14ac:dyDescent="0.2">
      <c r="B47" s="1267" t="s">
        <v>1227</v>
      </c>
      <c r="C47" s="1267"/>
      <c r="D47" s="1268">
        <f>SUM(D35:D45)</f>
        <v>2176119</v>
      </c>
    </row>
    <row r="49" spans="2:4" x14ac:dyDescent="0.2">
      <c r="B49" s="1267" t="s">
        <v>1226</v>
      </c>
      <c r="C49" s="1267"/>
      <c r="D49" s="1268">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6" zoomScaleNormal="100" workbookViewId="0">
      <selection activeCell="D26" sqref="D2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8" t="str">
        <f>'Single Audit Cover'!A7</f>
        <v>Centralia SD 135</v>
      </c>
      <c r="C1" s="2441"/>
      <c r="D1" s="2441"/>
      <c r="E1" s="2441"/>
      <c r="F1" s="2441"/>
      <c r="G1" s="2441"/>
      <c r="H1" s="2441"/>
      <c r="I1" s="2441"/>
      <c r="J1" s="2441"/>
      <c r="K1" s="2441"/>
      <c r="L1" s="2441"/>
      <c r="M1" s="2441"/>
    </row>
    <row r="2" spans="2:14" ht="15" x14ac:dyDescent="0.2">
      <c r="B2" s="2442">
        <f>'Single Audit Cover'!E7</f>
        <v>13058135002</v>
      </c>
      <c r="C2" s="2442"/>
      <c r="D2" s="2442"/>
      <c r="E2" s="2442"/>
      <c r="F2" s="2442"/>
      <c r="G2" s="2442"/>
      <c r="H2" s="2442"/>
      <c r="I2" s="2442"/>
      <c r="J2" s="2442"/>
      <c r="K2" s="2442"/>
      <c r="L2" s="2442"/>
      <c r="M2" s="2442"/>
      <c r="N2" s="1297"/>
    </row>
    <row r="3" spans="2:14" ht="15" x14ac:dyDescent="0.2">
      <c r="B3" s="2443" t="s">
        <v>1219</v>
      </c>
      <c r="C3" s="2443"/>
      <c r="D3" s="2443"/>
      <c r="E3" s="2443"/>
      <c r="F3" s="2443"/>
      <c r="G3" s="2443"/>
      <c r="H3" s="2443"/>
      <c r="I3" s="2443"/>
      <c r="J3" s="2443"/>
      <c r="K3" s="2443"/>
      <c r="L3" s="2443"/>
      <c r="M3" s="2443"/>
      <c r="N3" s="1297"/>
    </row>
    <row r="4" spans="2:14" ht="15" x14ac:dyDescent="0.2">
      <c r="B4" s="2444" t="str">
        <f>'Single Audit Cover'!A4</f>
        <v>Year Ending June 30, 2019</v>
      </c>
      <c r="C4" s="2444"/>
      <c r="D4" s="2444"/>
      <c r="E4" s="2444"/>
      <c r="F4" s="2444"/>
      <c r="G4" s="2444"/>
      <c r="H4" s="2444"/>
      <c r="I4" s="2444"/>
      <c r="J4" s="2444"/>
      <c r="K4" s="2444"/>
      <c r="L4" s="2444"/>
      <c r="M4" s="2444"/>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1836</v>
      </c>
      <c r="I8" s="1314" t="s">
        <v>1262</v>
      </c>
      <c r="J8" s="1313" t="s">
        <v>1987</v>
      </c>
      <c r="K8" s="1314" t="s">
        <v>1261</v>
      </c>
      <c r="L8" s="1315" t="s">
        <v>1257</v>
      </c>
      <c r="M8" s="1316" t="s">
        <v>30</v>
      </c>
    </row>
    <row r="9" spans="2:14" ht="14.25" x14ac:dyDescent="0.2">
      <c r="B9" s="1320" t="s">
        <v>1259</v>
      </c>
      <c r="C9" s="1308" t="s">
        <v>1732</v>
      </c>
      <c r="D9" s="1309" t="s">
        <v>1733</v>
      </c>
      <c r="E9" s="1317" t="s">
        <v>1836</v>
      </c>
      <c r="F9" s="1318" t="s">
        <v>1987</v>
      </c>
      <c r="G9" s="1319" t="s">
        <v>1836</v>
      </c>
      <c r="H9" s="1312" t="s">
        <v>1582</v>
      </c>
      <c r="I9" s="1314" t="s">
        <v>1987</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t="s">
        <v>2121</v>
      </c>
      <c r="C11" s="1333"/>
      <c r="D11" s="1334"/>
      <c r="E11" s="1335"/>
      <c r="F11" s="1335"/>
      <c r="G11" s="1335"/>
      <c r="H11" s="1335"/>
      <c r="I11" s="1335"/>
      <c r="J11" s="1335"/>
      <c r="K11" s="1335"/>
      <c r="L11" s="1335">
        <f>+G11+I11+K11</f>
        <v>0</v>
      </c>
      <c r="M11" s="1335"/>
    </row>
    <row r="12" spans="2:14" ht="20.100000000000001" customHeight="1" x14ac:dyDescent="0.2">
      <c r="B12" s="1332" t="s">
        <v>2122</v>
      </c>
      <c r="C12" s="1336"/>
      <c r="D12" s="1337"/>
      <c r="E12" s="1338"/>
      <c r="F12" s="1338"/>
      <c r="G12" s="1338"/>
      <c r="H12" s="1338"/>
      <c r="I12" s="1338"/>
      <c r="J12" s="1338"/>
      <c r="K12" s="1338"/>
      <c r="L12" s="1335">
        <f t="shared" ref="L12:L27" si="0">+G12+I12+K12</f>
        <v>0</v>
      </c>
      <c r="M12" s="1338"/>
    </row>
    <row r="13" spans="2:14" ht="20.100000000000001" customHeight="1" x14ac:dyDescent="0.2">
      <c r="B13" s="1332" t="s">
        <v>2123</v>
      </c>
      <c r="C13" s="1336">
        <v>84.01</v>
      </c>
      <c r="D13" s="1337" t="s">
        <v>2132</v>
      </c>
      <c r="E13" s="1338">
        <v>753308</v>
      </c>
      <c r="F13" s="1338">
        <v>168375</v>
      </c>
      <c r="G13" s="1338">
        <v>821651</v>
      </c>
      <c r="H13" s="1338">
        <v>0</v>
      </c>
      <c r="I13" s="1338">
        <v>100032</v>
      </c>
      <c r="J13" s="1338">
        <v>0</v>
      </c>
      <c r="K13" s="1338">
        <v>0</v>
      </c>
      <c r="L13" s="1335">
        <f t="shared" si="0"/>
        <v>921683</v>
      </c>
      <c r="M13" s="1338"/>
    </row>
    <row r="14" spans="2:14" ht="20.100000000000001" customHeight="1" x14ac:dyDescent="0.2">
      <c r="B14" s="1332" t="s">
        <v>2123</v>
      </c>
      <c r="C14" s="1336">
        <v>84.01</v>
      </c>
      <c r="D14" s="1337" t="s">
        <v>2133</v>
      </c>
      <c r="E14" s="1338">
        <v>0</v>
      </c>
      <c r="F14" s="1338">
        <v>752359</v>
      </c>
      <c r="G14" s="1338">
        <v>0</v>
      </c>
      <c r="H14" s="1338">
        <v>0</v>
      </c>
      <c r="I14" s="1338">
        <v>815803</v>
      </c>
      <c r="J14" s="1338">
        <v>0</v>
      </c>
      <c r="K14" s="1338">
        <v>0</v>
      </c>
      <c r="L14" s="1335">
        <f t="shared" si="0"/>
        <v>815803</v>
      </c>
      <c r="M14" s="1338"/>
    </row>
    <row r="15" spans="2:14" ht="20.100000000000001" customHeight="1" x14ac:dyDescent="0.2">
      <c r="B15" s="1332" t="s">
        <v>2124</v>
      </c>
      <c r="C15" s="1336"/>
      <c r="D15" s="1337"/>
      <c r="E15" s="1338">
        <f>+E13+E14</f>
        <v>753308</v>
      </c>
      <c r="F15" s="1338">
        <f>+F13+F14</f>
        <v>920734</v>
      </c>
      <c r="G15" s="1338">
        <f>+G13+G14</f>
        <v>821651</v>
      </c>
      <c r="H15" s="1338">
        <v>0</v>
      </c>
      <c r="I15" s="1338">
        <f>+I13+I14</f>
        <v>915835</v>
      </c>
      <c r="J15" s="1338">
        <v>0</v>
      </c>
      <c r="K15" s="1338">
        <v>0</v>
      </c>
      <c r="L15" s="1335">
        <f t="shared" si="0"/>
        <v>1737486</v>
      </c>
      <c r="M15" s="1338"/>
    </row>
    <row r="16" spans="2:14" ht="20.100000000000001" customHeight="1" x14ac:dyDescent="0.2">
      <c r="B16" s="1332" t="s">
        <v>2125</v>
      </c>
      <c r="C16" s="1336">
        <v>84.358000000000004</v>
      </c>
      <c r="D16" s="1337" t="s">
        <v>2134</v>
      </c>
      <c r="E16" s="1338">
        <v>13262</v>
      </c>
      <c r="F16" s="1338">
        <v>9946</v>
      </c>
      <c r="G16" s="1338">
        <v>23208</v>
      </c>
      <c r="H16" s="1338">
        <v>0</v>
      </c>
      <c r="I16" s="1338">
        <v>0</v>
      </c>
      <c r="J16" s="1338">
        <v>0</v>
      </c>
      <c r="K16" s="1338">
        <v>0</v>
      </c>
      <c r="L16" s="1335">
        <f t="shared" si="0"/>
        <v>23208</v>
      </c>
      <c r="M16" s="1338"/>
    </row>
    <row r="17" spans="2:14" ht="20.100000000000001" customHeight="1" x14ac:dyDescent="0.2">
      <c r="B17" s="1332" t="s">
        <v>2125</v>
      </c>
      <c r="C17" s="1336">
        <v>84.358000000000004</v>
      </c>
      <c r="D17" s="1337" t="s">
        <v>2135</v>
      </c>
      <c r="E17" s="1338">
        <v>0</v>
      </c>
      <c r="F17" s="1338">
        <v>9314</v>
      </c>
      <c r="G17" s="1338">
        <v>0</v>
      </c>
      <c r="H17" s="1338">
        <v>0</v>
      </c>
      <c r="I17" s="1338">
        <v>23284</v>
      </c>
      <c r="J17" s="1338">
        <v>0</v>
      </c>
      <c r="K17" s="1338">
        <v>0</v>
      </c>
      <c r="L17" s="1335">
        <f t="shared" si="0"/>
        <v>23284</v>
      </c>
      <c r="M17" s="1338"/>
    </row>
    <row r="18" spans="2:14" ht="20.100000000000001" customHeight="1" x14ac:dyDescent="0.2">
      <c r="B18" s="1332" t="s">
        <v>2126</v>
      </c>
      <c r="C18" s="1336"/>
      <c r="D18" s="1337"/>
      <c r="E18" s="1338">
        <f>+E16+E17</f>
        <v>13262</v>
      </c>
      <c r="F18" s="1338">
        <f>+F16+F17</f>
        <v>19260</v>
      </c>
      <c r="G18" s="1338">
        <f>+G16+G17</f>
        <v>23208</v>
      </c>
      <c r="H18" s="1338">
        <v>0</v>
      </c>
      <c r="I18" s="1338">
        <f>+I16+I17</f>
        <v>23284</v>
      </c>
      <c r="J18" s="1338">
        <v>0</v>
      </c>
      <c r="K18" s="1338">
        <v>0</v>
      </c>
      <c r="L18" s="1335">
        <f t="shared" si="0"/>
        <v>46492</v>
      </c>
      <c r="M18" s="1338"/>
    </row>
    <row r="19" spans="2:14" ht="20.100000000000001" customHeight="1" x14ac:dyDescent="0.2">
      <c r="B19" s="1332" t="s">
        <v>2127</v>
      </c>
      <c r="C19" s="1336">
        <v>84.367000000000004</v>
      </c>
      <c r="D19" s="1337" t="s">
        <v>2136</v>
      </c>
      <c r="E19" s="1338">
        <v>56522</v>
      </c>
      <c r="F19" s="1338">
        <v>32227</v>
      </c>
      <c r="G19" s="1338">
        <v>77784</v>
      </c>
      <c r="H19" s="1338">
        <v>0</v>
      </c>
      <c r="I19" s="1338">
        <v>10965</v>
      </c>
      <c r="J19" s="1338">
        <v>0</v>
      </c>
      <c r="K19" s="1338">
        <v>0</v>
      </c>
      <c r="L19" s="1335">
        <f t="shared" si="0"/>
        <v>88749</v>
      </c>
      <c r="M19" s="1338"/>
    </row>
    <row r="20" spans="2:14" ht="20.100000000000001" customHeight="1" x14ac:dyDescent="0.2">
      <c r="B20" s="1332" t="s">
        <v>2127</v>
      </c>
      <c r="C20" s="1336">
        <v>84.367000000000004</v>
      </c>
      <c r="D20" s="1337" t="s">
        <v>2137</v>
      </c>
      <c r="E20" s="1338">
        <v>0</v>
      </c>
      <c r="F20" s="1338">
        <v>52164</v>
      </c>
      <c r="G20" s="1338">
        <v>0</v>
      </c>
      <c r="H20" s="1338">
        <v>0</v>
      </c>
      <c r="I20" s="1338">
        <v>74381</v>
      </c>
      <c r="J20" s="1338">
        <v>0</v>
      </c>
      <c r="K20" s="1338">
        <v>0</v>
      </c>
      <c r="L20" s="1335">
        <f t="shared" si="0"/>
        <v>74381</v>
      </c>
      <c r="M20" s="1338"/>
    </row>
    <row r="21" spans="2:14" ht="20.100000000000001" customHeight="1" x14ac:dyDescent="0.2">
      <c r="B21" s="1332" t="s">
        <v>2128</v>
      </c>
      <c r="C21" s="1336"/>
      <c r="D21" s="1337"/>
      <c r="E21" s="1338">
        <f>+E19+E20</f>
        <v>56522</v>
      </c>
      <c r="F21" s="1338">
        <f>+F19+F20</f>
        <v>84391</v>
      </c>
      <c r="G21" s="1338">
        <f>+G19+G20</f>
        <v>77784</v>
      </c>
      <c r="H21" s="1338">
        <v>0</v>
      </c>
      <c r="I21" s="1338">
        <f>+I19+I20</f>
        <v>85346</v>
      </c>
      <c r="J21" s="1338">
        <v>0</v>
      </c>
      <c r="K21" s="1338">
        <v>0</v>
      </c>
      <c r="L21" s="1335">
        <f t="shared" si="0"/>
        <v>163130</v>
      </c>
      <c r="M21" s="1338"/>
    </row>
    <row r="22" spans="2:14" ht="20.100000000000001" customHeight="1" x14ac:dyDescent="0.2">
      <c r="B22" s="1332" t="s">
        <v>2129</v>
      </c>
      <c r="C22" s="1336">
        <v>84.027000000000001</v>
      </c>
      <c r="D22" s="1337" t="s">
        <v>2172</v>
      </c>
      <c r="E22" s="1338">
        <v>0</v>
      </c>
      <c r="F22" s="1338">
        <v>29421</v>
      </c>
      <c r="G22" s="1338">
        <v>0</v>
      </c>
      <c r="H22" s="1338">
        <v>0</v>
      </c>
      <c r="I22" s="1338">
        <v>29421</v>
      </c>
      <c r="J22" s="1338">
        <v>0</v>
      </c>
      <c r="K22" s="1338">
        <v>0</v>
      </c>
      <c r="L22" s="1335">
        <f t="shared" si="0"/>
        <v>29421</v>
      </c>
      <c r="M22" s="1338"/>
    </row>
    <row r="23" spans="2:14" ht="20.100000000000001" customHeight="1" x14ac:dyDescent="0.2">
      <c r="B23" s="1332" t="s">
        <v>2130</v>
      </c>
      <c r="C23" s="1336">
        <v>84.424000000000007</v>
      </c>
      <c r="D23" s="1337" t="s">
        <v>2139</v>
      </c>
      <c r="E23" s="1338">
        <v>7648</v>
      </c>
      <c r="F23" s="1338">
        <v>16654</v>
      </c>
      <c r="G23" s="1338">
        <v>24302</v>
      </c>
      <c r="H23" s="1338">
        <v>0</v>
      </c>
      <c r="I23" s="1338">
        <v>0</v>
      </c>
      <c r="J23" s="1338">
        <v>0</v>
      </c>
      <c r="K23" s="1338">
        <v>0</v>
      </c>
      <c r="L23" s="1335">
        <f t="shared" si="0"/>
        <v>24302</v>
      </c>
      <c r="M23" s="1338"/>
    </row>
    <row r="24" spans="2:14" ht="20.100000000000001" customHeight="1" x14ac:dyDescent="0.2">
      <c r="B24" s="1332" t="s">
        <v>2130</v>
      </c>
      <c r="C24" s="1336">
        <v>84.424000000000007</v>
      </c>
      <c r="D24" s="1337" t="s">
        <v>2174</v>
      </c>
      <c r="E24" s="1338">
        <v>0</v>
      </c>
      <c r="F24" s="1338">
        <v>34996</v>
      </c>
      <c r="G24" s="1338">
        <v>0</v>
      </c>
      <c r="H24" s="1338">
        <v>0</v>
      </c>
      <c r="I24" s="1338">
        <v>51932</v>
      </c>
      <c r="J24" s="1338">
        <v>0</v>
      </c>
      <c r="K24" s="1338">
        <v>0</v>
      </c>
      <c r="L24" s="1335">
        <f t="shared" si="0"/>
        <v>51932</v>
      </c>
      <c r="M24" s="1338"/>
    </row>
    <row r="25" spans="2:14" ht="20.100000000000001" customHeight="1" x14ac:dyDescent="0.2">
      <c r="B25" s="1332" t="s">
        <v>2173</v>
      </c>
      <c r="C25" s="1336"/>
      <c r="D25" s="1337"/>
      <c r="E25" s="1338">
        <f>+E23+E24</f>
        <v>7648</v>
      </c>
      <c r="F25" s="1338">
        <f t="shared" ref="F25:K25" si="1">+F23+F24</f>
        <v>51650</v>
      </c>
      <c r="G25" s="1338">
        <f t="shared" si="1"/>
        <v>24302</v>
      </c>
      <c r="H25" s="1338">
        <f t="shared" si="1"/>
        <v>0</v>
      </c>
      <c r="I25" s="1338">
        <f t="shared" si="1"/>
        <v>51932</v>
      </c>
      <c r="J25" s="1338">
        <f t="shared" si="1"/>
        <v>0</v>
      </c>
      <c r="K25" s="1338">
        <f t="shared" si="1"/>
        <v>0</v>
      </c>
      <c r="L25" s="1335">
        <f t="shared" si="0"/>
        <v>76234</v>
      </c>
      <c r="M25" s="1338"/>
    </row>
    <row r="26" spans="2:14" ht="20.100000000000001" customHeight="1" x14ac:dyDescent="0.2">
      <c r="B26" s="1332" t="s">
        <v>2170</v>
      </c>
      <c r="C26" s="1336">
        <v>84.376999999999995</v>
      </c>
      <c r="D26" s="1337" t="s">
        <v>2171</v>
      </c>
      <c r="E26" s="1338">
        <v>0</v>
      </c>
      <c r="F26" s="1338">
        <v>507</v>
      </c>
      <c r="G26" s="1338">
        <v>0</v>
      </c>
      <c r="H26" s="1338">
        <v>0</v>
      </c>
      <c r="I26" s="1338">
        <v>4826</v>
      </c>
      <c r="J26" s="1338">
        <v>0</v>
      </c>
      <c r="K26" s="1338">
        <v>0</v>
      </c>
      <c r="L26" s="1335">
        <f t="shared" si="0"/>
        <v>4826</v>
      </c>
      <c r="M26" s="1338"/>
    </row>
    <row r="27" spans="2:14" ht="20.100000000000001" customHeight="1" x14ac:dyDescent="0.2">
      <c r="B27" s="1332" t="s">
        <v>2131</v>
      </c>
      <c r="C27" s="1336"/>
      <c r="D27" s="1337"/>
      <c r="E27" s="1338">
        <f>+E15+E18+E21+E22+E23+E26+E24</f>
        <v>830740</v>
      </c>
      <c r="F27" s="1338">
        <f t="shared" ref="F27:K27" si="2">+F15+F18+F21+F22+F23+F26+F24</f>
        <v>1105963</v>
      </c>
      <c r="G27" s="1338">
        <f t="shared" si="2"/>
        <v>946945</v>
      </c>
      <c r="H27" s="1338">
        <f t="shared" si="2"/>
        <v>0</v>
      </c>
      <c r="I27" s="1338">
        <f t="shared" si="2"/>
        <v>1110644</v>
      </c>
      <c r="J27" s="1338">
        <f t="shared" si="2"/>
        <v>0</v>
      </c>
      <c r="K27" s="1338">
        <f t="shared" si="2"/>
        <v>0</v>
      </c>
      <c r="L27" s="1335">
        <f t="shared" si="0"/>
        <v>2057589</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1837</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K21" sqref="K21"/>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8" t="str">
        <f>'Single Audit Cover'!A7</f>
        <v>Centralia SD 135</v>
      </c>
      <c r="C1" s="2441"/>
      <c r="D1" s="2441"/>
      <c r="E1" s="2441"/>
      <c r="F1" s="2441"/>
      <c r="G1" s="2441"/>
      <c r="H1" s="2441"/>
      <c r="I1" s="2441"/>
      <c r="J1" s="2441"/>
      <c r="K1" s="2441"/>
      <c r="L1" s="2441"/>
      <c r="M1" s="2441"/>
    </row>
    <row r="2" spans="2:14" ht="15" x14ac:dyDescent="0.2">
      <c r="B2" s="2442">
        <f>'Single Audit Cover'!E7</f>
        <v>13058135002</v>
      </c>
      <c r="C2" s="2442"/>
      <c r="D2" s="2442"/>
      <c r="E2" s="2442"/>
      <c r="F2" s="2442"/>
      <c r="G2" s="2442"/>
      <c r="H2" s="2442"/>
      <c r="I2" s="2442"/>
      <c r="J2" s="2442"/>
      <c r="K2" s="2442"/>
      <c r="L2" s="2442"/>
      <c r="M2" s="2442"/>
      <c r="N2" s="1297"/>
    </row>
    <row r="3" spans="2:14" ht="15" x14ac:dyDescent="0.2">
      <c r="B3" s="2443" t="s">
        <v>1219</v>
      </c>
      <c r="C3" s="2443"/>
      <c r="D3" s="2443"/>
      <c r="E3" s="2443"/>
      <c r="F3" s="2443"/>
      <c r="G3" s="2443"/>
      <c r="H3" s="2443"/>
      <c r="I3" s="2443"/>
      <c r="J3" s="2443"/>
      <c r="K3" s="2443"/>
      <c r="L3" s="2443"/>
      <c r="M3" s="2443"/>
      <c r="N3" s="1297"/>
    </row>
    <row r="4" spans="2:14" ht="15" x14ac:dyDescent="0.2">
      <c r="B4" s="2444" t="str">
        <f>'Single Audit Cover'!A4</f>
        <v>Year Ending June 30, 2019</v>
      </c>
      <c r="C4" s="2444"/>
      <c r="D4" s="2444"/>
      <c r="E4" s="2444"/>
      <c r="F4" s="2444"/>
      <c r="G4" s="2444"/>
      <c r="H4" s="2444"/>
      <c r="I4" s="2444"/>
      <c r="J4" s="2444"/>
      <c r="K4" s="2444"/>
      <c r="L4" s="2444"/>
      <c r="M4" s="2444"/>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1836</v>
      </c>
      <c r="I8" s="1314" t="s">
        <v>1262</v>
      </c>
      <c r="J8" s="1313" t="s">
        <v>1987</v>
      </c>
      <c r="K8" s="1314" t="s">
        <v>1261</v>
      </c>
      <c r="L8" s="1315" t="s">
        <v>1257</v>
      </c>
      <c r="M8" s="1316" t="s">
        <v>30</v>
      </c>
    </row>
    <row r="9" spans="2:14" ht="14.25" x14ac:dyDescent="0.2">
      <c r="B9" s="1320" t="s">
        <v>1259</v>
      </c>
      <c r="C9" s="1308" t="s">
        <v>1732</v>
      </c>
      <c r="D9" s="1309" t="s">
        <v>1733</v>
      </c>
      <c r="E9" s="1317" t="s">
        <v>1836</v>
      </c>
      <c r="F9" s="1318" t="s">
        <v>1987</v>
      </c>
      <c r="G9" s="1319" t="s">
        <v>1836</v>
      </c>
      <c r="H9" s="1312" t="s">
        <v>1582</v>
      </c>
      <c r="I9" s="1314" t="s">
        <v>1987</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t="s">
        <v>2140</v>
      </c>
      <c r="C11" s="1333"/>
      <c r="D11" s="1334"/>
      <c r="E11" s="1335"/>
      <c r="F11" s="1335"/>
      <c r="G11" s="1335"/>
      <c r="H11" s="1335"/>
      <c r="I11" s="1335"/>
      <c r="J11" s="1335"/>
      <c r="K11" s="1335"/>
      <c r="L11" s="1335">
        <f>+G11+I11+K11</f>
        <v>0</v>
      </c>
      <c r="M11" s="1335"/>
    </row>
    <row r="12" spans="2:14" ht="20.100000000000001" customHeight="1" x14ac:dyDescent="0.2">
      <c r="B12" s="1332" t="s">
        <v>2141</v>
      </c>
      <c r="C12" s="1336">
        <v>84.173000000000002</v>
      </c>
      <c r="D12" s="1337" t="s">
        <v>2146</v>
      </c>
      <c r="E12" s="1338">
        <v>12894</v>
      </c>
      <c r="F12" s="1338">
        <v>7503</v>
      </c>
      <c r="G12" s="1338">
        <v>17397</v>
      </c>
      <c r="H12" s="1338">
        <v>0</v>
      </c>
      <c r="I12" s="1338">
        <v>3000</v>
      </c>
      <c r="J12" s="1338">
        <v>0</v>
      </c>
      <c r="K12" s="1338">
        <v>0</v>
      </c>
      <c r="L12" s="1335" t="e">
        <f>+#REF!+#REF!+#REF!</f>
        <v>#REF!</v>
      </c>
      <c r="M12" s="1338"/>
    </row>
    <row r="13" spans="2:14" ht="20.100000000000001" customHeight="1" x14ac:dyDescent="0.2">
      <c r="B13" s="1332" t="s">
        <v>2141</v>
      </c>
      <c r="C13" s="1336">
        <v>84.173000000000002</v>
      </c>
      <c r="D13" s="1337" t="s">
        <v>2147</v>
      </c>
      <c r="E13" s="1338">
        <v>0</v>
      </c>
      <c r="F13" s="1338">
        <v>13196</v>
      </c>
      <c r="G13" s="1338">
        <v>0</v>
      </c>
      <c r="H13" s="1338">
        <v>0</v>
      </c>
      <c r="I13" s="1338">
        <v>17647</v>
      </c>
      <c r="J13" s="1338">
        <v>0</v>
      </c>
      <c r="K13" s="1338">
        <v>2959</v>
      </c>
      <c r="L13" s="1335">
        <f>+G12+I12+K12</f>
        <v>20397</v>
      </c>
      <c r="M13" s="1338"/>
    </row>
    <row r="14" spans="2:14" ht="20.100000000000001" customHeight="1" x14ac:dyDescent="0.2">
      <c r="B14" s="1332" t="s">
        <v>2142</v>
      </c>
      <c r="C14" s="1336"/>
      <c r="D14" s="1337"/>
      <c r="E14" s="1338">
        <f>+E12+E13</f>
        <v>12894</v>
      </c>
      <c r="F14" s="1338">
        <f t="shared" ref="F14:K14" si="0">+F12+F13</f>
        <v>20699</v>
      </c>
      <c r="G14" s="1338">
        <f t="shared" si="0"/>
        <v>17397</v>
      </c>
      <c r="H14" s="1338">
        <f t="shared" si="0"/>
        <v>0</v>
      </c>
      <c r="I14" s="1338">
        <f t="shared" si="0"/>
        <v>20647</v>
      </c>
      <c r="J14" s="1338">
        <f t="shared" si="0"/>
        <v>0</v>
      </c>
      <c r="K14" s="1338">
        <f t="shared" si="0"/>
        <v>2959</v>
      </c>
      <c r="L14" s="1335">
        <f>+G13+I13+K13</f>
        <v>20606</v>
      </c>
      <c r="M14" s="1338"/>
    </row>
    <row r="15" spans="2:14" ht="20.100000000000001" customHeight="1" x14ac:dyDescent="0.2">
      <c r="B15" s="1332" t="s">
        <v>2143</v>
      </c>
      <c r="C15" s="1336">
        <v>84.027000000000001</v>
      </c>
      <c r="D15" s="1337" t="s">
        <v>2149</v>
      </c>
      <c r="E15" s="1338">
        <v>57092</v>
      </c>
      <c r="F15" s="1338">
        <v>29088</v>
      </c>
      <c r="G15" s="1338">
        <v>74581</v>
      </c>
      <c r="H15" s="1338">
        <v>0</v>
      </c>
      <c r="I15" s="1338">
        <v>11606</v>
      </c>
      <c r="J15" s="1338">
        <v>0</v>
      </c>
      <c r="K15" s="1338">
        <v>0</v>
      </c>
      <c r="L15" s="1335">
        <f>+G14+I14+K14</f>
        <v>41003</v>
      </c>
      <c r="M15" s="1338"/>
    </row>
    <row r="16" spans="2:14" ht="20.100000000000001" customHeight="1" x14ac:dyDescent="0.2">
      <c r="B16" s="1332" t="s">
        <v>2143</v>
      </c>
      <c r="C16" s="1336">
        <v>84.027000000000001</v>
      </c>
      <c r="D16" s="1337" t="s">
        <v>2148</v>
      </c>
      <c r="E16" s="1338">
        <v>0</v>
      </c>
      <c r="F16" s="1338">
        <v>51295</v>
      </c>
      <c r="G16" s="1338">
        <v>0</v>
      </c>
      <c r="H16" s="1338">
        <v>0</v>
      </c>
      <c r="I16" s="1338">
        <v>68639</v>
      </c>
      <c r="J16" s="1338">
        <v>0</v>
      </c>
      <c r="K16" s="1338">
        <v>11528</v>
      </c>
      <c r="L16" s="1335">
        <f>+G15+I15+K15</f>
        <v>86187</v>
      </c>
      <c r="M16" s="1338"/>
    </row>
    <row r="17" spans="2:14" ht="20.100000000000001" customHeight="1" x14ac:dyDescent="0.2">
      <c r="B17" s="1332" t="s">
        <v>2144</v>
      </c>
      <c r="C17" s="1336"/>
      <c r="D17" s="1337"/>
      <c r="E17" s="1338">
        <f>+E15+E16</f>
        <v>57092</v>
      </c>
      <c r="F17" s="1338">
        <f t="shared" ref="F17:K17" si="1">+F15+F16</f>
        <v>80383</v>
      </c>
      <c r="G17" s="1338">
        <f t="shared" si="1"/>
        <v>74581</v>
      </c>
      <c r="H17" s="1338">
        <f t="shared" si="1"/>
        <v>0</v>
      </c>
      <c r="I17" s="1338">
        <f t="shared" si="1"/>
        <v>80245</v>
      </c>
      <c r="J17" s="1338">
        <f t="shared" si="1"/>
        <v>0</v>
      </c>
      <c r="K17" s="1338">
        <f t="shared" si="1"/>
        <v>11528</v>
      </c>
      <c r="L17" s="1335">
        <f>+G16+I16+K16</f>
        <v>80167</v>
      </c>
      <c r="M17" s="1338"/>
    </row>
    <row r="18" spans="2:14" ht="20.100000000000001" customHeight="1" x14ac:dyDescent="0.2">
      <c r="B18" s="1332"/>
      <c r="C18" s="1336"/>
      <c r="D18" s="1337"/>
      <c r="E18" s="1338"/>
      <c r="F18" s="1338"/>
      <c r="G18" s="1338"/>
      <c r="H18" s="1338"/>
      <c r="I18" s="1338"/>
      <c r="J18" s="1338"/>
      <c r="K18" s="1338"/>
      <c r="L18" s="1335">
        <f t="shared" ref="L18:L27" si="2">+G18+I18+K18</f>
        <v>0</v>
      </c>
      <c r="M18" s="1338"/>
    </row>
    <row r="19" spans="2:14" ht="20.100000000000001" customHeight="1" x14ac:dyDescent="0.2">
      <c r="B19" s="1332" t="s">
        <v>2145</v>
      </c>
      <c r="C19" s="1336"/>
      <c r="D19" s="1337"/>
      <c r="E19" s="1338">
        <f>+E14+E17</f>
        <v>69986</v>
      </c>
      <c r="F19" s="1338">
        <f t="shared" ref="F19:K19" si="3">+F14+F17</f>
        <v>101082</v>
      </c>
      <c r="G19" s="1338">
        <f t="shared" si="3"/>
        <v>91978</v>
      </c>
      <c r="H19" s="1338">
        <f t="shared" si="3"/>
        <v>0</v>
      </c>
      <c r="I19" s="1338">
        <f t="shared" si="3"/>
        <v>100892</v>
      </c>
      <c r="J19" s="1338">
        <f t="shared" si="3"/>
        <v>0</v>
      </c>
      <c r="K19" s="1338">
        <f t="shared" si="3"/>
        <v>14487</v>
      </c>
      <c r="L19" s="1335">
        <f t="shared" si="2"/>
        <v>207357</v>
      </c>
      <c r="M19" s="1338"/>
    </row>
    <row r="20" spans="2:14" ht="20.100000000000001" customHeight="1" x14ac:dyDescent="0.2">
      <c r="B20" s="1332"/>
      <c r="C20" s="1336"/>
      <c r="D20" s="1337"/>
      <c r="E20" s="1338"/>
      <c r="F20" s="1338"/>
      <c r="G20" s="1338"/>
      <c r="H20" s="1338"/>
      <c r="I20" s="1338"/>
      <c r="J20" s="1338"/>
      <c r="K20" s="1338"/>
      <c r="L20" s="1335">
        <f t="shared" si="2"/>
        <v>0</v>
      </c>
      <c r="M20" s="1338"/>
    </row>
    <row r="21" spans="2:14" ht="20.100000000000001" customHeight="1" x14ac:dyDescent="0.2">
      <c r="B21" s="1332" t="s">
        <v>2176</v>
      </c>
      <c r="C21" s="1336"/>
      <c r="D21" s="1337"/>
      <c r="E21" s="1338">
        <f>+E19+' SEFA'!E27</f>
        <v>900726</v>
      </c>
      <c r="F21" s="1338">
        <f>+F19+' SEFA'!F27</f>
        <v>1207045</v>
      </c>
      <c r="G21" s="1338">
        <f>+G19+' SEFA'!G27</f>
        <v>1038923</v>
      </c>
      <c r="H21" s="1338">
        <f>+H19+' SEFA'!H27</f>
        <v>0</v>
      </c>
      <c r="I21" s="1338">
        <f>+I19+' SEFA'!I27</f>
        <v>1211536</v>
      </c>
      <c r="J21" s="1338">
        <f>+J19+' SEFA'!J27</f>
        <v>0</v>
      </c>
      <c r="K21" s="1338">
        <f>+K19+' SEFA'!K27</f>
        <v>14487</v>
      </c>
      <c r="L21" s="1335">
        <f t="shared" si="2"/>
        <v>2264946</v>
      </c>
      <c r="M21" s="1338"/>
    </row>
    <row r="22" spans="2:14" ht="20.100000000000001" customHeight="1" x14ac:dyDescent="0.2">
      <c r="B22" s="1332"/>
      <c r="C22" s="1336"/>
      <c r="D22" s="1337"/>
      <c r="E22" s="1338"/>
      <c r="F22" s="1338"/>
      <c r="G22" s="1338"/>
      <c r="H22" s="1338"/>
      <c r="I22" s="1338"/>
      <c r="J22" s="1338"/>
      <c r="K22" s="1338"/>
      <c r="L22" s="1335">
        <f t="shared" si="2"/>
        <v>0</v>
      </c>
      <c r="M22" s="1338"/>
    </row>
    <row r="23" spans="2:14" ht="20.100000000000001" customHeight="1" x14ac:dyDescent="0.2">
      <c r="B23" s="1332"/>
      <c r="C23" s="1336"/>
      <c r="D23" s="1337"/>
      <c r="E23" s="1338"/>
      <c r="F23" s="1338"/>
      <c r="G23" s="1338"/>
      <c r="H23" s="1338"/>
      <c r="I23" s="1338"/>
      <c r="J23" s="1338"/>
      <c r="K23" s="1338"/>
      <c r="L23" s="1335">
        <f t="shared" si="2"/>
        <v>0</v>
      </c>
      <c r="M23" s="1338"/>
    </row>
    <row r="24" spans="2:14" ht="20.100000000000001" customHeight="1" x14ac:dyDescent="0.2">
      <c r="B24" s="1332"/>
      <c r="C24" s="1336"/>
      <c r="D24" s="1337"/>
      <c r="E24" s="1338"/>
      <c r="F24" s="1338"/>
      <c r="G24" s="1338"/>
      <c r="H24" s="1338"/>
      <c r="I24" s="1338"/>
      <c r="J24" s="1338"/>
      <c r="K24" s="1338"/>
      <c r="L24" s="1335">
        <f t="shared" si="2"/>
        <v>0</v>
      </c>
      <c r="M24" s="1338"/>
    </row>
    <row r="25" spans="2:14" ht="20.100000000000001" customHeight="1" x14ac:dyDescent="0.2">
      <c r="B25" s="1332"/>
      <c r="C25" s="1336"/>
      <c r="D25" s="1337"/>
      <c r="E25" s="1338"/>
      <c r="F25" s="1338"/>
      <c r="G25" s="1338"/>
      <c r="H25" s="1338"/>
      <c r="I25" s="1338"/>
      <c r="J25" s="1338"/>
      <c r="K25" s="1338"/>
      <c r="L25" s="1335">
        <f t="shared" si="2"/>
        <v>0</v>
      </c>
      <c r="M25" s="1338"/>
    </row>
    <row r="26" spans="2:14" ht="20.100000000000001" customHeight="1" x14ac:dyDescent="0.2">
      <c r="B26" s="1332"/>
      <c r="C26" s="1336"/>
      <c r="D26" s="1337"/>
      <c r="E26" s="1338"/>
      <c r="F26" s="1338"/>
      <c r="G26" s="1338"/>
      <c r="H26" s="1338"/>
      <c r="I26" s="1338"/>
      <c r="J26" s="1338"/>
      <c r="K26" s="1338"/>
      <c r="L26" s="1335">
        <f t="shared" si="2"/>
        <v>0</v>
      </c>
      <c r="M26" s="1338"/>
    </row>
    <row r="27" spans="2:14" ht="20.100000000000001" customHeight="1" x14ac:dyDescent="0.2">
      <c r="B27" s="1332"/>
      <c r="C27" s="1336"/>
      <c r="D27" s="1337"/>
      <c r="E27" s="1338"/>
      <c r="F27" s="1338"/>
      <c r="G27" s="1338"/>
      <c r="H27" s="1338"/>
      <c r="I27" s="1338"/>
      <c r="J27" s="1338"/>
      <c r="K27" s="1338"/>
      <c r="L27" s="1335">
        <f t="shared" si="2"/>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1837</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N106" sqref="N10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2061</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1903</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85" zoomScaleNormal="85" workbookViewId="0">
      <selection activeCell="B19" sqref="B19"/>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8" t="str">
        <f>'Single Audit Cover'!A7</f>
        <v>Centralia SD 135</v>
      </c>
      <c r="C1" s="2441"/>
      <c r="D1" s="2441"/>
      <c r="E1" s="2441"/>
      <c r="F1" s="2441"/>
      <c r="G1" s="2441"/>
      <c r="H1" s="2441"/>
      <c r="I1" s="2441"/>
      <c r="J1" s="2441"/>
      <c r="K1" s="2441"/>
      <c r="L1" s="2441"/>
      <c r="M1" s="2441"/>
    </row>
    <row r="2" spans="2:14" ht="15" x14ac:dyDescent="0.2">
      <c r="B2" s="2442">
        <f>'Single Audit Cover'!E7</f>
        <v>13058135002</v>
      </c>
      <c r="C2" s="2442"/>
      <c r="D2" s="2442"/>
      <c r="E2" s="2442"/>
      <c r="F2" s="2442"/>
      <c r="G2" s="2442"/>
      <c r="H2" s="2442"/>
      <c r="I2" s="2442"/>
      <c r="J2" s="2442"/>
      <c r="K2" s="2442"/>
      <c r="L2" s="2442"/>
      <c r="M2" s="2442"/>
      <c r="N2" s="1297"/>
    </row>
    <row r="3" spans="2:14" ht="15" x14ac:dyDescent="0.2">
      <c r="B3" s="2443" t="s">
        <v>1219</v>
      </c>
      <c r="C3" s="2443"/>
      <c r="D3" s="2443"/>
      <c r="E3" s="2443"/>
      <c r="F3" s="2443"/>
      <c r="G3" s="2443"/>
      <c r="H3" s="2443"/>
      <c r="I3" s="2443"/>
      <c r="J3" s="2443"/>
      <c r="K3" s="2443"/>
      <c r="L3" s="2443"/>
      <c r="M3" s="2443"/>
      <c r="N3" s="1297"/>
    </row>
    <row r="4" spans="2:14" ht="15" x14ac:dyDescent="0.2">
      <c r="B4" s="2444" t="str">
        <f>'Single Audit Cover'!A4</f>
        <v>Year Ending June 30, 2019</v>
      </c>
      <c r="C4" s="2444"/>
      <c r="D4" s="2444"/>
      <c r="E4" s="2444"/>
      <c r="F4" s="2444"/>
      <c r="G4" s="2444"/>
      <c r="H4" s="2444"/>
      <c r="I4" s="2444"/>
      <c r="J4" s="2444"/>
      <c r="K4" s="2444"/>
      <c r="L4" s="2444"/>
      <c r="M4" s="2444"/>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1836</v>
      </c>
      <c r="I8" s="1314" t="s">
        <v>1262</v>
      </c>
      <c r="J8" s="1313" t="s">
        <v>1987</v>
      </c>
      <c r="K8" s="1314" t="s">
        <v>1261</v>
      </c>
      <c r="L8" s="1315" t="s">
        <v>1257</v>
      </c>
      <c r="M8" s="1316" t="s">
        <v>30</v>
      </c>
    </row>
    <row r="9" spans="2:14" ht="14.25" x14ac:dyDescent="0.2">
      <c r="B9" s="1320" t="s">
        <v>1259</v>
      </c>
      <c r="C9" s="1308" t="s">
        <v>1732</v>
      </c>
      <c r="D9" s="1309" t="s">
        <v>1733</v>
      </c>
      <c r="E9" s="1317" t="s">
        <v>1836</v>
      </c>
      <c r="F9" s="1318" t="s">
        <v>1987</v>
      </c>
      <c r="G9" s="1319" t="s">
        <v>1836</v>
      </c>
      <c r="H9" s="1312" t="s">
        <v>1582</v>
      </c>
      <c r="I9" s="1314" t="s">
        <v>1987</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t="s">
        <v>2150</v>
      </c>
      <c r="C11" s="1333"/>
      <c r="D11" s="1334"/>
      <c r="E11" s="1335"/>
      <c r="F11" s="1335"/>
      <c r="G11" s="1335"/>
      <c r="H11" s="1335"/>
      <c r="I11" s="1335"/>
      <c r="J11" s="1335"/>
      <c r="K11" s="1335"/>
      <c r="L11" s="1335">
        <f>+G11+I11+K11</f>
        <v>0</v>
      </c>
      <c r="M11" s="1335"/>
    </row>
    <row r="12" spans="2:14" ht="20.100000000000001" customHeight="1" x14ac:dyDescent="0.2">
      <c r="B12" s="1332" t="s">
        <v>2151</v>
      </c>
      <c r="C12" s="1336"/>
      <c r="D12" s="1337"/>
      <c r="E12" s="1338"/>
      <c r="F12" s="1338"/>
      <c r="G12" s="1338"/>
      <c r="H12" s="1338"/>
      <c r="I12" s="1338"/>
      <c r="J12" s="1338"/>
      <c r="K12" s="1338"/>
      <c r="L12" s="1335">
        <f t="shared" ref="L12:L27" si="0">+G12+I12+K12</f>
        <v>0</v>
      </c>
      <c r="M12" s="1338"/>
    </row>
    <row r="13" spans="2:14" ht="20.100000000000001" customHeight="1" x14ac:dyDescent="0.2">
      <c r="B13" s="1332" t="s">
        <v>2152</v>
      </c>
      <c r="C13" s="1336">
        <v>93.778000000000006</v>
      </c>
      <c r="D13" s="1337" t="s">
        <v>2157</v>
      </c>
      <c r="E13" s="1338">
        <v>33154</v>
      </c>
      <c r="F13" s="1338">
        <v>11704</v>
      </c>
      <c r="G13" s="1338">
        <v>33154</v>
      </c>
      <c r="H13" s="1338">
        <v>0</v>
      </c>
      <c r="I13" s="1338">
        <v>11704</v>
      </c>
      <c r="J13" s="1338">
        <v>0</v>
      </c>
      <c r="K13" s="1338">
        <v>0</v>
      </c>
      <c r="L13" s="1335">
        <f t="shared" si="0"/>
        <v>44858</v>
      </c>
      <c r="M13" s="1338"/>
    </row>
    <row r="14" spans="2:14" ht="20.100000000000001" customHeight="1" x14ac:dyDescent="0.2">
      <c r="B14" s="1332" t="s">
        <v>2152</v>
      </c>
      <c r="C14" s="1336">
        <v>93.778000000000006</v>
      </c>
      <c r="D14" s="1337" t="s">
        <v>2158</v>
      </c>
      <c r="E14" s="1338">
        <v>0</v>
      </c>
      <c r="F14" s="1338">
        <v>25854</v>
      </c>
      <c r="G14" s="1338">
        <v>0</v>
      </c>
      <c r="H14" s="1338">
        <v>0</v>
      </c>
      <c r="I14" s="1338">
        <v>25854</v>
      </c>
      <c r="J14" s="1338">
        <v>0</v>
      </c>
      <c r="K14" s="1338">
        <v>0</v>
      </c>
      <c r="L14" s="1335">
        <f t="shared" si="0"/>
        <v>25854</v>
      </c>
      <c r="M14" s="1338"/>
    </row>
    <row r="15" spans="2:14" ht="20.100000000000001" customHeight="1" x14ac:dyDescent="0.2">
      <c r="B15" s="1332" t="s">
        <v>2163</v>
      </c>
      <c r="C15" s="1336"/>
      <c r="D15" s="1337"/>
      <c r="E15" s="1338">
        <f>+E13+E14</f>
        <v>33154</v>
      </c>
      <c r="F15" s="1338">
        <f t="shared" ref="F15:K15" si="1">+F13+F14</f>
        <v>37558</v>
      </c>
      <c r="G15" s="1338">
        <f t="shared" si="1"/>
        <v>33154</v>
      </c>
      <c r="H15" s="1338">
        <f t="shared" si="1"/>
        <v>0</v>
      </c>
      <c r="I15" s="1338">
        <f t="shared" si="1"/>
        <v>37558</v>
      </c>
      <c r="J15" s="1338">
        <f t="shared" si="1"/>
        <v>0</v>
      </c>
      <c r="K15" s="1338">
        <f t="shared" si="1"/>
        <v>0</v>
      </c>
      <c r="L15" s="1335">
        <f t="shared" si="0"/>
        <v>70712</v>
      </c>
      <c r="M15" s="1338"/>
    </row>
    <row r="16" spans="2:14" ht="20.100000000000001" customHeight="1" x14ac:dyDescent="0.2">
      <c r="B16" s="1332" t="s">
        <v>2153</v>
      </c>
      <c r="C16" s="1948"/>
      <c r="D16" s="1947"/>
      <c r="E16" s="1338"/>
      <c r="F16" s="1338"/>
      <c r="G16" s="1338"/>
      <c r="H16" s="1338"/>
      <c r="I16" s="1338"/>
      <c r="J16" s="1338"/>
      <c r="K16" s="1338"/>
      <c r="L16" s="1335">
        <f t="shared" si="0"/>
        <v>0</v>
      </c>
      <c r="M16" s="1338"/>
    </row>
    <row r="17" spans="2:14" ht="20.100000000000001" customHeight="1" x14ac:dyDescent="0.2">
      <c r="B17" s="1332" t="s">
        <v>2181</v>
      </c>
      <c r="C17" s="1336">
        <v>10.555</v>
      </c>
      <c r="D17" s="1337" t="s">
        <v>2159</v>
      </c>
      <c r="E17" s="1338">
        <v>490226</v>
      </c>
      <c r="F17" s="1338">
        <v>102558</v>
      </c>
      <c r="G17" s="1338">
        <v>490226</v>
      </c>
      <c r="H17" s="1338">
        <v>0</v>
      </c>
      <c r="I17" s="1338">
        <v>102558</v>
      </c>
      <c r="J17" s="1338">
        <v>0</v>
      </c>
      <c r="K17" s="1338">
        <v>0</v>
      </c>
      <c r="L17" s="1335">
        <f t="shared" si="0"/>
        <v>592784</v>
      </c>
      <c r="M17" s="1338"/>
    </row>
    <row r="18" spans="2:14" ht="20.100000000000001" customHeight="1" x14ac:dyDescent="0.2">
      <c r="B18" s="1332" t="s">
        <v>2181</v>
      </c>
      <c r="C18" s="1336">
        <v>10.555</v>
      </c>
      <c r="D18" s="1337" t="s">
        <v>2160</v>
      </c>
      <c r="E18" s="1338">
        <v>0</v>
      </c>
      <c r="F18" s="1338">
        <v>504781</v>
      </c>
      <c r="G18" s="1338">
        <v>0</v>
      </c>
      <c r="H18" s="1338">
        <v>0</v>
      </c>
      <c r="I18" s="1338">
        <v>504781</v>
      </c>
      <c r="J18" s="1338">
        <v>0</v>
      </c>
      <c r="K18" s="1338">
        <v>0</v>
      </c>
      <c r="L18" s="1335">
        <f t="shared" si="0"/>
        <v>504781</v>
      </c>
      <c r="M18" s="1338"/>
    </row>
    <row r="19" spans="2:14" ht="20.100000000000001" customHeight="1" x14ac:dyDescent="0.2">
      <c r="B19" s="1332" t="s">
        <v>2154</v>
      </c>
      <c r="C19" s="1336"/>
      <c r="D19" s="1337"/>
      <c r="E19" s="1338">
        <f>+E17+E18</f>
        <v>490226</v>
      </c>
      <c r="F19" s="1338">
        <f t="shared" ref="F19:K19" si="2">+F17+F18</f>
        <v>607339</v>
      </c>
      <c r="G19" s="1338">
        <f t="shared" si="2"/>
        <v>490226</v>
      </c>
      <c r="H19" s="1338">
        <f t="shared" si="2"/>
        <v>0</v>
      </c>
      <c r="I19" s="1338">
        <f t="shared" si="2"/>
        <v>607339</v>
      </c>
      <c r="J19" s="1338">
        <f t="shared" si="2"/>
        <v>0</v>
      </c>
      <c r="K19" s="1338">
        <f t="shared" si="2"/>
        <v>0</v>
      </c>
      <c r="L19" s="1335">
        <f t="shared" si="0"/>
        <v>1097565</v>
      </c>
      <c r="M19" s="1338"/>
    </row>
    <row r="20" spans="2:14" ht="20.100000000000001" customHeight="1" x14ac:dyDescent="0.2">
      <c r="B20" s="1332" t="s">
        <v>2180</v>
      </c>
      <c r="C20" s="1336">
        <v>10.553000000000001</v>
      </c>
      <c r="D20" s="1337" t="s">
        <v>2161</v>
      </c>
      <c r="E20" s="1338">
        <v>182181</v>
      </c>
      <c r="F20" s="1338">
        <v>38745</v>
      </c>
      <c r="G20" s="1338">
        <v>182181</v>
      </c>
      <c r="H20" s="1338">
        <v>0</v>
      </c>
      <c r="I20" s="1338">
        <v>38745</v>
      </c>
      <c r="J20" s="1338">
        <v>0</v>
      </c>
      <c r="K20" s="1338">
        <v>0</v>
      </c>
      <c r="L20" s="1335">
        <f t="shared" si="0"/>
        <v>220926</v>
      </c>
      <c r="M20" s="1338"/>
    </row>
    <row r="21" spans="2:14" ht="20.100000000000001" customHeight="1" x14ac:dyDescent="0.2">
      <c r="B21" s="1332" t="s">
        <v>2180</v>
      </c>
      <c r="C21" s="1336">
        <v>10.553000000000001</v>
      </c>
      <c r="D21" s="1337" t="s">
        <v>2162</v>
      </c>
      <c r="E21" s="1338">
        <v>0</v>
      </c>
      <c r="F21" s="1338">
        <v>189882</v>
      </c>
      <c r="G21" s="1338">
        <v>0</v>
      </c>
      <c r="H21" s="1338">
        <v>0</v>
      </c>
      <c r="I21" s="1338">
        <v>189882</v>
      </c>
      <c r="J21" s="1338">
        <v>0</v>
      </c>
      <c r="K21" s="1338">
        <v>0</v>
      </c>
      <c r="L21" s="1335">
        <f t="shared" si="0"/>
        <v>189882</v>
      </c>
      <c r="M21" s="1338"/>
    </row>
    <row r="22" spans="2:14" ht="20.100000000000001" customHeight="1" x14ac:dyDescent="0.2">
      <c r="B22" s="1332" t="s">
        <v>2155</v>
      </c>
      <c r="C22" s="1336"/>
      <c r="D22" s="1337"/>
      <c r="E22" s="1338">
        <f>+E20+E21</f>
        <v>182181</v>
      </c>
      <c r="F22" s="1338">
        <f t="shared" ref="F22:K22" si="3">+F20+F21</f>
        <v>228627</v>
      </c>
      <c r="G22" s="1338">
        <f t="shared" si="3"/>
        <v>182181</v>
      </c>
      <c r="H22" s="1338">
        <f t="shared" si="3"/>
        <v>0</v>
      </c>
      <c r="I22" s="1338">
        <f t="shared" si="3"/>
        <v>228627</v>
      </c>
      <c r="J22" s="1338">
        <f t="shared" si="3"/>
        <v>0</v>
      </c>
      <c r="K22" s="1338">
        <f t="shared" si="3"/>
        <v>0</v>
      </c>
      <c r="L22" s="1335">
        <f t="shared" si="0"/>
        <v>410808</v>
      </c>
      <c r="M22" s="1338"/>
    </row>
    <row r="23" spans="2:14" ht="20.100000000000001" customHeight="1" x14ac:dyDescent="0.2">
      <c r="B23" s="1332" t="s">
        <v>2179</v>
      </c>
      <c r="C23" s="1336">
        <v>10.555999999999999</v>
      </c>
      <c r="D23" s="1337" t="s">
        <v>2138</v>
      </c>
      <c r="E23" s="1338">
        <v>401</v>
      </c>
      <c r="F23" s="1338">
        <v>44</v>
      </c>
      <c r="G23" s="1338">
        <v>401</v>
      </c>
      <c r="H23" s="1338">
        <v>0</v>
      </c>
      <c r="I23" s="1338">
        <v>44</v>
      </c>
      <c r="J23" s="1338">
        <v>0</v>
      </c>
      <c r="K23" s="1338">
        <v>0</v>
      </c>
      <c r="L23" s="1335">
        <f t="shared" si="0"/>
        <v>445</v>
      </c>
      <c r="M23" s="1338"/>
    </row>
    <row r="24" spans="2:14" ht="20.100000000000001" customHeight="1" x14ac:dyDescent="0.2">
      <c r="B24" s="1332" t="s">
        <v>2179</v>
      </c>
      <c r="C24" s="1336">
        <v>10.555999999999999</v>
      </c>
      <c r="D24" s="1337" t="s">
        <v>2139</v>
      </c>
      <c r="E24" s="1338">
        <v>0</v>
      </c>
      <c r="F24" s="1338">
        <v>224</v>
      </c>
      <c r="G24" s="1338">
        <v>0</v>
      </c>
      <c r="H24" s="1338">
        <v>0</v>
      </c>
      <c r="I24" s="1338">
        <v>224</v>
      </c>
      <c r="J24" s="1338">
        <v>0</v>
      </c>
      <c r="K24" s="1338">
        <v>0</v>
      </c>
      <c r="L24" s="1335">
        <f t="shared" si="0"/>
        <v>224</v>
      </c>
      <c r="M24" s="1338"/>
    </row>
    <row r="25" spans="2:14" ht="20.100000000000001" customHeight="1" x14ac:dyDescent="0.2">
      <c r="B25" s="1332" t="s">
        <v>2156</v>
      </c>
      <c r="C25" s="1336"/>
      <c r="D25" s="1337"/>
      <c r="E25" s="1338">
        <f>+E23+E24</f>
        <v>401</v>
      </c>
      <c r="F25" s="1338">
        <f t="shared" ref="F25:K25" si="4">+F23+F24</f>
        <v>268</v>
      </c>
      <c r="G25" s="1338">
        <v>0</v>
      </c>
      <c r="H25" s="1338">
        <f t="shared" si="4"/>
        <v>0</v>
      </c>
      <c r="I25" s="1338">
        <f t="shared" si="4"/>
        <v>268</v>
      </c>
      <c r="J25" s="1338">
        <f t="shared" si="4"/>
        <v>0</v>
      </c>
      <c r="K25" s="1338">
        <f t="shared" si="4"/>
        <v>0</v>
      </c>
      <c r="L25" s="1335">
        <f t="shared" si="0"/>
        <v>268</v>
      </c>
      <c r="M25" s="1338"/>
    </row>
    <row r="26" spans="2:14" ht="20.100000000000001" customHeight="1" x14ac:dyDescent="0.2">
      <c r="B26" s="323"/>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1837</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F21" sqref="F21"/>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8" t="str">
        <f>'Single Audit Cover'!A7</f>
        <v>Centralia SD 135</v>
      </c>
      <c r="C1" s="2441"/>
      <c r="D1" s="2441"/>
      <c r="E1" s="2441"/>
      <c r="F1" s="2441"/>
      <c r="G1" s="2441"/>
      <c r="H1" s="2441"/>
      <c r="I1" s="2441"/>
      <c r="J1" s="2441"/>
      <c r="K1" s="2441"/>
      <c r="L1" s="2441"/>
      <c r="M1" s="2441"/>
    </row>
    <row r="2" spans="2:14" ht="15" x14ac:dyDescent="0.2">
      <c r="B2" s="2442">
        <f>'Single Audit Cover'!E7</f>
        <v>13058135002</v>
      </c>
      <c r="C2" s="2442"/>
      <c r="D2" s="2442"/>
      <c r="E2" s="2442"/>
      <c r="F2" s="2442"/>
      <c r="G2" s="2442"/>
      <c r="H2" s="2442"/>
      <c r="I2" s="2442"/>
      <c r="J2" s="2442"/>
      <c r="K2" s="2442"/>
      <c r="L2" s="2442"/>
      <c r="M2" s="2442"/>
      <c r="N2" s="1297"/>
    </row>
    <row r="3" spans="2:14" ht="15" x14ac:dyDescent="0.2">
      <c r="B3" s="2443" t="s">
        <v>1219</v>
      </c>
      <c r="C3" s="2443"/>
      <c r="D3" s="2443"/>
      <c r="E3" s="2443"/>
      <c r="F3" s="2443"/>
      <c r="G3" s="2443"/>
      <c r="H3" s="2443"/>
      <c r="I3" s="2443"/>
      <c r="J3" s="2443"/>
      <c r="K3" s="2443"/>
      <c r="L3" s="2443"/>
      <c r="M3" s="2443"/>
      <c r="N3" s="1297"/>
    </row>
    <row r="4" spans="2:14" ht="15" x14ac:dyDescent="0.2">
      <c r="B4" s="2444" t="str">
        <f>'Single Audit Cover'!A4</f>
        <v>Year Ending June 30, 2019</v>
      </c>
      <c r="C4" s="2444"/>
      <c r="D4" s="2444"/>
      <c r="E4" s="2444"/>
      <c r="F4" s="2444"/>
      <c r="G4" s="2444"/>
      <c r="H4" s="2444"/>
      <c r="I4" s="2444"/>
      <c r="J4" s="2444"/>
      <c r="K4" s="2444"/>
      <c r="L4" s="2444"/>
      <c r="M4" s="2444"/>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1836</v>
      </c>
      <c r="I8" s="1314" t="s">
        <v>1262</v>
      </c>
      <c r="J8" s="1313" t="s">
        <v>1987</v>
      </c>
      <c r="K8" s="1314" t="s">
        <v>1261</v>
      </c>
      <c r="L8" s="1315" t="s">
        <v>1257</v>
      </c>
      <c r="M8" s="1316" t="s">
        <v>30</v>
      </c>
    </row>
    <row r="9" spans="2:14" ht="14.25" x14ac:dyDescent="0.2">
      <c r="B9" s="1320" t="s">
        <v>1259</v>
      </c>
      <c r="C9" s="1308" t="s">
        <v>1732</v>
      </c>
      <c r="D9" s="1309" t="s">
        <v>1733</v>
      </c>
      <c r="E9" s="1317" t="s">
        <v>1836</v>
      </c>
      <c r="F9" s="1318" t="s">
        <v>1987</v>
      </c>
      <c r="G9" s="1319" t="s">
        <v>1836</v>
      </c>
      <c r="H9" s="1312" t="s">
        <v>1582</v>
      </c>
      <c r="I9" s="1314" t="s">
        <v>1987</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t="s">
        <v>2164</v>
      </c>
      <c r="C11" s="1333">
        <v>10.582000000000001</v>
      </c>
      <c r="D11" s="1334" t="s">
        <v>2167</v>
      </c>
      <c r="E11" s="1335">
        <v>33625</v>
      </c>
      <c r="F11" s="1335">
        <v>14</v>
      </c>
      <c r="G11" s="1335">
        <v>33625</v>
      </c>
      <c r="H11" s="1335">
        <v>0</v>
      </c>
      <c r="I11" s="1335">
        <v>14</v>
      </c>
      <c r="J11" s="1335">
        <v>0</v>
      </c>
      <c r="K11" s="1335">
        <v>0</v>
      </c>
      <c r="L11" s="1335">
        <f>+G11+I11+K11</f>
        <v>33639</v>
      </c>
      <c r="M11" s="1335"/>
    </row>
    <row r="12" spans="2:14" ht="20.100000000000001" customHeight="1" x14ac:dyDescent="0.2">
      <c r="B12" s="1332" t="s">
        <v>2164</v>
      </c>
      <c r="C12" s="1336">
        <v>10.582000000000001</v>
      </c>
      <c r="D12" s="1337" t="s">
        <v>2168</v>
      </c>
      <c r="E12" s="1338">
        <v>0</v>
      </c>
      <c r="F12" s="1338">
        <v>28850</v>
      </c>
      <c r="G12" s="1338">
        <v>0</v>
      </c>
      <c r="H12" s="1338">
        <v>0</v>
      </c>
      <c r="I12" s="1338">
        <v>28850</v>
      </c>
      <c r="J12" s="1338">
        <v>0</v>
      </c>
      <c r="K12" s="1338">
        <v>0</v>
      </c>
      <c r="L12" s="1335">
        <f t="shared" ref="L12:L27" si="0">+G12+I12+K12</f>
        <v>28850</v>
      </c>
      <c r="M12" s="1338"/>
    </row>
    <row r="13" spans="2:14" ht="20.100000000000001" customHeight="1" x14ac:dyDescent="0.2">
      <c r="B13" s="1332" t="s">
        <v>2165</v>
      </c>
      <c r="C13" s="1336"/>
      <c r="D13" s="1337"/>
      <c r="E13" s="1338">
        <f>+E11+E12</f>
        <v>33625</v>
      </c>
      <c r="F13" s="1338">
        <f t="shared" ref="F13:K13" si="1">+F11+F12</f>
        <v>28864</v>
      </c>
      <c r="G13" s="1338">
        <f t="shared" si="1"/>
        <v>33625</v>
      </c>
      <c r="H13" s="1338">
        <f t="shared" si="1"/>
        <v>0</v>
      </c>
      <c r="I13" s="1338">
        <f t="shared" si="1"/>
        <v>28864</v>
      </c>
      <c r="J13" s="1338">
        <f t="shared" si="1"/>
        <v>0</v>
      </c>
      <c r="K13" s="1338">
        <f t="shared" si="1"/>
        <v>0</v>
      </c>
      <c r="L13" s="1335">
        <f t="shared" si="0"/>
        <v>62489</v>
      </c>
      <c r="M13" s="1338"/>
    </row>
    <row r="14" spans="2:14" ht="20.100000000000001" customHeight="1" x14ac:dyDescent="0.2">
      <c r="B14" s="1332" t="s">
        <v>2178</v>
      </c>
      <c r="C14" s="1336">
        <v>10.555</v>
      </c>
      <c r="D14" s="1337" t="s">
        <v>2169</v>
      </c>
      <c r="E14" s="1338">
        <v>0</v>
      </c>
      <c r="F14" s="1338">
        <v>50486</v>
      </c>
      <c r="G14" s="1338">
        <v>0</v>
      </c>
      <c r="H14" s="1338">
        <v>0</v>
      </c>
      <c r="I14" s="1338">
        <v>50486</v>
      </c>
      <c r="J14" s="1338">
        <v>0</v>
      </c>
      <c r="K14" s="1338">
        <v>0</v>
      </c>
      <c r="L14" s="1335">
        <f t="shared" si="0"/>
        <v>50486</v>
      </c>
      <c r="M14" s="1338"/>
    </row>
    <row r="15" spans="2:14" ht="20.100000000000001" customHeight="1" x14ac:dyDescent="0.2">
      <c r="B15" s="1332" t="s">
        <v>2177</v>
      </c>
      <c r="C15" s="1336">
        <v>10.555</v>
      </c>
      <c r="D15" s="1337" t="s">
        <v>2169</v>
      </c>
      <c r="E15" s="1338">
        <v>0</v>
      </c>
      <c r="F15" s="1338">
        <v>15932</v>
      </c>
      <c r="G15" s="1338">
        <v>0</v>
      </c>
      <c r="H15" s="1338">
        <v>0</v>
      </c>
      <c r="I15" s="1338">
        <v>15932</v>
      </c>
      <c r="J15" s="1338">
        <v>0</v>
      </c>
      <c r="K15" s="1338">
        <v>0</v>
      </c>
      <c r="L15" s="1335">
        <f t="shared" si="0"/>
        <v>15932</v>
      </c>
      <c r="M15" s="1338"/>
    </row>
    <row r="16" spans="2:14" ht="20.100000000000001" customHeight="1" x14ac:dyDescent="0.2">
      <c r="B16" s="1332" t="s">
        <v>2154</v>
      </c>
      <c r="C16" s="1336"/>
      <c r="D16" s="1337"/>
      <c r="E16" s="1338">
        <f>+E14+E15</f>
        <v>0</v>
      </c>
      <c r="F16" s="1338">
        <f t="shared" ref="F16:K16" si="2">+F14+F15</f>
        <v>66418</v>
      </c>
      <c r="G16" s="1338">
        <f t="shared" si="2"/>
        <v>0</v>
      </c>
      <c r="H16" s="1338">
        <f t="shared" si="2"/>
        <v>0</v>
      </c>
      <c r="I16" s="1338">
        <f t="shared" si="2"/>
        <v>66418</v>
      </c>
      <c r="J16" s="1338">
        <f t="shared" si="2"/>
        <v>0</v>
      </c>
      <c r="K16" s="1338">
        <f t="shared" si="2"/>
        <v>0</v>
      </c>
      <c r="L16" s="1335">
        <f t="shared" si="0"/>
        <v>66418</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t="s">
        <v>2166</v>
      </c>
      <c r="C18" s="1336"/>
      <c r="D18" s="1337"/>
      <c r="E18" s="1338">
        <f>+E16+E13+' SEFA (3)'!E25+' SEFA (3)'!E22+' SEFA (3)'!E19</f>
        <v>706433</v>
      </c>
      <c r="F18" s="1338">
        <f>+F16+F13+' SEFA (3)'!F25+' SEFA (3)'!F22+' SEFA (3)'!F19</f>
        <v>931516</v>
      </c>
      <c r="G18" s="1338">
        <f>+G16+G13+' SEFA (3)'!G25+' SEFA (3)'!G22+' SEFA (3)'!G19</f>
        <v>706032</v>
      </c>
      <c r="H18" s="1338">
        <f>+H16+H13+' SEFA (3)'!H25+' SEFA (3)'!H22+' SEFA (3)'!H19</f>
        <v>0</v>
      </c>
      <c r="I18" s="1338">
        <f>+I16+I13+' SEFA (3)'!I25+' SEFA (3)'!I22+' SEFA (3)'!I19</f>
        <v>931516</v>
      </c>
      <c r="J18" s="1338">
        <f>+J16+J13+' SEFA (3)'!J25+' SEFA (3)'!J22+' SEFA (3)'!J19</f>
        <v>0</v>
      </c>
      <c r="K18" s="1338">
        <f>+K16+K13+' SEFA (3)'!K25+' SEFA (3)'!K22+' SEFA (3)'!K19</f>
        <v>0</v>
      </c>
      <c r="L18" s="1335">
        <f t="shared" si="0"/>
        <v>1637548</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t="s">
        <v>2175</v>
      </c>
      <c r="C20" s="1336"/>
      <c r="D20" s="1337"/>
      <c r="E20" s="1338">
        <f>+E18+' SEFA (3)'!E15+' SEFA (2)'!E21</f>
        <v>1640313</v>
      </c>
      <c r="F20" s="1338">
        <f>+F18+' SEFA (3)'!F15+' SEFA (2)'!F21</f>
        <v>2176119</v>
      </c>
      <c r="G20" s="1338">
        <f>+G18+' SEFA (3)'!G15+' SEFA (2)'!G21</f>
        <v>1778109</v>
      </c>
      <c r="H20" s="1338">
        <f>+H18+' SEFA (3)'!H15+' SEFA (2)'!H21</f>
        <v>0</v>
      </c>
      <c r="I20" s="1338">
        <f>+I18+' SEFA (3)'!I15+' SEFA (2)'!I21</f>
        <v>2180610</v>
      </c>
      <c r="J20" s="1338">
        <f>+J18+' SEFA (3)'!J15+' SEFA (2)'!J21</f>
        <v>0</v>
      </c>
      <c r="K20" s="1338">
        <f>+K18+' SEFA (3)'!K15+' SEFA (2)'!K21</f>
        <v>14487</v>
      </c>
      <c r="L20" s="1335">
        <f t="shared" si="0"/>
        <v>3973206</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1837</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topLeftCell="A16" zoomScale="120" zoomScaleNormal="120" workbookViewId="0">
      <selection activeCell="I37" sqref="I37"/>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Centralia SD 135</v>
      </c>
      <c r="B1" s="2446"/>
      <c r="C1" s="2446"/>
      <c r="D1" s="2446"/>
      <c r="E1" s="2446"/>
      <c r="F1" s="2446"/>
    </row>
    <row r="2" spans="1:7" ht="13.5" customHeight="1" x14ac:dyDescent="0.2">
      <c r="A2" s="2442">
        <f>'Single Audit Cover'!E7</f>
        <v>13058135002</v>
      </c>
      <c r="B2" s="2442"/>
      <c r="C2" s="2442"/>
      <c r="D2" s="2442"/>
      <c r="E2" s="2442"/>
      <c r="F2" s="2442"/>
      <c r="G2" s="1270"/>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1" t="s">
        <v>1728</v>
      </c>
      <c r="C6" s="317"/>
      <c r="D6" s="317"/>
    </row>
    <row r="7" spans="1:7" ht="60.95" customHeight="1" x14ac:dyDescent="0.2">
      <c r="A7" s="2445" t="s">
        <v>2182</v>
      </c>
      <c r="B7" s="2445"/>
      <c r="C7" s="2445"/>
      <c r="D7" s="2445"/>
      <c r="E7" s="2445"/>
      <c r="F7" s="2445"/>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1547</v>
      </c>
      <c r="B10" s="1275"/>
      <c r="C10" s="1276"/>
      <c r="D10" s="1275" t="s">
        <v>1548</v>
      </c>
      <c r="E10" s="1276" t="s">
        <v>2098</v>
      </c>
      <c r="F10" s="1275" t="s">
        <v>99</v>
      </c>
      <c r="G10" s="1273"/>
    </row>
    <row r="11" spans="1:7" ht="12" customHeight="1" x14ac:dyDescent="0.2">
      <c r="A11" s="1274"/>
      <c r="B11" s="1275"/>
      <c r="C11" s="1900"/>
      <c r="D11" s="1275"/>
      <c r="E11" s="1900"/>
      <c r="F11" s="1275"/>
      <c r="G11" s="1273"/>
    </row>
    <row r="12" spans="1:7" x14ac:dyDescent="0.2">
      <c r="A12" s="1271" t="s">
        <v>1587</v>
      </c>
      <c r="C12" s="1255"/>
      <c r="D12" s="1255"/>
    </row>
    <row r="13" spans="1:7" ht="15" customHeight="1" x14ac:dyDescent="0.2">
      <c r="A13" s="2445" t="s">
        <v>2183</v>
      </c>
      <c r="B13" s="2445"/>
      <c r="C13" s="2445"/>
      <c r="D13" s="2445"/>
      <c r="E13" s="2445"/>
      <c r="F13" s="2445"/>
    </row>
    <row r="14" spans="1:7" ht="9.75" customHeight="1" x14ac:dyDescent="0.2">
      <c r="C14" s="1255"/>
      <c r="D14" s="1255"/>
    </row>
    <row r="15" spans="1:7" ht="13.5" customHeight="1" x14ac:dyDescent="0.2">
      <c r="C15" s="1844" t="s">
        <v>1270</v>
      </c>
      <c r="D15" s="2450" t="s">
        <v>1269</v>
      </c>
      <c r="E15" s="2450"/>
      <c r="F15" s="2450"/>
    </row>
    <row r="16" spans="1:7" ht="13.5" customHeight="1" x14ac:dyDescent="0.2">
      <c r="A16" s="1277"/>
      <c r="B16" s="1271" t="s">
        <v>1268</v>
      </c>
      <c r="C16" s="1844" t="s">
        <v>1267</v>
      </c>
      <c r="D16" s="2451" t="s">
        <v>1588</v>
      </c>
      <c r="E16" s="2451"/>
      <c r="F16" s="2451"/>
    </row>
    <row r="17" spans="1:6" ht="20.45" customHeight="1" x14ac:dyDescent="0.2">
      <c r="A17" s="1278"/>
      <c r="B17" s="1279" t="s">
        <v>2184</v>
      </c>
      <c r="C17" s="1280"/>
      <c r="D17" s="2449"/>
      <c r="E17" s="2449"/>
      <c r="F17" s="2449"/>
    </row>
    <row r="18" spans="1:6" ht="20.65" customHeight="1" x14ac:dyDescent="0.2">
      <c r="A18" s="1278"/>
      <c r="B18" s="1279"/>
      <c r="C18" s="1280"/>
      <c r="D18" s="2449"/>
      <c r="E18" s="2449"/>
      <c r="F18" s="2449"/>
    </row>
    <row r="19" spans="1:6" ht="20.65" customHeight="1" x14ac:dyDescent="0.2">
      <c r="A19" s="1278"/>
      <c r="B19" s="1279"/>
      <c r="C19" s="1280"/>
      <c r="D19" s="2449"/>
      <c r="E19" s="2449"/>
      <c r="F19" s="2449"/>
    </row>
    <row r="20" spans="1:6" ht="20.65" customHeight="1" x14ac:dyDescent="0.2">
      <c r="A20" s="1278"/>
      <c r="B20" s="1279"/>
      <c r="C20" s="1280"/>
      <c r="D20" s="2449"/>
      <c r="E20" s="2449"/>
      <c r="F20" s="2449"/>
    </row>
    <row r="21" spans="1:6" ht="20.65" customHeight="1" x14ac:dyDescent="0.2">
      <c r="A21" s="1278"/>
      <c r="B21" s="1279"/>
      <c r="C21" s="1280"/>
      <c r="D21" s="2449"/>
      <c r="E21" s="2449"/>
      <c r="F21" s="2449"/>
    </row>
    <row r="22" spans="1:6" ht="20.65" customHeight="1" x14ac:dyDescent="0.2">
      <c r="A22" s="1278"/>
      <c r="B22" s="1279"/>
      <c r="C22" s="1280"/>
      <c r="D22" s="2449"/>
      <c r="E22" s="2449"/>
      <c r="F22" s="2449"/>
    </row>
    <row r="23" spans="1:6" ht="20.65" customHeight="1" x14ac:dyDescent="0.2">
      <c r="A23" s="1278"/>
      <c r="B23" s="1279"/>
      <c r="C23" s="1280"/>
      <c r="D23" s="2449"/>
      <c r="E23" s="2449"/>
      <c r="F23" s="2449"/>
    </row>
    <row r="24" spans="1:6" ht="20.65" customHeight="1" x14ac:dyDescent="0.2">
      <c r="A24" s="1278"/>
      <c r="B24" s="1279"/>
      <c r="C24" s="1280"/>
      <c r="D24" s="2449"/>
      <c r="E24" s="2449"/>
      <c r="F24" s="2449"/>
    </row>
    <row r="25" spans="1:6" ht="20.65" customHeight="1" x14ac:dyDescent="0.2">
      <c r="A25" s="1278"/>
      <c r="B25" s="1279"/>
      <c r="C25" s="1280"/>
      <c r="D25" s="2449"/>
      <c r="E25" s="2449"/>
      <c r="F25" s="2449"/>
    </row>
    <row r="26" spans="1:6" ht="20.65" customHeight="1" x14ac:dyDescent="0.2">
      <c r="A26" s="1278"/>
      <c r="B26" s="1279"/>
      <c r="C26" s="1280"/>
      <c r="D26" s="2449"/>
      <c r="E26" s="2449"/>
      <c r="F26" s="2449"/>
    </row>
    <row r="27" spans="1:6" ht="20.65" customHeight="1" x14ac:dyDescent="0.2">
      <c r="A27" s="1278"/>
      <c r="B27" s="1279"/>
      <c r="C27" s="1280"/>
      <c r="D27" s="2449"/>
      <c r="E27" s="2449"/>
      <c r="F27" s="2449"/>
    </row>
    <row r="28" spans="1:6" ht="20.65" customHeight="1" x14ac:dyDescent="0.2">
      <c r="A28" s="1278"/>
      <c r="B28" s="1279"/>
      <c r="C28" s="1280"/>
      <c r="D28" s="2449"/>
      <c r="E28" s="2449"/>
      <c r="F28" s="2449"/>
    </row>
    <row r="29" spans="1:6" ht="20.65" customHeight="1" x14ac:dyDescent="0.2">
      <c r="A29" s="1278"/>
      <c r="B29" s="1279"/>
      <c r="C29" s="1280"/>
      <c r="D29" s="2449"/>
      <c r="E29" s="2449"/>
      <c r="F29" s="2449"/>
    </row>
    <row r="30" spans="1:6" ht="12" customHeight="1" x14ac:dyDescent="0.2">
      <c r="A30" s="328"/>
      <c r="B30" s="328"/>
      <c r="C30" s="1460"/>
      <c r="D30" s="1901"/>
      <c r="E30" s="1281"/>
    </row>
    <row r="31" spans="1:6" ht="12" customHeight="1" x14ac:dyDescent="0.2">
      <c r="A31" s="1282" t="s">
        <v>1549</v>
      </c>
      <c r="B31" s="328"/>
      <c r="C31" s="1460"/>
      <c r="D31" s="1901"/>
      <c r="E31" s="1281"/>
    </row>
    <row r="32" spans="1:6" ht="30" customHeight="1" x14ac:dyDescent="0.2">
      <c r="A32" s="2453" t="s">
        <v>2190</v>
      </c>
      <c r="B32" s="2453"/>
      <c r="C32" s="2453"/>
      <c r="D32" s="2453"/>
      <c r="E32" s="2453"/>
      <c r="F32" s="2453"/>
    </row>
    <row r="33" spans="1:6" ht="13.5" customHeight="1" x14ac:dyDescent="0.2">
      <c r="A33" s="328" t="s">
        <v>1434</v>
      </c>
      <c r="B33" s="328"/>
      <c r="C33" s="1283">
        <f>' SEFA (4)'!F14</f>
        <v>50486</v>
      </c>
      <c r="D33" s="1901"/>
      <c r="E33" s="1281"/>
    </row>
    <row r="34" spans="1:6" ht="13.5" customHeight="1" x14ac:dyDescent="0.2">
      <c r="A34" s="328" t="s">
        <v>1835</v>
      </c>
      <c r="B34" s="328"/>
      <c r="C34" s="1284">
        <f>' SEFA (4)'!F15</f>
        <v>15932</v>
      </c>
      <c r="D34" s="1901" t="s">
        <v>1589</v>
      </c>
      <c r="E34" s="2454">
        <f>+C33+C34</f>
        <v>66418</v>
      </c>
      <c r="F34" s="2455"/>
    </row>
    <row r="35" spans="1:6" ht="12" customHeight="1" x14ac:dyDescent="0.2">
      <c r="A35" s="328"/>
      <c r="B35" s="328"/>
      <c r="C35" s="1902"/>
      <c r="D35" s="1901"/>
      <c r="E35" s="1285"/>
      <c r="F35" s="1286"/>
    </row>
    <row r="36" spans="1:6" ht="13.5" customHeight="1" x14ac:dyDescent="0.2">
      <c r="A36" s="1282" t="s">
        <v>1550</v>
      </c>
      <c r="B36" s="328"/>
      <c r="C36" s="1460"/>
      <c r="D36" s="1901"/>
      <c r="E36" s="1281"/>
    </row>
    <row r="37" spans="1:6" ht="14.25" customHeight="1" x14ac:dyDescent="0.2">
      <c r="A37" s="328" t="s">
        <v>1484</v>
      </c>
      <c r="B37" s="328"/>
      <c r="C37" s="1903"/>
      <c r="D37" s="1901"/>
      <c r="E37" s="1281"/>
    </row>
    <row r="38" spans="1:6" ht="14.25" customHeight="1" x14ac:dyDescent="0.2">
      <c r="A38" s="328"/>
      <c r="B38" s="328" t="s">
        <v>1435</v>
      </c>
      <c r="C38" s="1287"/>
      <c r="D38" s="1901"/>
      <c r="E38" s="1281"/>
    </row>
    <row r="39" spans="1:6" ht="14.25" customHeight="1" x14ac:dyDescent="0.2">
      <c r="A39" s="328"/>
      <c r="B39" s="328" t="s">
        <v>1436</v>
      </c>
      <c r="C39" s="1287"/>
      <c r="D39" s="1901"/>
      <c r="E39" s="1281"/>
    </row>
    <row r="40" spans="1:6" ht="14.25" customHeight="1" x14ac:dyDescent="0.2">
      <c r="A40" s="328"/>
      <c r="B40" s="328" t="s">
        <v>1437</v>
      </c>
      <c r="C40" s="1287"/>
      <c r="D40" s="1901"/>
      <c r="E40" s="1281"/>
    </row>
    <row r="41" spans="1:6" ht="14.25" customHeight="1" x14ac:dyDescent="0.2">
      <c r="A41" s="328"/>
      <c r="B41" s="328" t="s">
        <v>1438</v>
      </c>
      <c r="C41" s="1287"/>
      <c r="D41" s="1901"/>
      <c r="E41" s="1281"/>
    </row>
    <row r="42" spans="1:6" ht="14.25" customHeight="1" x14ac:dyDescent="0.2">
      <c r="A42" s="328" t="s">
        <v>1439</v>
      </c>
      <c r="B42" s="328"/>
      <c r="C42" s="1899"/>
      <c r="D42" s="1901"/>
      <c r="E42" s="1281"/>
    </row>
    <row r="43" spans="1:6" ht="14.25" customHeight="1" x14ac:dyDescent="0.2">
      <c r="A43" s="328" t="s">
        <v>1440</v>
      </c>
      <c r="B43" s="328"/>
      <c r="C43" s="1288" t="s">
        <v>383</v>
      </c>
      <c r="D43" s="1901"/>
      <c r="E43" s="1281"/>
    </row>
    <row r="44" spans="1:6" ht="14.25" customHeight="1" x14ac:dyDescent="0.2">
      <c r="A44" s="328"/>
      <c r="B44" s="328"/>
      <c r="C44" s="1903" t="s">
        <v>1441</v>
      </c>
      <c r="D44" s="1901"/>
      <c r="E44" s="1281"/>
    </row>
    <row r="45" spans="1:6" ht="13.5" customHeight="1" x14ac:dyDescent="0.2">
      <c r="B45" s="322"/>
      <c r="C45" s="1289"/>
      <c r="D45" s="1289"/>
    </row>
    <row r="46" spans="1:6" x14ac:dyDescent="0.2">
      <c r="A46" s="1290" t="s">
        <v>1730</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6" t="s">
        <v>1590</v>
      </c>
      <c r="C49" s="2456"/>
      <c r="D49" s="2456"/>
      <c r="E49" s="1394"/>
    </row>
    <row r="50" spans="1:5" s="1295" customFormat="1" ht="3.75" customHeight="1" x14ac:dyDescent="0.2">
      <c r="A50" s="1294"/>
      <c r="B50" s="1843"/>
      <c r="C50" s="1843"/>
      <c r="D50" s="1843"/>
      <c r="E50" s="1394"/>
    </row>
    <row r="51" spans="1:5" s="1295" customFormat="1" ht="20.25" customHeight="1" x14ac:dyDescent="0.2">
      <c r="A51" s="1296">
        <v>6</v>
      </c>
      <c r="B51" s="2452" t="s">
        <v>1551</v>
      </c>
      <c r="C51" s="2452"/>
      <c r="D51" s="2452"/>
    </row>
    <row r="52" spans="1:5" ht="14.25" customHeight="1" x14ac:dyDescent="0.2">
      <c r="A52" s="1296"/>
      <c r="B52" s="2452"/>
      <c r="C52" s="2452"/>
      <c r="D52" s="245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20" zoomScale="110" zoomScaleNormal="110" workbookViewId="0">
      <selection activeCell="I50" sqref="I50"/>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Centralia SD 135</v>
      </c>
      <c r="C1" s="2462"/>
      <c r="D1" s="2462"/>
      <c r="E1" s="2462"/>
      <c r="F1" s="2462"/>
      <c r="G1" s="2462"/>
      <c r="H1" s="2462"/>
      <c r="I1" s="2462"/>
      <c r="J1" s="1404"/>
    </row>
    <row r="2" spans="2:10" s="317" customFormat="1" ht="12.75" customHeight="1" x14ac:dyDescent="0.2">
      <c r="B2" s="2463">
        <f>'Single Audit Cover'!E7</f>
        <v>13058135002</v>
      </c>
      <c r="C2" s="2464"/>
      <c r="D2" s="2464"/>
      <c r="E2" s="2464"/>
      <c r="F2" s="2464"/>
      <c r="G2" s="2464"/>
      <c r="H2" s="2464"/>
      <c r="I2" s="2464"/>
      <c r="J2" s="1404"/>
    </row>
    <row r="3" spans="2:10" s="317" customFormat="1" ht="12.75" customHeight="1" x14ac:dyDescent="0.2">
      <c r="B3" s="2465" t="s">
        <v>1285</v>
      </c>
      <c r="C3" s="2466"/>
      <c r="D3" s="2466"/>
      <c r="E3" s="2466"/>
      <c r="F3" s="2466"/>
      <c r="G3" s="2466"/>
      <c r="H3" s="2466"/>
      <c r="I3" s="2466"/>
      <c r="J3" s="1405"/>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5" t="s">
        <v>1284</v>
      </c>
      <c r="C7" s="2466"/>
      <c r="D7" s="2466"/>
      <c r="E7" s="2466"/>
      <c r="F7" s="2466"/>
      <c r="G7" s="2466"/>
      <c r="H7" s="2466"/>
      <c r="I7" s="2466"/>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67" t="s">
        <v>2185</v>
      </c>
      <c r="D11" s="2467"/>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t="s">
        <v>2098</v>
      </c>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t="s">
        <v>2098</v>
      </c>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t="s">
        <v>2098</v>
      </c>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t="s">
        <v>2098</v>
      </c>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t="s">
        <v>2098</v>
      </c>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68"/>
      <c r="E29" s="2468"/>
      <c r="F29" s="2468"/>
      <c r="G29" s="2468"/>
      <c r="H29" s="2468"/>
      <c r="I29" s="2468"/>
    </row>
    <row r="30" spans="2:9" s="317" customFormat="1" x14ac:dyDescent="0.2">
      <c r="B30" s="1363"/>
      <c r="C30" s="322"/>
      <c r="D30" s="1415" t="s">
        <v>1745</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t="s">
        <v>2098</v>
      </c>
      <c r="H33" s="1295" t="s">
        <v>99</v>
      </c>
    </row>
    <row r="35" spans="2:9" x14ac:dyDescent="0.2">
      <c r="B35" s="1423" t="s">
        <v>1746</v>
      </c>
      <c r="C35" s="1424"/>
      <c r="D35" s="1262"/>
    </row>
    <row r="36" spans="2:9" ht="6" customHeight="1" x14ac:dyDescent="0.2">
      <c r="B36" s="1423"/>
      <c r="C36" s="1424"/>
      <c r="D36" s="1262"/>
    </row>
    <row r="37" spans="2:9" ht="17.25" customHeight="1" x14ac:dyDescent="0.2">
      <c r="B37" s="1425" t="s">
        <v>1747</v>
      </c>
      <c r="C37" s="2469" t="s">
        <v>1748</v>
      </c>
      <c r="D37" s="2470"/>
      <c r="E37" s="2470"/>
      <c r="F37" s="2471"/>
      <c r="G37" s="2469" t="s">
        <v>1592</v>
      </c>
      <c r="H37" s="2470"/>
      <c r="I37" s="2471"/>
    </row>
    <row r="38" spans="2:9" ht="16.5" customHeight="1" x14ac:dyDescent="0.2">
      <c r="B38" s="1426" t="s">
        <v>2187</v>
      </c>
      <c r="C38" s="2457" t="s">
        <v>2186</v>
      </c>
      <c r="D38" s="2458"/>
      <c r="E38" s="2458"/>
      <c r="F38" s="2459"/>
      <c r="G38" s="2472">
        <f>+' SEFA (4)'!I16+' SEFA (3)'!I25+' SEFA (3)'!I22+' SEFA (3)'!I19</f>
        <v>902652</v>
      </c>
      <c r="H38" s="2473"/>
      <c r="I38" s="2474"/>
    </row>
    <row r="39" spans="2:9" ht="16.5" customHeight="1" x14ac:dyDescent="0.2">
      <c r="B39" s="1426"/>
      <c r="C39" s="2457"/>
      <c r="D39" s="2458"/>
      <c r="E39" s="2458"/>
      <c r="F39" s="2459"/>
      <c r="G39" s="2460"/>
      <c r="H39" s="2460"/>
      <c r="I39" s="2460"/>
    </row>
    <row r="40" spans="2:9" ht="16.5" customHeight="1" x14ac:dyDescent="0.2">
      <c r="B40" s="1426"/>
      <c r="C40" s="2457"/>
      <c r="D40" s="2458"/>
      <c r="E40" s="2458"/>
      <c r="F40" s="2459"/>
      <c r="G40" s="2460"/>
      <c r="H40" s="2460"/>
      <c r="I40" s="2460"/>
    </row>
    <row r="41" spans="2:9" ht="16.5" customHeight="1" x14ac:dyDescent="0.2">
      <c r="B41" s="1426"/>
      <c r="C41" s="2457"/>
      <c r="D41" s="2458"/>
      <c r="E41" s="2458"/>
      <c r="F41" s="2459"/>
      <c r="G41" s="2460"/>
      <c r="H41" s="2460"/>
      <c r="I41" s="2460"/>
    </row>
    <row r="42" spans="2:9" ht="16.5" customHeight="1" x14ac:dyDescent="0.2">
      <c r="B42" s="1426"/>
      <c r="C42" s="2457"/>
      <c r="D42" s="2458"/>
      <c r="E42" s="2458"/>
      <c r="F42" s="2459"/>
      <c r="G42" s="2460"/>
      <c r="H42" s="2460"/>
      <c r="I42" s="2460"/>
    </row>
    <row r="43" spans="2:9" ht="16.5" customHeight="1" x14ac:dyDescent="0.2">
      <c r="B43" s="1426"/>
      <c r="C43" s="2475" t="s">
        <v>1593</v>
      </c>
      <c r="D43" s="2476"/>
      <c r="E43" s="2476"/>
      <c r="F43" s="2477"/>
      <c r="G43" s="2478">
        <f>SUM(G38:I42)</f>
        <v>902652</v>
      </c>
      <c r="H43" s="2478"/>
      <c r="I43" s="2478"/>
    </row>
    <row r="44" spans="2:9" ht="12.75" customHeight="1" x14ac:dyDescent="0.2"/>
    <row r="45" spans="2:9" ht="12.75" customHeight="1" x14ac:dyDescent="0.2">
      <c r="B45" s="1417" t="s">
        <v>1838</v>
      </c>
      <c r="D45" s="2479">
        <f>' SEFA (4)'!I20</f>
        <v>2180610</v>
      </c>
      <c r="E45" s="2480"/>
    </row>
    <row r="46" spans="2:9" ht="5.25" customHeight="1" x14ac:dyDescent="0.2">
      <c r="B46" s="1427"/>
      <c r="D46" s="1428"/>
      <c r="E46" s="1429"/>
    </row>
    <row r="47" spans="2:9" ht="12.75" customHeight="1" x14ac:dyDescent="0.2">
      <c r="B47" s="1295" t="s">
        <v>1594</v>
      </c>
      <c r="C47" s="1295"/>
      <c r="D47" s="1430">
        <f>+G43/D45</f>
        <v>0.41394472188974646</v>
      </c>
      <c r="E47" s="1431"/>
      <c r="F47" s="1432"/>
      <c r="I47" s="1433"/>
    </row>
    <row r="48" spans="2:9" ht="9.9499999999999993" customHeight="1" x14ac:dyDescent="0.2"/>
    <row r="49" spans="1:9" x14ac:dyDescent="0.2">
      <c r="B49" s="1363" t="s">
        <v>1273</v>
      </c>
      <c r="C49" s="1277"/>
      <c r="D49" s="1277"/>
      <c r="E49" s="2481">
        <v>750000</v>
      </c>
      <c r="F49" s="2481"/>
      <c r="G49" s="2481"/>
      <c r="H49" s="322"/>
    </row>
    <row r="51" spans="1:9" ht="13.5" customHeight="1" x14ac:dyDescent="0.2">
      <c r="B51" s="1363" t="s">
        <v>1272</v>
      </c>
      <c r="C51" s="1277"/>
      <c r="E51" s="1420" t="s">
        <v>2098</v>
      </c>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1749</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1750</v>
      </c>
      <c r="C58" s="1446"/>
      <c r="D58" s="1446"/>
    </row>
    <row r="59" spans="1:9" s="1443" customFormat="1" ht="3.95" customHeight="1" x14ac:dyDescent="0.2">
      <c r="A59" s="1440"/>
      <c r="B59" s="1445"/>
      <c r="C59" s="1446"/>
      <c r="D59" s="1446"/>
    </row>
    <row r="60" spans="1:9" s="1443" customFormat="1" ht="13.5" customHeight="1" x14ac:dyDescent="0.2">
      <c r="A60" s="1440"/>
      <c r="B60" s="1445" t="s">
        <v>1751</v>
      </c>
      <c r="C60" s="1446"/>
      <c r="D60" s="1446"/>
    </row>
    <row r="61" spans="1:9" s="1443" customFormat="1" ht="3.95" customHeight="1" x14ac:dyDescent="0.2">
      <c r="A61" s="1440"/>
      <c r="B61" s="1445"/>
      <c r="C61" s="1446"/>
      <c r="D61" s="1446"/>
    </row>
    <row r="62" spans="1:9" s="1443" customFormat="1" ht="12.75" customHeight="1" x14ac:dyDescent="0.2">
      <c r="A62" s="1440"/>
      <c r="B62" s="1445" t="s">
        <v>1752</v>
      </c>
      <c r="C62" s="1446"/>
      <c r="D62" s="1446"/>
    </row>
    <row r="63" spans="1:9" s="1443" customFormat="1" ht="13.5" customHeight="1" x14ac:dyDescent="0.2">
      <c r="A63" s="1440"/>
      <c r="B63" s="1444" t="s">
        <v>1597</v>
      </c>
      <c r="C63" s="1440"/>
      <c r="D63" s="144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Centralia SD 135</v>
      </c>
      <c r="C1" s="2461"/>
      <c r="D1" s="2461"/>
      <c r="E1" s="2461"/>
      <c r="F1" s="2461"/>
      <c r="G1" s="2461"/>
      <c r="H1" s="2461"/>
      <c r="I1" s="2461"/>
      <c r="J1" s="2461"/>
      <c r="K1" s="2461"/>
      <c r="L1" s="1369"/>
      <c r="M1" s="1369"/>
    </row>
    <row r="2" spans="1:13" ht="12" customHeight="1" x14ac:dyDescent="0.2">
      <c r="B2" s="2463">
        <f>'Single Audit Cover'!E7</f>
        <v>13058135002</v>
      </c>
      <c r="C2" s="2463"/>
      <c r="D2" s="2463"/>
      <c r="E2" s="2463"/>
      <c r="F2" s="2463"/>
      <c r="G2" s="2463"/>
      <c r="H2" s="2463"/>
      <c r="I2" s="2463"/>
      <c r="J2" s="2463"/>
      <c r="K2" s="2463"/>
      <c r="L2" s="1370"/>
      <c r="M2" s="1371"/>
    </row>
    <row r="3" spans="1:13" ht="10.35" customHeight="1" x14ac:dyDescent="0.2">
      <c r="B3" s="2484" t="s">
        <v>1285</v>
      </c>
      <c r="C3" s="2484"/>
      <c r="D3" s="2484"/>
      <c r="E3" s="2484"/>
      <c r="F3" s="2484"/>
      <c r="G3" s="2484"/>
      <c r="H3" s="2484"/>
      <c r="I3" s="2484"/>
      <c r="J3" s="2484"/>
      <c r="K3" s="2484"/>
      <c r="L3" s="1372"/>
      <c r="M3" s="1372"/>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5" t="s">
        <v>1296</v>
      </c>
      <c r="C7" s="2485"/>
      <c r="D7" s="2486"/>
      <c r="E7" s="2486"/>
      <c r="F7" s="2486"/>
      <c r="G7" s="2486"/>
      <c r="H7" s="2486"/>
      <c r="I7" s="2486"/>
      <c r="J7" s="2486"/>
      <c r="K7" s="248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1988</v>
      </c>
      <c r="D10" s="1381"/>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3" t="s">
        <v>2188</v>
      </c>
      <c r="C14" s="2483"/>
      <c r="D14" s="2483"/>
      <c r="E14" s="2483"/>
      <c r="F14" s="2483"/>
      <c r="G14" s="2483"/>
      <c r="H14" s="2483"/>
      <c r="I14" s="2483"/>
      <c r="J14" s="2483"/>
      <c r="K14" s="2483"/>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3"/>
      <c r="C17" s="2483"/>
      <c r="D17" s="2483"/>
      <c r="E17" s="2483"/>
      <c r="F17" s="2483"/>
      <c r="G17" s="2483"/>
      <c r="H17" s="2483"/>
      <c r="I17" s="2483"/>
      <c r="J17" s="2483"/>
      <c r="K17" s="2483"/>
      <c r="L17" s="1376"/>
    </row>
    <row r="18" spans="2:12" ht="4.5" customHeight="1" x14ac:dyDescent="0.2">
      <c r="B18" s="1393"/>
      <c r="C18" s="1393"/>
      <c r="L18" s="1376"/>
    </row>
    <row r="19" spans="2:12" s="1277" customFormat="1" ht="13.5" customHeight="1" x14ac:dyDescent="0.2">
      <c r="B19" s="1388" t="s">
        <v>1740</v>
      </c>
      <c r="C19" s="1388"/>
      <c r="D19" s="1389"/>
      <c r="E19" s="1389"/>
      <c r="F19" s="1389"/>
      <c r="G19" s="1390"/>
      <c r="H19" s="1389"/>
      <c r="I19" s="1390"/>
      <c r="J19" s="1389"/>
      <c r="K19" s="1389"/>
      <c r="L19" s="1391"/>
    </row>
    <row r="20" spans="2:12" ht="45.75" customHeight="1" x14ac:dyDescent="0.2">
      <c r="B20" s="2487"/>
      <c r="C20" s="2487"/>
      <c r="D20" s="2483"/>
      <c r="E20" s="2483"/>
      <c r="F20" s="2483"/>
      <c r="G20" s="2483"/>
      <c r="H20" s="2483"/>
      <c r="I20" s="2483"/>
      <c r="J20" s="2483"/>
      <c r="K20" s="2483"/>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3"/>
      <c r="C23" s="2483"/>
      <c r="D23" s="2483"/>
      <c r="E23" s="2483"/>
      <c r="F23" s="2483"/>
      <c r="G23" s="2483"/>
      <c r="H23" s="2483"/>
      <c r="I23" s="2483"/>
      <c r="J23" s="2483"/>
      <c r="K23" s="2483"/>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3"/>
      <c r="C26" s="2483"/>
      <c r="D26" s="2483"/>
      <c r="E26" s="2483"/>
      <c r="F26" s="2483"/>
      <c r="G26" s="2483"/>
      <c r="H26" s="2483"/>
      <c r="I26" s="2483"/>
      <c r="J26" s="2483"/>
      <c r="K26" s="2483"/>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2"/>
      <c r="C29" s="2482"/>
      <c r="D29" s="2483"/>
      <c r="E29" s="2483"/>
      <c r="F29" s="2483"/>
      <c r="G29" s="2483"/>
      <c r="H29" s="2483"/>
      <c r="I29" s="2483"/>
      <c r="J29" s="2483"/>
      <c r="K29" s="2483"/>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482"/>
      <c r="C32" s="2482"/>
      <c r="D32" s="2483"/>
      <c r="E32" s="2483"/>
      <c r="F32" s="2483"/>
      <c r="G32" s="2483"/>
      <c r="H32" s="2483"/>
      <c r="I32" s="2483"/>
      <c r="J32" s="2483"/>
      <c r="K32" s="2483"/>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5" t="s">
        <v>1839</v>
      </c>
      <c r="C36" s="1295"/>
      <c r="L36" s="1376"/>
    </row>
    <row r="37" spans="1:13" ht="9.6" customHeight="1" x14ac:dyDescent="0.2">
      <c r="B37" s="1295" t="s">
        <v>1840</v>
      </c>
      <c r="C37" s="1295"/>
    </row>
    <row r="38" spans="1:13" ht="11.85" customHeight="1" x14ac:dyDescent="0.2">
      <c r="B38" s="1402" t="s">
        <v>1743</v>
      </c>
      <c r="C38" s="1402"/>
    </row>
    <row r="39" spans="1:13" ht="9.6" customHeight="1" x14ac:dyDescent="0.2">
      <c r="B39" s="1295" t="s">
        <v>1286</v>
      </c>
      <c r="C39" s="1295"/>
      <c r="M39" s="1403"/>
    </row>
    <row r="40" spans="1:13" ht="12.6" customHeight="1" x14ac:dyDescent="0.2">
      <c r="B40" s="1402" t="s">
        <v>1744</v>
      </c>
      <c r="C40" s="1402"/>
      <c r="M40" s="1403"/>
    </row>
    <row r="41" spans="1:13" ht="9.6" customHeight="1" x14ac:dyDescent="0.2">
      <c r="B41" s="1295"/>
      <c r="C41" s="1295"/>
      <c r="M41" s="140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Centralia SD 135</v>
      </c>
      <c r="C1" s="2488"/>
      <c r="D1" s="2488"/>
      <c r="E1" s="2488"/>
      <c r="F1" s="2488"/>
      <c r="G1" s="2488"/>
      <c r="H1" s="2488"/>
      <c r="I1" s="2488"/>
      <c r="J1" s="2488"/>
      <c r="K1" s="2488"/>
      <c r="L1" s="1447"/>
    </row>
    <row r="2" spans="1:12" ht="12.75" customHeight="1" x14ac:dyDescent="0.2">
      <c r="B2" s="2489">
        <f>'Single Audit Cover'!E7</f>
        <v>13058135002</v>
      </c>
      <c r="C2" s="2489"/>
      <c r="D2" s="2489"/>
      <c r="E2" s="2489"/>
      <c r="F2" s="2489"/>
      <c r="G2" s="2489"/>
      <c r="H2" s="2489"/>
      <c r="I2" s="2489"/>
      <c r="J2" s="2489"/>
      <c r="K2" s="2489"/>
      <c r="L2" s="1448"/>
    </row>
    <row r="3" spans="1:12" ht="12.75" customHeight="1" x14ac:dyDescent="0.2">
      <c r="B3" s="2484" t="s">
        <v>1285</v>
      </c>
      <c r="C3" s="2484"/>
      <c r="D3" s="2484"/>
      <c r="E3" s="2484"/>
      <c r="F3" s="2484"/>
      <c r="G3" s="2484"/>
      <c r="H3" s="2484"/>
      <c r="I3" s="2484"/>
      <c r="J3" s="2484"/>
      <c r="K3" s="2484"/>
      <c r="L3" s="1372"/>
    </row>
    <row r="4" spans="1:12" ht="12.75" customHeight="1" x14ac:dyDescent="0.2">
      <c r="B4" s="2484" t="str">
        <f>'Single Audit Cover'!A4</f>
        <v>Year Ending June 30, 2019</v>
      </c>
      <c r="C4" s="2484"/>
      <c r="D4" s="2484"/>
      <c r="E4" s="2484"/>
      <c r="F4" s="2484"/>
      <c r="G4" s="2484"/>
      <c r="H4" s="2484"/>
      <c r="I4" s="2484"/>
      <c r="J4" s="2484"/>
      <c r="K4" s="2484"/>
      <c r="L4" s="1372"/>
    </row>
    <row r="5" spans="1:12" ht="5.25" customHeight="1" x14ac:dyDescent="0.2">
      <c r="B5" s="1255" t="s">
        <v>1169</v>
      </c>
      <c r="C5" s="1255"/>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1988</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8"/>
      <c r="G12" s="2468"/>
      <c r="H12" s="2468"/>
      <c r="I12" s="2468"/>
      <c r="J12" s="2468"/>
      <c r="K12" s="2468"/>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91"/>
      <c r="E14" s="2491"/>
      <c r="F14" s="2491"/>
      <c r="H14" s="1457" t="s">
        <v>1303</v>
      </c>
      <c r="I14" s="2492"/>
      <c r="J14" s="2492"/>
      <c r="K14" s="2492"/>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92"/>
      <c r="E16" s="2492"/>
      <c r="F16" s="2492"/>
      <c r="G16" s="2492"/>
      <c r="H16" s="2492"/>
      <c r="I16" s="2492"/>
      <c r="J16" s="2492"/>
      <c r="K16" s="2492"/>
      <c r="L16" s="322"/>
    </row>
    <row r="17" spans="2:12" ht="13.5" customHeight="1" x14ac:dyDescent="0.2">
      <c r="B17" s="1382" t="s">
        <v>1301</v>
      </c>
      <c r="C17" s="1382"/>
      <c r="D17" s="2493"/>
      <c r="E17" s="2493"/>
      <c r="F17" s="2493"/>
      <c r="G17" s="2493"/>
      <c r="H17" s="2493"/>
      <c r="I17" s="2493"/>
      <c r="J17" s="2493"/>
      <c r="K17" s="2493"/>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83" t="s">
        <v>2188</v>
      </c>
      <c r="C20" s="2483"/>
      <c r="D20" s="2483"/>
      <c r="E20" s="2483"/>
      <c r="F20" s="2483"/>
      <c r="G20" s="2483"/>
      <c r="H20" s="2483"/>
      <c r="I20" s="2483"/>
      <c r="J20" s="2483"/>
      <c r="K20" s="2483"/>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1" t="str">
        <f>'Single Audit Cover'!A7</f>
        <v>Centralia SD 135</v>
      </c>
      <c r="C1" s="2461"/>
      <c r="D1" s="2461"/>
      <c r="E1" s="1467"/>
    </row>
    <row r="2" spans="2:5" s="1277" customFormat="1" ht="12.75" customHeight="1" x14ac:dyDescent="0.2">
      <c r="B2" s="2463">
        <f>'Single Audit Cover'!E7</f>
        <v>13058135002</v>
      </c>
      <c r="C2" s="2463"/>
      <c r="D2" s="2463"/>
      <c r="E2" s="1468"/>
    </row>
    <row r="3" spans="2:5" ht="12.75" customHeight="1" x14ac:dyDescent="0.2">
      <c r="B3" s="2484" t="s">
        <v>1763</v>
      </c>
      <c r="C3" s="2484"/>
      <c r="D3" s="2484"/>
      <c r="E3" s="1269"/>
    </row>
    <row r="4" spans="2:5" s="1277" customFormat="1" ht="12.75" customHeight="1" x14ac:dyDescent="0.2">
      <c r="B4" s="2494" t="str">
        <f>'Single Audit Cover'!A4</f>
        <v>Year Ending June 30, 2019</v>
      </c>
      <c r="C4" s="2494"/>
      <c r="D4" s="2494"/>
      <c r="E4" s="1469"/>
    </row>
    <row r="5" spans="2:5" s="1277" customFormat="1" ht="40.15" customHeight="1" x14ac:dyDescent="0.2">
      <c r="B5" s="1470" t="s">
        <v>1764</v>
      </c>
      <c r="C5" s="328"/>
      <c r="D5" s="328"/>
      <c r="E5" s="328"/>
    </row>
    <row r="6" spans="2:5" s="1277" customFormat="1" ht="13.5" customHeight="1" x14ac:dyDescent="0.2">
      <c r="B6" s="1471" t="s">
        <v>1315</v>
      </c>
      <c r="C6" s="1471" t="s">
        <v>1314</v>
      </c>
      <c r="D6" s="1471" t="s">
        <v>1765</v>
      </c>
    </row>
    <row r="7" spans="2:5" ht="13.5" customHeight="1" x14ac:dyDescent="0.2">
      <c r="B7" s="1472" t="s">
        <v>2189</v>
      </c>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1766</v>
      </c>
    </row>
    <row r="46" spans="2:5" ht="12.2" customHeight="1" x14ac:dyDescent="0.2">
      <c r="B46" s="1481" t="s">
        <v>1767</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124162421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1.6157600000000001E-2</v>
      </c>
      <c r="E10" s="356" t="s">
        <v>1005</v>
      </c>
      <c r="F10" s="355">
        <v>2.4935000000000001E-3</v>
      </c>
      <c r="G10" s="356" t="s">
        <v>1005</v>
      </c>
      <c r="H10" s="355">
        <v>1.1969000000000001E-3</v>
      </c>
      <c r="I10" s="356" t="s">
        <v>1006</v>
      </c>
      <c r="J10" s="1730">
        <f>ROUND(D10+F10+H10,5)</f>
        <v>1.985E-2</v>
      </c>
      <c r="K10" s="222"/>
      <c r="L10" s="355">
        <v>4.9870000000000003E-4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13374855</v>
      </c>
      <c r="E16" s="356"/>
      <c r="F16" s="1731">
        <f>SUM('Acct Summary 7-8'!C17,'Acct Summary 7-8'!D17,'Acct Summary 7-8'!F17)</f>
        <v>12840833</v>
      </c>
      <c r="G16" s="356"/>
      <c r="H16" s="1731">
        <f>SUM(D16-F16)</f>
        <v>534022</v>
      </c>
      <c r="I16" s="222"/>
      <c r="J16" s="1731">
        <f>SUM('Acct Summary 7-8'!C81,'Acct Summary 7-8'!D81,'Acct Summary 7-8'!F81,'Acct Summary 7-8'!I81)</f>
        <v>5731218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2098</v>
      </c>
      <c r="C31" s="367" t="s">
        <v>586</v>
      </c>
      <c r="D31" s="237" t="s">
        <v>1072</v>
      </c>
      <c r="E31" s="222"/>
      <c r="F31" s="222"/>
      <c r="G31" s="363"/>
      <c r="H31" s="1733">
        <f>IF(B31="X",(J7*0.069),IF(B32="X",(J7*0.138),"Enter x in a.or b."))</f>
        <v>8567207.0490000006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3980723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D28" sqref="D2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Centralia SD 135</v>
      </c>
      <c r="E7" s="391"/>
      <c r="G7" s="252"/>
      <c r="H7" s="387"/>
      <c r="I7" s="387"/>
      <c r="J7" s="387"/>
      <c r="K7" s="387"/>
      <c r="L7" s="329"/>
      <c r="M7" s="329"/>
      <c r="N7" s="329"/>
      <c r="O7" s="329"/>
      <c r="P7" s="329"/>
    </row>
    <row r="8" spans="1:18" ht="12.75" x14ac:dyDescent="0.2">
      <c r="A8" s="329"/>
      <c r="B8" s="329"/>
      <c r="C8" s="389" t="s">
        <v>1125</v>
      </c>
      <c r="D8" s="392">
        <f>COVER!A13</f>
        <v>13058135002</v>
      </c>
      <c r="E8" s="393"/>
      <c r="G8" s="329"/>
      <c r="H8" s="329"/>
      <c r="I8" s="329"/>
      <c r="J8" s="329"/>
      <c r="K8" s="329"/>
      <c r="L8" s="329"/>
      <c r="M8" s="329"/>
      <c r="N8" s="329"/>
      <c r="O8" s="329"/>
      <c r="P8" s="329"/>
    </row>
    <row r="9" spans="1:18" ht="12.75" x14ac:dyDescent="0.2">
      <c r="A9" s="329"/>
      <c r="B9" s="329"/>
      <c r="C9" s="389" t="s">
        <v>713</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5731218</v>
      </c>
      <c r="I12" s="404"/>
      <c r="J12" s="404"/>
      <c r="K12" s="405">
        <f>TRUNC((H12/H13*100000),5)/100000</f>
        <v>0.42977151210000003</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13335500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-39355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12840833</v>
      </c>
      <c r="I17" s="404"/>
      <c r="J17" s="416"/>
      <c r="K17" s="405">
        <f>TRUNC((H17/H18*100000),5)/100000</f>
        <v>0.96290600269999993</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13335500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-39355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5731218</v>
      </c>
      <c r="I24" s="422"/>
      <c r="J24" s="422"/>
      <c r="K24" s="423">
        <f>TRUNC(((H24/H25*100000)/100000),2)</f>
        <v>160.66999999999999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35668.980560000004</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2094930.44832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3980723</v>
      </c>
      <c r="I32" s="420"/>
      <c r="J32" s="420"/>
      <c r="K32" s="423">
        <f>TRUNC(100-((((H32/H33*100))*100)/100),2)</f>
        <v>53.53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8567207.0490000006</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L14" colorId="8" zoomScaleNormal="110" workbookViewId="0">
      <selection activeCell="N47" sqref="N4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7"/>
      <c r="D3" s="1558"/>
      <c r="E3" s="1558"/>
      <c r="F3" s="1558"/>
      <c r="G3" s="1558"/>
      <c r="H3" s="1558"/>
      <c r="I3" s="1558"/>
      <c r="J3" s="1558"/>
      <c r="K3" s="1558"/>
      <c r="L3" s="1558"/>
      <c r="M3" s="1559"/>
      <c r="N3" s="1560"/>
    </row>
    <row r="4" spans="1:14" ht="13.5" customHeight="1" x14ac:dyDescent="0.2">
      <c r="A4" s="463" t="s">
        <v>1651</v>
      </c>
      <c r="B4" s="464"/>
      <c r="C4" s="465">
        <f>3103096-122228</f>
        <v>2980868</v>
      </c>
      <c r="D4" s="466">
        <v>137516</v>
      </c>
      <c r="E4" s="466">
        <v>311154</v>
      </c>
      <c r="F4" s="466">
        <v>642506</v>
      </c>
      <c r="G4" s="466">
        <v>263064</v>
      </c>
      <c r="H4" s="466">
        <v>212409</v>
      </c>
      <c r="I4" s="466">
        <v>0</v>
      </c>
      <c r="J4" s="467">
        <v>303003</v>
      </c>
      <c r="K4" s="466">
        <v>0</v>
      </c>
      <c r="L4" s="466">
        <v>91263</v>
      </c>
      <c r="M4" s="468"/>
      <c r="N4" s="469"/>
    </row>
    <row r="5" spans="1:14" x14ac:dyDescent="0.2">
      <c r="A5" s="463" t="s">
        <v>992</v>
      </c>
      <c r="B5" s="470">
        <v>120</v>
      </c>
      <c r="C5" s="465">
        <f>1848100+122228</f>
        <v>1970328</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4951196</v>
      </c>
      <c r="D13" s="1735">
        <f t="shared" ref="D13:L13" si="0">SUM(D4:D12)</f>
        <v>137516</v>
      </c>
      <c r="E13" s="1735">
        <f t="shared" si="0"/>
        <v>311154</v>
      </c>
      <c r="F13" s="1735">
        <f t="shared" si="0"/>
        <v>642506</v>
      </c>
      <c r="G13" s="1735">
        <f t="shared" si="0"/>
        <v>263064</v>
      </c>
      <c r="H13" s="1735">
        <f t="shared" si="0"/>
        <v>212409</v>
      </c>
      <c r="I13" s="1735">
        <f t="shared" si="0"/>
        <v>0</v>
      </c>
      <c r="J13" s="1735">
        <f t="shared" si="0"/>
        <v>303003</v>
      </c>
      <c r="K13" s="1735">
        <f t="shared" si="0"/>
        <v>0</v>
      </c>
      <c r="L13" s="1735">
        <f t="shared" si="0"/>
        <v>91263</v>
      </c>
      <c r="M13" s="468"/>
      <c r="N13" s="469"/>
    </row>
    <row r="14" spans="1:14" ht="18" customHeight="1" thickTop="1" x14ac:dyDescent="0.2">
      <c r="A14" s="2118" t="s">
        <v>147</v>
      </c>
      <c r="B14" s="2119"/>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365455</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18720263</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285718</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26'!F12+'Cap Outlay Deprec 26'!F13</f>
        <v>2773659</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374055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E4</f>
        <v>311154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3669569</v>
      </c>
    </row>
    <row r="23" spans="1:14" ht="13.5" customHeight="1" thickBot="1" x14ac:dyDescent="0.25">
      <c r="A23" s="1734" t="s">
        <v>643</v>
      </c>
      <c r="B23" s="1739"/>
      <c r="C23" s="468"/>
      <c r="D23" s="468"/>
      <c r="E23" s="468"/>
      <c r="F23" s="468"/>
      <c r="G23" s="468"/>
      <c r="H23" s="468"/>
      <c r="I23" s="468"/>
      <c r="J23" s="468"/>
      <c r="K23" s="468"/>
      <c r="L23" s="468"/>
      <c r="M23" s="1686">
        <f>SUM(M15:M22)</f>
        <v>22519150</v>
      </c>
      <c r="N23" s="1686">
        <f>SUM(N21:N22)</f>
        <v>3980723</v>
      </c>
    </row>
    <row r="24" spans="1:14" ht="18" customHeight="1" thickTop="1" x14ac:dyDescent="0.2">
      <c r="A24" s="2120" t="s">
        <v>598</v>
      </c>
      <c r="B24" s="2121"/>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L4</f>
        <v>91263</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91263</v>
      </c>
      <c r="M34" s="468"/>
      <c r="N34" s="480"/>
    </row>
    <row r="35" spans="1:14" ht="18" customHeight="1" thickTop="1" x14ac:dyDescent="0.2">
      <c r="A35" s="2122" t="s">
        <v>529</v>
      </c>
      <c r="B35" s="2123"/>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3980723</v>
      </c>
    </row>
    <row r="37" spans="1:14" ht="13.5" thickBot="1" x14ac:dyDescent="0.25">
      <c r="A37" s="1734" t="s">
        <v>653</v>
      </c>
      <c r="B37" s="1739"/>
      <c r="C37" s="477"/>
      <c r="D37" s="477"/>
      <c r="E37" s="477"/>
      <c r="F37" s="477"/>
      <c r="G37" s="477"/>
      <c r="H37" s="477"/>
      <c r="I37" s="477"/>
      <c r="J37" s="477"/>
      <c r="K37" s="477"/>
      <c r="L37" s="480"/>
      <c r="M37" s="468"/>
      <c r="N37" s="1686">
        <f>SUM(N36:N36)</f>
        <v>3980723</v>
      </c>
    </row>
    <row r="38" spans="1:14" s="329" customFormat="1" ht="13.5" customHeight="1" thickTop="1" x14ac:dyDescent="0.2">
      <c r="A38" s="496" t="s">
        <v>420</v>
      </c>
      <c r="B38" s="483">
        <v>714</v>
      </c>
      <c r="C38" s="466">
        <v>100000</v>
      </c>
      <c r="D38" s="466"/>
      <c r="E38" s="466"/>
      <c r="F38" s="466"/>
      <c r="G38" s="466"/>
      <c r="H38" s="466"/>
      <c r="I38" s="466"/>
      <c r="J38" s="467"/>
      <c r="K38" s="466"/>
      <c r="L38" s="481"/>
      <c r="M38" s="497"/>
      <c r="N38" s="497"/>
    </row>
    <row r="39" spans="1:14" s="329" customFormat="1" ht="13.5" customHeight="1" x14ac:dyDescent="0.2">
      <c r="A39" s="496" t="s">
        <v>342</v>
      </c>
      <c r="B39" s="483">
        <v>730</v>
      </c>
      <c r="C39" s="466">
        <f>'Acct Summary 7-8'!C81-C38</f>
        <v>4851196</v>
      </c>
      <c r="D39" s="466">
        <f>'Acct Summary 7-8'!D81-D38</f>
        <v>137516</v>
      </c>
      <c r="E39" s="466">
        <f>'Acct Summary 7-8'!E81-E38</f>
        <v>311154</v>
      </c>
      <c r="F39" s="466">
        <f>'Acct Summary 7-8'!F81-F38</f>
        <v>642506</v>
      </c>
      <c r="G39" s="466">
        <f>'Acct Summary 7-8'!G81-G38</f>
        <v>263064</v>
      </c>
      <c r="H39" s="466">
        <f>'Acct Summary 7-8'!H81-H38</f>
        <v>212409</v>
      </c>
      <c r="I39" s="466">
        <f>'Acct Summary 7-8'!I81-I38</f>
        <v>0</v>
      </c>
      <c r="J39" s="466">
        <f>'Acct Summary 7-8'!J81-J38</f>
        <v>303003</v>
      </c>
      <c r="K39" s="466">
        <f>'Acct Summary 7-8'!K81-K38</f>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22519150</v>
      </c>
      <c r="N40" s="497"/>
    </row>
    <row r="41" spans="1:14" ht="13.5" customHeight="1" thickBot="1" x14ac:dyDescent="0.25">
      <c r="A41" s="1734" t="s">
        <v>655</v>
      </c>
      <c r="B41" s="1704"/>
      <c r="C41" s="1686">
        <f>(SUM(C34,C37,C38,C39))</f>
        <v>4951196</v>
      </c>
      <c r="D41" s="1686">
        <f t="shared" ref="D41:L41" si="2">SUM(D34,D37,D38:D39)</f>
        <v>137516</v>
      </c>
      <c r="E41" s="1686">
        <f t="shared" si="2"/>
        <v>311154</v>
      </c>
      <c r="F41" s="1686">
        <f t="shared" si="2"/>
        <v>642506</v>
      </c>
      <c r="G41" s="1686">
        <f t="shared" si="2"/>
        <v>263064</v>
      </c>
      <c r="H41" s="1686">
        <f t="shared" si="2"/>
        <v>212409</v>
      </c>
      <c r="I41" s="1686">
        <f t="shared" si="2"/>
        <v>0</v>
      </c>
      <c r="J41" s="1686">
        <f t="shared" si="2"/>
        <v>303003</v>
      </c>
      <c r="K41" s="1686">
        <f t="shared" si="2"/>
        <v>0</v>
      </c>
      <c r="L41" s="1686">
        <f t="shared" si="2"/>
        <v>91263</v>
      </c>
      <c r="M41" s="1686">
        <f>SUM(M40)</f>
        <v>22519150</v>
      </c>
      <c r="N41" s="1686">
        <f>SUM(N37)</f>
        <v>3980723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2019
&amp;R&amp;8Page &amp;P</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7" colorId="8" zoomScale="110" zoomScaleNormal="110" zoomScaleSheetLayoutView="100" workbookViewId="0">
      <selection activeCell="A22" sqref="A22:B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1"/>
      <c r="D3" s="1572"/>
      <c r="E3" s="1572"/>
      <c r="F3" s="1572"/>
      <c r="G3" s="1572"/>
      <c r="H3" s="1572"/>
      <c r="I3" s="1572"/>
      <c r="J3" s="1572"/>
      <c r="K3" s="1573"/>
      <c r="L3" s="506"/>
    </row>
    <row r="4" spans="1:13" ht="15.75" customHeight="1" x14ac:dyDescent="0.2">
      <c r="A4" s="1926" t="s">
        <v>1499</v>
      </c>
      <c r="B4" s="1927">
        <v>1000</v>
      </c>
      <c r="C4" s="1740">
        <f>'Revenues 9-14'!C109</f>
        <v>2138343</v>
      </c>
      <c r="D4" s="1740">
        <f>'Revenues 9-14'!D109</f>
        <v>475414</v>
      </c>
      <c r="E4" s="1740">
        <f>'Revenues 9-14'!E109</f>
        <v>217612</v>
      </c>
      <c r="F4" s="1740">
        <f>'Revenues 9-14'!F109</f>
        <v>157818</v>
      </c>
      <c r="G4" s="1740">
        <f>'Revenues 9-14'!G109</f>
        <v>462186</v>
      </c>
      <c r="H4" s="1740">
        <f>'Revenues 9-14'!H109</f>
        <v>603272</v>
      </c>
      <c r="I4" s="1740">
        <f>'Revenues 9-14'!I109</f>
        <v>61842</v>
      </c>
      <c r="J4" s="1740">
        <f>'Revenues 9-14'!J109</f>
        <v>297484</v>
      </c>
      <c r="K4" s="1740">
        <f>'Revenues 9-14'!K109</f>
        <v>0</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7868293</v>
      </c>
      <c r="D6" s="1741">
        <f>'Revenues 9-14'!D170</f>
        <v>0</v>
      </c>
      <c r="E6" s="1741">
        <f>'Revenues 9-14'!E170</f>
        <v>300000</v>
      </c>
      <c r="F6" s="1741">
        <f>'Revenues 9-14'!F170</f>
        <v>359027</v>
      </c>
      <c r="G6" s="1741">
        <f>'Revenues 9-14'!G170</f>
        <v>0</v>
      </c>
      <c r="H6" s="1741">
        <f>'Revenues 9-14'!H170</f>
        <v>672000</v>
      </c>
      <c r="I6" s="1741">
        <f>'Revenues 9-14'!I170</f>
        <v>0</v>
      </c>
      <c r="J6" s="1741">
        <f>'Revenues 9-14'!J170</f>
        <v>0</v>
      </c>
      <c r="K6" s="1741">
        <f>'Revenues 9-14'!K170</f>
        <v>0</v>
      </c>
      <c r="L6" s="347"/>
      <c r="M6" s="513"/>
    </row>
    <row r="7" spans="1:13" ht="15.75" customHeight="1" x14ac:dyDescent="0.2">
      <c r="A7" s="1574" t="s">
        <v>1502</v>
      </c>
      <c r="B7" s="1576">
        <v>4000</v>
      </c>
      <c r="C7" s="1741">
        <f>'Revenues 9-14'!C267</f>
        <v>2260122</v>
      </c>
      <c r="D7" s="1741">
        <f>'Revenues 9-14'!D267</f>
        <v>0</v>
      </c>
      <c r="E7" s="1741">
        <f>'Revenues 9-14'!E267</f>
        <v>0</v>
      </c>
      <c r="F7" s="1741">
        <f>'Revenues 9-14'!F267</f>
        <v>53996</v>
      </c>
      <c r="G7" s="1741">
        <f>'Revenues 9-14'!G267</f>
        <v>59947</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12266758</v>
      </c>
      <c r="D8" s="1686">
        <f t="shared" ref="D8:K8" si="0">SUM(D4:D7)</f>
        <v>475414</v>
      </c>
      <c r="E8" s="1686">
        <f t="shared" si="0"/>
        <v>517612</v>
      </c>
      <c r="F8" s="1686">
        <f t="shared" si="0"/>
        <v>570841</v>
      </c>
      <c r="G8" s="1686">
        <f t="shared" si="0"/>
        <v>522133</v>
      </c>
      <c r="H8" s="1686">
        <f t="shared" si="0"/>
        <v>1275272</v>
      </c>
      <c r="I8" s="1686">
        <f t="shared" si="0"/>
        <v>61842</v>
      </c>
      <c r="J8" s="1686">
        <f t="shared" si="0"/>
        <v>297484</v>
      </c>
      <c r="K8" s="1686">
        <f t="shared" si="0"/>
        <v>0</v>
      </c>
      <c r="L8" s="347"/>
    </row>
    <row r="9" spans="1:13" ht="15.75" thickTop="1" x14ac:dyDescent="0.2">
      <c r="A9" s="514" t="s">
        <v>1653</v>
      </c>
      <c r="B9" s="515">
        <v>3998</v>
      </c>
      <c r="C9" s="481">
        <v>2447221</v>
      </c>
      <c r="D9" s="516"/>
      <c r="E9" s="481"/>
      <c r="F9" s="481"/>
      <c r="G9" s="517"/>
      <c r="H9" s="481"/>
      <c r="I9" s="509" t="s">
        <v>1169</v>
      </c>
      <c r="J9" s="478"/>
      <c r="K9" s="481"/>
      <c r="L9" s="347"/>
    </row>
    <row r="10" spans="1:13" s="519" customFormat="1" ht="13.5" thickBot="1" x14ac:dyDescent="0.25">
      <c r="A10" s="1734" t="s">
        <v>1173</v>
      </c>
      <c r="B10" s="1707"/>
      <c r="C10" s="1686">
        <f>SUM(C8:C9)</f>
        <v>14713979</v>
      </c>
      <c r="D10" s="1686">
        <f t="shared" ref="D10:K10" si="1">SUM(D8:D9)</f>
        <v>475414</v>
      </c>
      <c r="E10" s="1686">
        <f t="shared" si="1"/>
        <v>517612</v>
      </c>
      <c r="F10" s="1686">
        <f t="shared" si="1"/>
        <v>570841</v>
      </c>
      <c r="G10" s="1686">
        <f t="shared" si="1"/>
        <v>522133</v>
      </c>
      <c r="H10" s="1686">
        <f t="shared" si="1"/>
        <v>1275272</v>
      </c>
      <c r="I10" s="1686">
        <f t="shared" si="1"/>
        <v>61842</v>
      </c>
      <c r="J10" s="1686">
        <f t="shared" si="1"/>
        <v>297484</v>
      </c>
      <c r="K10" s="1686">
        <f t="shared" si="1"/>
        <v>0</v>
      </c>
      <c r="L10" s="518"/>
    </row>
    <row r="11" spans="1:13" s="519" customFormat="1" ht="16.7" customHeight="1" thickTop="1" x14ac:dyDescent="0.2">
      <c r="A11" s="2118" t="s">
        <v>1176</v>
      </c>
      <c r="B11" s="2119"/>
      <c r="C11" s="1568"/>
      <c r="D11" s="1569"/>
      <c r="E11" s="1569"/>
      <c r="F11" s="1569"/>
      <c r="G11" s="1569"/>
      <c r="H11" s="1569"/>
      <c r="I11" s="1569"/>
      <c r="J11" s="1569"/>
      <c r="K11" s="1570"/>
      <c r="L11" s="518"/>
    </row>
    <row r="12" spans="1:13" ht="15.75" customHeight="1" x14ac:dyDescent="0.2">
      <c r="A12" s="1574" t="s">
        <v>456</v>
      </c>
      <c r="B12" s="1576">
        <v>1000</v>
      </c>
      <c r="C12" s="1740">
        <f>'Expenditures 15-22'!K33</f>
        <v>7598833</v>
      </c>
      <c r="D12" s="520" t="s">
        <v>1169</v>
      </c>
      <c r="E12" s="468" t="s">
        <v>1169</v>
      </c>
      <c r="F12" s="468" t="s">
        <v>1169</v>
      </c>
      <c r="G12" s="1740">
        <f>'Expenditures 15-22'!K229</f>
        <v>169630</v>
      </c>
      <c r="H12" s="521"/>
      <c r="I12" s="468" t="s">
        <v>1169</v>
      </c>
      <c r="J12" s="468" t="s">
        <v>1169</v>
      </c>
      <c r="K12" s="521" t="s">
        <v>1169</v>
      </c>
      <c r="L12" s="347"/>
    </row>
    <row r="13" spans="1:13" ht="15.75" customHeight="1" x14ac:dyDescent="0.2">
      <c r="A13" s="1574" t="s">
        <v>457</v>
      </c>
      <c r="B13" s="1576">
        <v>2000</v>
      </c>
      <c r="C13" s="1741">
        <f>'Expenditures 15-22'!K74</f>
        <v>3483220</v>
      </c>
      <c r="D13" s="1741">
        <f>'Expenditures 15-22'!K129</f>
        <v>430180</v>
      </c>
      <c r="E13" s="469" t="s">
        <v>1169</v>
      </c>
      <c r="F13" s="1741">
        <f>'Expenditures 15-22'!K184</f>
        <v>716386</v>
      </c>
      <c r="G13" s="1741">
        <f>'Expenditures 15-22'!K279</f>
        <v>336158</v>
      </c>
      <c r="H13" s="1741">
        <f>'Expenditures 15-22'!K303</f>
        <v>2407863</v>
      </c>
      <c r="I13" s="468" t="s">
        <v>1169</v>
      </c>
      <c r="J13" s="1741">
        <f>'Expenditures 15-22'!K330</f>
        <v>260391</v>
      </c>
      <c r="K13" s="1745">
        <f>'Expenditures 15-22'!K352</f>
        <v>1155000</v>
      </c>
      <c r="L13" s="347"/>
    </row>
    <row r="14" spans="1:13" ht="15.75" customHeight="1" x14ac:dyDescent="0.2">
      <c r="A14" s="1574" t="s">
        <v>449</v>
      </c>
      <c r="B14" s="1576">
        <v>3000</v>
      </c>
      <c r="C14" s="1741">
        <f>'Expenditures 15-22'!K75</f>
        <v>111320</v>
      </c>
      <c r="D14" s="1741">
        <f>'Expenditures 15-22'!K130</f>
        <v>0</v>
      </c>
      <c r="E14" s="520" t="s">
        <v>1169</v>
      </c>
      <c r="F14" s="1741">
        <f>'Expenditures 15-22'!K185</f>
        <v>0</v>
      </c>
      <c r="G14" s="1741">
        <f>'Expenditures 15-22'!K280</f>
        <v>8156</v>
      </c>
      <c r="H14" s="512"/>
      <c r="I14" s="468" t="s">
        <v>1169</v>
      </c>
      <c r="J14" s="468" t="s">
        <v>1169</v>
      </c>
      <c r="K14" s="512" t="s">
        <v>1169</v>
      </c>
      <c r="L14" s="347"/>
    </row>
    <row r="15" spans="1:13" ht="15.75" customHeight="1" x14ac:dyDescent="0.2">
      <c r="A15" s="1574" t="s">
        <v>107</v>
      </c>
      <c r="B15" s="1576">
        <v>4000</v>
      </c>
      <c r="C15" s="1741">
        <f>'Expenditures 15-22'!K102</f>
        <v>500894</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2123250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11694267</v>
      </c>
      <c r="D17" s="1686">
        <f t="shared" si="2"/>
        <v>430180</v>
      </c>
      <c r="E17" s="1686">
        <f t="shared" si="2"/>
        <v>2123250</v>
      </c>
      <c r="F17" s="1686">
        <f t="shared" si="2"/>
        <v>716386</v>
      </c>
      <c r="G17" s="1686">
        <f t="shared" si="2"/>
        <v>513944</v>
      </c>
      <c r="H17" s="1686">
        <f t="shared" si="2"/>
        <v>2407863</v>
      </c>
      <c r="I17" s="468"/>
      <c r="J17" s="1686">
        <f>SUM(J12:J16)</f>
        <v>260391</v>
      </c>
      <c r="K17" s="1686">
        <f>SUM(K12:K16)</f>
        <v>1155000</v>
      </c>
      <c r="L17" s="347"/>
    </row>
    <row r="18" spans="1:12" ht="15" customHeight="1" thickTop="1" x14ac:dyDescent="0.2">
      <c r="A18" s="1742" t="s">
        <v>1654</v>
      </c>
      <c r="B18" s="1743">
        <v>4180</v>
      </c>
      <c r="C18" s="1740">
        <f t="shared" ref="C18:H18" si="3">C9</f>
        <v>2447221</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14141488</v>
      </c>
      <c r="D19" s="1686">
        <f t="shared" si="4"/>
        <v>430180</v>
      </c>
      <c r="E19" s="1686">
        <f t="shared" si="4"/>
        <v>2123250</v>
      </c>
      <c r="F19" s="1686">
        <f t="shared" si="4"/>
        <v>716386</v>
      </c>
      <c r="G19" s="1686">
        <f t="shared" si="4"/>
        <v>513944</v>
      </c>
      <c r="H19" s="1686">
        <f t="shared" si="4"/>
        <v>2407863</v>
      </c>
      <c r="I19" s="468"/>
      <c r="J19" s="1686">
        <f>SUM(J17:J18)</f>
        <v>260391</v>
      </c>
      <c r="K19" s="1686">
        <f>SUM(K17:K18)</f>
        <v>1155000</v>
      </c>
      <c r="L19" s="347"/>
    </row>
    <row r="20" spans="1:12" ht="16.5" thickTop="1" thickBot="1" x14ac:dyDescent="0.25">
      <c r="A20" s="2134" t="s">
        <v>1655</v>
      </c>
      <c r="B20" s="2135"/>
      <c r="C20" s="1744">
        <f>C8-C17</f>
        <v>572491</v>
      </c>
      <c r="D20" s="1744">
        <f t="shared" ref="D20:K20" si="5">D8-D17</f>
        <v>45234</v>
      </c>
      <c r="E20" s="1744">
        <f t="shared" si="5"/>
        <v>-1605638</v>
      </c>
      <c r="F20" s="1744">
        <f t="shared" si="5"/>
        <v>-145545</v>
      </c>
      <c r="G20" s="1744">
        <f t="shared" si="5"/>
        <v>8189</v>
      </c>
      <c r="H20" s="1744">
        <f t="shared" si="5"/>
        <v>-1132591</v>
      </c>
      <c r="I20" s="1744">
        <f t="shared" si="5"/>
        <v>61842</v>
      </c>
      <c r="J20" s="1744">
        <f t="shared" si="5"/>
        <v>37093</v>
      </c>
      <c r="K20" s="1744">
        <f t="shared" si="5"/>
        <v>-1155000</v>
      </c>
      <c r="L20" s="347"/>
    </row>
    <row r="21" spans="1:12" ht="16.7" customHeight="1" thickTop="1" x14ac:dyDescent="0.2">
      <c r="A21" s="2146" t="s">
        <v>595</v>
      </c>
      <c r="B21" s="2147"/>
      <c r="C21" s="1568"/>
      <c r="D21" s="1569"/>
      <c r="E21" s="1569"/>
      <c r="F21" s="1569"/>
      <c r="G21" s="1569"/>
      <c r="H21" s="1569"/>
      <c r="I21" s="1569"/>
      <c r="J21" s="1569"/>
      <c r="K21" s="1570"/>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v>59339</v>
      </c>
      <c r="D25" s="467"/>
      <c r="E25" s="467"/>
      <c r="F25" s="467"/>
      <c r="G25" s="467"/>
      <c r="H25" s="467">
        <v>845000</v>
      </c>
      <c r="I25" s="477"/>
      <c r="J25" s="467"/>
      <c r="K25" s="467"/>
      <c r="L25" s="524"/>
    </row>
    <row r="26" spans="1:12" s="485" customFormat="1" ht="13.5" customHeight="1" x14ac:dyDescent="0.2">
      <c r="A26" s="1487" t="s">
        <v>184</v>
      </c>
      <c r="B26" s="483">
        <v>7120</v>
      </c>
      <c r="C26" s="467">
        <v>2503</v>
      </c>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v>8840</v>
      </c>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1791</v>
      </c>
      <c r="B30" s="527">
        <v>7160</v>
      </c>
      <c r="C30" s="477"/>
      <c r="D30" s="467"/>
      <c r="E30" s="477"/>
      <c r="F30" s="477"/>
      <c r="G30" s="477"/>
      <c r="H30" s="477"/>
      <c r="I30" s="477"/>
      <c r="J30" s="477"/>
      <c r="K30" s="477"/>
      <c r="L30" s="524"/>
    </row>
    <row r="31" spans="1:12" s="485" customFormat="1" ht="26.25" x14ac:dyDescent="0.2">
      <c r="A31" s="1487" t="s">
        <v>1795</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7" t="s">
        <v>412</v>
      </c>
      <c r="B33" s="525">
        <v>7210</v>
      </c>
      <c r="C33" s="467"/>
      <c r="D33" s="467"/>
      <c r="E33" s="467">
        <v>1848100</v>
      </c>
      <c r="F33" s="467"/>
      <c r="G33" s="477"/>
      <c r="H33" s="467"/>
      <c r="I33" s="467">
        <v>845000</v>
      </c>
      <c r="J33" s="467"/>
      <c r="K33" s="467">
        <v>1155000</v>
      </c>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32494</v>
      </c>
      <c r="F37" s="475"/>
      <c r="G37" s="475"/>
      <c r="H37" s="475"/>
      <c r="I37" s="477"/>
      <c r="J37" s="475"/>
      <c r="K37" s="475"/>
      <c r="L37" s="524"/>
    </row>
    <row r="38" spans="1:12" s="485" customFormat="1" x14ac:dyDescent="0.2">
      <c r="A38" s="1487" t="s">
        <v>442</v>
      </c>
      <c r="B38" s="525">
        <v>7500</v>
      </c>
      <c r="C38" s="477"/>
      <c r="D38" s="477"/>
      <c r="E38" s="1741">
        <f>SUM(C58:D61,H58:H61)</f>
        <v>6861</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701">
        <f>SUM(C24:C43)</f>
        <v>70682</v>
      </c>
      <c r="D44" s="1701">
        <f t="shared" ref="D44:K44" si="6">SUM(D24:D43)</f>
        <v>0</v>
      </c>
      <c r="E44" s="1701">
        <f t="shared" si="6"/>
        <v>1887455</v>
      </c>
      <c r="F44" s="1701">
        <f t="shared" si="6"/>
        <v>0</v>
      </c>
      <c r="G44" s="1701">
        <f t="shared" si="6"/>
        <v>0</v>
      </c>
      <c r="H44" s="1701">
        <f t="shared" si="6"/>
        <v>845000</v>
      </c>
      <c r="I44" s="1701">
        <f t="shared" si="6"/>
        <v>845000</v>
      </c>
      <c r="J44" s="1701">
        <f t="shared" si="6"/>
        <v>0</v>
      </c>
      <c r="K44" s="1701">
        <f t="shared" si="6"/>
        <v>1155000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904339</v>
      </c>
      <c r="J47" s="477"/>
      <c r="K47" s="477"/>
      <c r="L47" s="529"/>
    </row>
    <row r="48" spans="1:12" s="485" customFormat="1" ht="15" x14ac:dyDescent="0.2">
      <c r="A48" s="1488" t="s">
        <v>1660</v>
      </c>
      <c r="B48" s="483">
        <v>8120</v>
      </c>
      <c r="C48" s="480"/>
      <c r="D48" s="480"/>
      <c r="E48" s="477"/>
      <c r="F48" s="480"/>
      <c r="G48" s="477"/>
      <c r="H48" s="477"/>
      <c r="I48" s="1741">
        <f>SUM(C26:H26,J26,K26)</f>
        <v>2503</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v>8840</v>
      </c>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1794</v>
      </c>
      <c r="B52" s="483">
        <v>8160</v>
      </c>
      <c r="C52" s="477"/>
      <c r="D52" s="477"/>
      <c r="E52" s="477"/>
      <c r="F52" s="477"/>
      <c r="G52" s="477"/>
      <c r="H52" s="477"/>
      <c r="I52" s="477"/>
      <c r="J52" s="477"/>
      <c r="K52" s="1741">
        <f>D30</f>
        <v>0</v>
      </c>
      <c r="L52" s="524"/>
    </row>
    <row r="53" spans="1:12" s="485" customFormat="1" ht="26.25" x14ac:dyDescent="0.2">
      <c r="A53" s="1488" t="s">
        <v>1793</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v>32494</v>
      </c>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v>6861</v>
      </c>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701">
        <f t="shared" ref="C76:K76" si="7">SUM(C47:C75)</f>
        <v>0</v>
      </c>
      <c r="D76" s="1701">
        <f t="shared" si="7"/>
        <v>39355</v>
      </c>
      <c r="E76" s="1701">
        <f t="shared" si="7"/>
        <v>8840</v>
      </c>
      <c r="F76" s="1701">
        <f t="shared" si="7"/>
        <v>0</v>
      </c>
      <c r="G76" s="1701">
        <f t="shared" si="7"/>
        <v>0</v>
      </c>
      <c r="H76" s="1701">
        <f t="shared" si="7"/>
        <v>0</v>
      </c>
      <c r="I76" s="1701">
        <f t="shared" si="7"/>
        <v>906842</v>
      </c>
      <c r="J76" s="1701">
        <f t="shared" si="7"/>
        <v>0</v>
      </c>
      <c r="K76" s="1701">
        <f t="shared" si="7"/>
        <v>0</v>
      </c>
      <c r="L76" s="524"/>
    </row>
    <row r="77" spans="1:12" ht="14.25" thickTop="1" thickBot="1" x14ac:dyDescent="0.25">
      <c r="A77" s="2126" t="s">
        <v>1177</v>
      </c>
      <c r="B77" s="2127"/>
      <c r="C77" s="1701">
        <f t="shared" ref="C77:K77" si="8">C44-C76</f>
        <v>70682</v>
      </c>
      <c r="D77" s="1701">
        <f t="shared" si="8"/>
        <v>-39355</v>
      </c>
      <c r="E77" s="1701">
        <f t="shared" si="8"/>
        <v>1878615</v>
      </c>
      <c r="F77" s="1701">
        <f t="shared" si="8"/>
        <v>0</v>
      </c>
      <c r="G77" s="1701">
        <f t="shared" si="8"/>
        <v>0</v>
      </c>
      <c r="H77" s="1701">
        <f t="shared" si="8"/>
        <v>845000</v>
      </c>
      <c r="I77" s="1701">
        <f t="shared" si="8"/>
        <v>-61842</v>
      </c>
      <c r="J77" s="1701">
        <f t="shared" si="8"/>
        <v>0</v>
      </c>
      <c r="K77" s="1701">
        <f t="shared" si="8"/>
        <v>1155000</v>
      </c>
      <c r="L77" s="347"/>
    </row>
    <row r="78" spans="1:12" ht="21.75" customHeight="1" thickTop="1" thickBot="1" x14ac:dyDescent="0.25">
      <c r="A78" s="2130" t="s">
        <v>597</v>
      </c>
      <c r="B78" s="2131"/>
      <c r="C78" s="1700">
        <f t="shared" ref="C78:K78" si="9">C20+C77</f>
        <v>643173</v>
      </c>
      <c r="D78" s="1700">
        <f t="shared" si="9"/>
        <v>5879</v>
      </c>
      <c r="E78" s="1700">
        <f t="shared" si="9"/>
        <v>272977</v>
      </c>
      <c r="F78" s="1700">
        <f t="shared" si="9"/>
        <v>-145545</v>
      </c>
      <c r="G78" s="1700">
        <f t="shared" si="9"/>
        <v>8189</v>
      </c>
      <c r="H78" s="1700">
        <f t="shared" si="9"/>
        <v>-287591</v>
      </c>
      <c r="I78" s="1700">
        <f t="shared" si="9"/>
        <v>0</v>
      </c>
      <c r="J78" s="1700">
        <f t="shared" si="9"/>
        <v>37093</v>
      </c>
      <c r="K78" s="1700">
        <f t="shared" si="9"/>
        <v>0</v>
      </c>
      <c r="L78" s="533"/>
    </row>
    <row r="79" spans="1:12" ht="13.5" thickTop="1" x14ac:dyDescent="0.2">
      <c r="A79" s="1492" t="s">
        <v>1946</v>
      </c>
      <c r="B79" s="534"/>
      <c r="C79" s="478">
        <v>4308023</v>
      </c>
      <c r="D79" s="535">
        <v>131637</v>
      </c>
      <c r="E79" s="535">
        <v>38177</v>
      </c>
      <c r="F79" s="535">
        <v>788051</v>
      </c>
      <c r="G79" s="535">
        <v>254875</v>
      </c>
      <c r="H79" s="535">
        <v>500000</v>
      </c>
      <c r="I79" s="535">
        <v>0</v>
      </c>
      <c r="J79" s="535">
        <v>265910</v>
      </c>
      <c r="K79" s="535">
        <v>0</v>
      </c>
      <c r="L79" s="347"/>
    </row>
    <row r="80" spans="1:12" x14ac:dyDescent="0.2">
      <c r="A80" s="2136" t="s">
        <v>1792</v>
      </c>
      <c r="B80" s="2137"/>
      <c r="C80" s="467"/>
      <c r="D80" s="467"/>
      <c r="E80" s="467"/>
      <c r="F80" s="467"/>
      <c r="G80" s="467"/>
      <c r="H80" s="467"/>
      <c r="I80" s="467"/>
      <c r="J80" s="467"/>
      <c r="K80" s="467"/>
      <c r="L80" s="347"/>
    </row>
    <row r="81" spans="1:12" ht="13.5" thickBot="1" x14ac:dyDescent="0.25">
      <c r="A81" s="2128" t="s">
        <v>1947</v>
      </c>
      <c r="B81" s="2129"/>
      <c r="C81" s="1686">
        <f>(SUM(C78:C80))</f>
        <v>4951196</v>
      </c>
      <c r="D81" s="1686">
        <f>SUM(D78:D80)</f>
        <v>137516</v>
      </c>
      <c r="E81" s="1686">
        <f t="shared" ref="E81:K81" si="10">SUM(E78:E80)</f>
        <v>311154</v>
      </c>
      <c r="F81" s="1686">
        <f t="shared" si="10"/>
        <v>642506</v>
      </c>
      <c r="G81" s="1686">
        <f t="shared" si="10"/>
        <v>263064</v>
      </c>
      <c r="H81" s="1686">
        <f t="shared" si="10"/>
        <v>212409</v>
      </c>
      <c r="I81" s="1686">
        <f t="shared" si="10"/>
        <v>0</v>
      </c>
      <c r="J81" s="1686">
        <f t="shared" si="10"/>
        <v>303003</v>
      </c>
      <c r="K81" s="1686">
        <f t="shared" si="10"/>
        <v>0</v>
      </c>
      <c r="L81" s="347"/>
    </row>
    <row r="82" spans="1:12" ht="0.75" customHeight="1" thickTop="1" thickBot="1" x14ac:dyDescent="0.25">
      <c r="A82" s="536" t="s">
        <v>343</v>
      </c>
      <c r="B82" s="537"/>
      <c r="C82" s="538">
        <f>(C81-C79)</f>
        <v>643173</v>
      </c>
      <c r="D82" s="538">
        <f t="shared" ref="D82:K82" si="11">(D81-D79)</f>
        <v>5879</v>
      </c>
      <c r="E82" s="538">
        <f t="shared" si="11"/>
        <v>272977</v>
      </c>
      <c r="F82" s="538">
        <f t="shared" si="11"/>
        <v>-145545</v>
      </c>
      <c r="G82" s="538">
        <f t="shared" si="11"/>
        <v>8189</v>
      </c>
      <c r="H82" s="538">
        <f t="shared" si="11"/>
        <v>-287591</v>
      </c>
      <c r="I82" s="538">
        <f t="shared" si="11"/>
        <v>0</v>
      </c>
      <c r="J82" s="538">
        <f t="shared" si="11"/>
        <v>37093</v>
      </c>
      <c r="K82" s="538">
        <f t="shared" si="11"/>
        <v>0</v>
      </c>
    </row>
    <row r="83" spans="1:12" ht="14.25" hidden="1" thickTop="1" thickBot="1" x14ac:dyDescent="0.25">
      <c r="A83" s="539" t="s">
        <v>344</v>
      </c>
      <c r="B83" s="464"/>
      <c r="C83" s="540">
        <f>C82/C81</f>
        <v>0.12990255283773861</v>
      </c>
      <c r="D83" s="540">
        <f t="shared" ref="D83:K83" si="12">D82/D81</f>
        <v>4.2751388929288231E-2</v>
      </c>
      <c r="E83" s="540">
        <f t="shared" si="12"/>
        <v>0.87730512865012178</v>
      </c>
      <c r="F83" s="540">
        <f t="shared" si="12"/>
        <v>-0.22652706745151019</v>
      </c>
      <c r="G83" s="540">
        <f t="shared" si="12"/>
        <v>3.112930693671502E-2</v>
      </c>
      <c r="H83" s="540">
        <f t="shared" si="12"/>
        <v>-1.3539492206074131</v>
      </c>
      <c r="I83" s="540" t="e">
        <f t="shared" si="12"/>
        <v>#DIV/0!</v>
      </c>
      <c r="J83" s="540">
        <f t="shared" si="12"/>
        <v>0.12241792985547997</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FINANCING 
SOURCES (USES) AND CHANGES IN FUND BALANCE - ALL FUNDS
FOR THE YEAR ENDING JUNE 30, 2019 &amp;R&amp;8Page &amp;P</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222" colorId="8" zoomScale="110" zoomScaleNormal="110" zoomScaleSheetLayoutView="75" workbookViewId="0">
      <selection activeCell="G259" sqref="G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1799</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v>1914413</v>
      </c>
      <c r="D5" s="481">
        <v>296660</v>
      </c>
      <c r="E5" s="466">
        <v>208772</v>
      </c>
      <c r="F5" s="548">
        <v>142397</v>
      </c>
      <c r="G5" s="466">
        <v>209702</v>
      </c>
      <c r="H5" s="466"/>
      <c r="I5" s="466">
        <v>59339</v>
      </c>
      <c r="J5" s="467">
        <v>267348</v>
      </c>
      <c r="K5" s="466"/>
    </row>
    <row r="6" spans="1:12" ht="15" x14ac:dyDescent="0.2">
      <c r="A6" s="463" t="s">
        <v>1662</v>
      </c>
      <c r="B6" s="470">
        <v>1130</v>
      </c>
      <c r="C6" s="466"/>
      <c r="D6" s="466">
        <v>59339</v>
      </c>
      <c r="E6" s="475"/>
      <c r="F6" s="475"/>
      <c r="G6" s="468"/>
      <c r="H6" s="468"/>
      <c r="I6" s="468"/>
      <c r="J6" s="468"/>
      <c r="K6" s="468"/>
    </row>
    <row r="7" spans="1:12" x14ac:dyDescent="0.2">
      <c r="A7" s="463" t="s">
        <v>110</v>
      </c>
      <c r="B7" s="549">
        <v>1140</v>
      </c>
      <c r="C7" s="466"/>
      <c r="D7" s="466">
        <v>23743</v>
      </c>
      <c r="E7" s="468"/>
      <c r="F7" s="467"/>
      <c r="G7" s="467"/>
      <c r="H7" s="467"/>
      <c r="I7" s="468"/>
      <c r="J7" s="468"/>
      <c r="K7" s="468"/>
    </row>
    <row r="8" spans="1:12" x14ac:dyDescent="0.2">
      <c r="A8" s="463" t="s">
        <v>413</v>
      </c>
      <c r="B8" s="470">
        <v>1150</v>
      </c>
      <c r="C8" s="475"/>
      <c r="D8" s="475"/>
      <c r="E8" s="477"/>
      <c r="F8" s="477"/>
      <c r="G8" s="481">
        <v>152128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1914413</v>
      </c>
      <c r="D12" s="1705">
        <f t="shared" si="0"/>
        <v>379742</v>
      </c>
      <c r="E12" s="1705">
        <f t="shared" si="0"/>
        <v>208772</v>
      </c>
      <c r="F12" s="1705">
        <f t="shared" si="0"/>
        <v>142397</v>
      </c>
      <c r="G12" s="1705">
        <f t="shared" si="0"/>
        <v>361830</v>
      </c>
      <c r="H12" s="1705">
        <f t="shared" si="0"/>
        <v>0</v>
      </c>
      <c r="I12" s="1705">
        <f t="shared" si="0"/>
        <v>59339</v>
      </c>
      <c r="J12" s="1705">
        <f t="shared" si="0"/>
        <v>267348</v>
      </c>
      <c r="K12" s="1686">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43929</v>
      </c>
      <c r="E16" s="466"/>
      <c r="F16" s="466"/>
      <c r="G16" s="466">
        <v>85000</v>
      </c>
      <c r="H16" s="466">
        <v>602602</v>
      </c>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0</v>
      </c>
      <c r="D18" s="1708">
        <f t="shared" ref="D18:K18" si="1">SUM(D14:D17)</f>
        <v>43929</v>
      </c>
      <c r="E18" s="1708">
        <f t="shared" si="1"/>
        <v>0</v>
      </c>
      <c r="F18" s="1708">
        <f t="shared" si="1"/>
        <v>0</v>
      </c>
      <c r="G18" s="1708">
        <f t="shared" si="1"/>
        <v>85000</v>
      </c>
      <c r="H18" s="1708">
        <f t="shared" si="1"/>
        <v>602602</v>
      </c>
      <c r="I18" s="1708">
        <f t="shared" si="1"/>
        <v>0</v>
      </c>
      <c r="J18" s="1708">
        <f t="shared" si="1"/>
        <v>0</v>
      </c>
      <c r="K18" s="1709">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80823</v>
      </c>
      <c r="D65" s="466">
        <v>13525</v>
      </c>
      <c r="E65" s="466">
        <v>8840</v>
      </c>
      <c r="F65" s="467">
        <v>6011</v>
      </c>
      <c r="G65" s="466">
        <v>15356</v>
      </c>
      <c r="H65" s="466"/>
      <c r="I65" s="466">
        <v>2503</v>
      </c>
      <c r="J65" s="467">
        <v>13791</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80823</v>
      </c>
      <c r="D67" s="1686">
        <f t="shared" ref="D67:K67" si="2">SUM(D65:D66)</f>
        <v>13525</v>
      </c>
      <c r="E67" s="1686">
        <f t="shared" si="2"/>
        <v>8840</v>
      </c>
      <c r="F67" s="1686">
        <f t="shared" si="2"/>
        <v>6011</v>
      </c>
      <c r="G67" s="1686">
        <f t="shared" si="2"/>
        <v>15356</v>
      </c>
      <c r="H67" s="1686">
        <f t="shared" si="2"/>
        <v>0</v>
      </c>
      <c r="I67" s="1686">
        <f t="shared" si="2"/>
        <v>2503</v>
      </c>
      <c r="J67" s="1686">
        <f t="shared" si="2"/>
        <v>13791</v>
      </c>
      <c r="K67" s="1686">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1905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4728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1228</v>
      </c>
      <c r="D74" s="468"/>
      <c r="E74" s="468"/>
      <c r="F74" s="468"/>
      <c r="G74" s="468"/>
      <c r="H74" s="468"/>
      <c r="I74" s="468"/>
      <c r="J74" s="468"/>
      <c r="K74" s="468"/>
    </row>
    <row r="75" spans="1:11" ht="12.75" customHeight="1" thickBot="1" x14ac:dyDescent="0.25">
      <c r="A75" s="1706" t="s">
        <v>548</v>
      </c>
      <c r="B75" s="1707"/>
      <c r="C75" s="1686">
        <f>SUM(C69:C74)</f>
        <v>7861</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7349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4517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11866</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0</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v>5500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123380</v>
      </c>
      <c r="D107" s="466">
        <v>32718</v>
      </c>
      <c r="E107" s="466"/>
      <c r="F107" s="466">
        <v>9410</v>
      </c>
      <c r="G107" s="466"/>
      <c r="H107" s="466">
        <v>670</v>
      </c>
      <c r="I107" s="466"/>
      <c r="J107" s="467">
        <v>16345</v>
      </c>
      <c r="K107" s="466"/>
    </row>
    <row r="108" spans="1:12" ht="12.75" customHeight="1" thickBot="1" x14ac:dyDescent="0.25">
      <c r="A108" s="1706" t="s">
        <v>487</v>
      </c>
      <c r="B108" s="1710"/>
      <c r="C108" s="1705">
        <f>SUM(C95:C107)</f>
        <v>123380</v>
      </c>
      <c r="D108" s="1705">
        <f t="shared" ref="D108:K108" si="3">SUM(D95:D107)</f>
        <v>38218</v>
      </c>
      <c r="E108" s="1705">
        <f t="shared" si="3"/>
        <v>0</v>
      </c>
      <c r="F108" s="1705">
        <f t="shared" si="3"/>
        <v>9410</v>
      </c>
      <c r="G108" s="1705">
        <f t="shared" si="3"/>
        <v>0</v>
      </c>
      <c r="H108" s="1705">
        <f t="shared" si="3"/>
        <v>670</v>
      </c>
      <c r="I108" s="1705">
        <f t="shared" si="3"/>
        <v>0</v>
      </c>
      <c r="J108" s="1705">
        <f t="shared" si="3"/>
        <v>16345</v>
      </c>
      <c r="K108" s="1686">
        <f t="shared" si="3"/>
        <v>0</v>
      </c>
    </row>
    <row r="109" spans="1:12" ht="14.25" thickTop="1" thickBot="1" x14ac:dyDescent="0.25">
      <c r="A109" s="1711" t="s">
        <v>248</v>
      </c>
      <c r="B109" s="1712" t="s">
        <v>570</v>
      </c>
      <c r="C109" s="1713">
        <f t="shared" ref="C109:K109" si="4">SUM(C12,C18,C40,C63,C67,C75,C82,C93,C108,)</f>
        <v>2138343</v>
      </c>
      <c r="D109" s="1713">
        <f t="shared" si="4"/>
        <v>475414</v>
      </c>
      <c r="E109" s="1713">
        <f t="shared" si="4"/>
        <v>217612</v>
      </c>
      <c r="F109" s="1713">
        <f t="shared" si="4"/>
        <v>157818</v>
      </c>
      <c r="G109" s="1713">
        <f t="shared" si="4"/>
        <v>462186</v>
      </c>
      <c r="H109" s="1713">
        <f t="shared" si="4"/>
        <v>603272</v>
      </c>
      <c r="I109" s="1713">
        <f t="shared" si="4"/>
        <v>61842</v>
      </c>
      <c r="J109" s="1713">
        <f t="shared" si="4"/>
        <v>297484</v>
      </c>
      <c r="K109" s="1700">
        <f t="shared" si="4"/>
        <v>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7563759</v>
      </c>
      <c r="D117" s="481"/>
      <c r="E117" s="466">
        <v>300000</v>
      </c>
      <c r="F117" s="481"/>
      <c r="G117" s="481"/>
      <c r="H117" s="466">
        <v>672000</v>
      </c>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8" t="s">
        <v>1933</v>
      </c>
      <c r="B120" s="562">
        <v>3030</v>
      </c>
      <c r="C120" s="551"/>
      <c r="D120" s="466"/>
      <c r="E120" s="466"/>
      <c r="F120" s="466"/>
      <c r="G120" s="466"/>
      <c r="H120" s="466"/>
      <c r="I120" s="468"/>
      <c r="J120" s="467"/>
      <c r="K120" s="466"/>
    </row>
    <row r="121" spans="1:11" x14ac:dyDescent="0.2">
      <c r="A121" s="1494" t="s">
        <v>1798</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7563759</v>
      </c>
      <c r="D122" s="1705">
        <f t="shared" si="5"/>
        <v>0</v>
      </c>
      <c r="E122" s="1705">
        <f t="shared" si="5"/>
        <v>300000</v>
      </c>
      <c r="F122" s="1705">
        <f t="shared" si="5"/>
        <v>0</v>
      </c>
      <c r="G122" s="1705">
        <f t="shared" si="5"/>
        <v>0</v>
      </c>
      <c r="H122" s="1705">
        <f t="shared" si="5"/>
        <v>672000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111458</v>
      </c>
      <c r="D128" s="561"/>
      <c r="E128" s="468"/>
      <c r="F128" s="466"/>
      <c r="G128" s="468"/>
      <c r="H128" s="468"/>
      <c r="I128" s="468"/>
      <c r="J128" s="468"/>
      <c r="K128" s="468"/>
    </row>
    <row r="129" spans="1:11" ht="12.75" customHeight="1" x14ac:dyDescent="0.2">
      <c r="A129" s="463" t="s">
        <v>1447</v>
      </c>
      <c r="B129" s="562">
        <v>3130</v>
      </c>
      <c r="C129" s="466">
        <v>1431</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112889</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v>17610</v>
      </c>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v>211036</v>
      </c>
      <c r="G152" s="467"/>
      <c r="H152" s="468"/>
      <c r="I152" s="468"/>
      <c r="J152" s="468"/>
      <c r="K152" s="468"/>
    </row>
    <row r="153" spans="1:11" ht="12.75" customHeight="1" x14ac:dyDescent="0.2">
      <c r="A153" s="463" t="s">
        <v>1057</v>
      </c>
      <c r="B153" s="562">
        <v>3510</v>
      </c>
      <c r="C153" s="551"/>
      <c r="D153" s="466"/>
      <c r="E153" s="561"/>
      <c r="F153" s="466">
        <v>147991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359027</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v>174035</v>
      </c>
      <c r="D168" s="580"/>
      <c r="E168" s="580"/>
      <c r="F168" s="580"/>
      <c r="G168" s="581"/>
      <c r="H168" s="582"/>
      <c r="I168" s="581"/>
      <c r="J168" s="581"/>
      <c r="K168" s="582"/>
    </row>
    <row r="169" spans="1:11" ht="12.75" customHeight="1" thickTop="1" thickBot="1" x14ac:dyDescent="0.25">
      <c r="A169" s="2152" t="s">
        <v>398</v>
      </c>
      <c r="B169" s="2153"/>
      <c r="C169" s="1720">
        <f t="shared" ref="C169:K169" si="6">SUM(C132,C141,C145,C146:C150,C155,C156:C167,C168)</f>
        <v>304534</v>
      </c>
      <c r="D169" s="1720">
        <f t="shared" si="6"/>
        <v>0</v>
      </c>
      <c r="E169" s="1720">
        <f t="shared" si="6"/>
        <v>0</v>
      </c>
      <c r="F169" s="1720">
        <f t="shared" si="6"/>
        <v>359027</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7868293</v>
      </c>
      <c r="D170" s="1713">
        <f t="shared" si="7"/>
        <v>0</v>
      </c>
      <c r="E170" s="1713">
        <f t="shared" si="7"/>
        <v>300000</v>
      </c>
      <c r="F170" s="1713">
        <f t="shared" si="7"/>
        <v>359027</v>
      </c>
      <c r="G170" s="1713">
        <f t="shared" si="7"/>
        <v>0</v>
      </c>
      <c r="H170" s="1713">
        <f t="shared" si="7"/>
        <v>672000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1665</v>
      </c>
      <c r="B175" s="2159"/>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6" t="s">
        <v>1800</v>
      </c>
      <c r="B182" s="2157"/>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19260</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19260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607339</v>
      </c>
      <c r="D191" s="468"/>
      <c r="E191" s="561"/>
      <c r="F191" s="468"/>
      <c r="G191" s="585"/>
      <c r="H191" s="468"/>
      <c r="I191" s="468"/>
      <c r="J191" s="468"/>
      <c r="K191" s="468"/>
    </row>
    <row r="192" spans="1:11" ht="12.75" customHeight="1" x14ac:dyDescent="0.2">
      <c r="A192" s="463" t="s">
        <v>1047</v>
      </c>
      <c r="B192" s="470">
        <v>4215</v>
      </c>
      <c r="C192" s="551">
        <v>268</v>
      </c>
      <c r="D192" s="468"/>
      <c r="E192" s="561"/>
      <c r="F192" s="468"/>
      <c r="G192" s="585"/>
      <c r="H192" s="468"/>
      <c r="I192" s="468"/>
      <c r="J192" s="468"/>
      <c r="K192" s="468"/>
    </row>
    <row r="193" spans="1:11" ht="12.75" customHeight="1" x14ac:dyDescent="0.2">
      <c r="A193" s="463" t="s">
        <v>1059</v>
      </c>
      <c r="B193" s="470">
        <v>4220</v>
      </c>
      <c r="C193" s="551">
        <v>228627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28864</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865098</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878994</v>
      </c>
      <c r="D200" s="466"/>
      <c r="E200" s="468"/>
      <c r="F200" s="466">
        <v>958</v>
      </c>
      <c r="G200" s="466">
        <v>40782</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501</v>
      </c>
      <c r="D203" s="466"/>
      <c r="E203" s="468"/>
      <c r="F203" s="466"/>
      <c r="G203" s="466">
        <v>6</v>
      </c>
      <c r="H203" s="468"/>
      <c r="I203" s="468"/>
      <c r="J203" s="468"/>
      <c r="K203" s="468"/>
    </row>
    <row r="204" spans="1:11" ht="12.75" customHeight="1" thickBot="1" x14ac:dyDescent="0.25">
      <c r="A204" s="1706" t="s">
        <v>400</v>
      </c>
      <c r="B204" s="1707"/>
      <c r="C204" s="1705">
        <f>SUM(C200:C203)</f>
        <v>879495</v>
      </c>
      <c r="D204" s="1705">
        <f>SUM(D200:D203)</f>
        <v>0</v>
      </c>
      <c r="E204" s="468"/>
      <c r="F204" s="1705">
        <f>SUM(F200:F203)</f>
        <v>958</v>
      </c>
      <c r="G204" s="1705">
        <f>SUM(G200:G203)</f>
        <v>40788</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48482</v>
      </c>
      <c r="D206" s="466"/>
      <c r="E206" s="468"/>
      <c r="F206" s="466"/>
      <c r="G206" s="466">
        <v>3168</v>
      </c>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48482</v>
      </c>
      <c r="D209" s="1705">
        <f>SUM(D206:D208)</f>
        <v>0</v>
      </c>
      <c r="E209" s="468" t="s">
        <v>1169</v>
      </c>
      <c r="F209" s="1705">
        <f>SUM(F206:F208)</f>
        <v>0</v>
      </c>
      <c r="G209" s="1705">
        <f>SUM(G206:G208)</f>
        <v>3168</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17579</v>
      </c>
      <c r="D211" s="466"/>
      <c r="E211" s="468"/>
      <c r="F211" s="466"/>
      <c r="G211" s="466">
        <v>3120</v>
      </c>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68381</v>
      </c>
      <c r="D213" s="466"/>
      <c r="E213" s="468"/>
      <c r="F213" s="466"/>
      <c r="G213" s="466">
        <v>12002</v>
      </c>
      <c r="H213" s="468"/>
      <c r="I213" s="468"/>
      <c r="J213" s="468"/>
      <c r="K213" s="468"/>
    </row>
    <row r="214" spans="1:11" ht="12.75" customHeight="1" x14ac:dyDescent="0.2">
      <c r="A214" s="463" t="s">
        <v>1054</v>
      </c>
      <c r="B214" s="470">
        <v>4625</v>
      </c>
      <c r="C214" s="551">
        <v>29421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115381</v>
      </c>
      <c r="D217" s="1705">
        <f>SUM(D211:D216)</f>
        <v>0</v>
      </c>
      <c r="E217" s="468"/>
      <c r="F217" s="1705">
        <f>SUM(F211:F216)</f>
        <v>0</v>
      </c>
      <c r="G217" s="1705">
        <f>SUM(G211:G216)</f>
        <v>15122</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83522</v>
      </c>
      <c r="D259" s="576"/>
      <c r="E259" s="468"/>
      <c r="F259" s="576"/>
      <c r="G259" s="576">
        <v>869</v>
      </c>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1934</v>
      </c>
      <c r="B261" s="470">
        <v>4981</v>
      </c>
      <c r="C261" s="575"/>
      <c r="D261" s="576"/>
      <c r="E261" s="468"/>
      <c r="F261" s="576"/>
      <c r="G261" s="576"/>
      <c r="H261" s="468"/>
      <c r="I261" s="468"/>
      <c r="J261" s="468"/>
      <c r="K261" s="468"/>
    </row>
    <row r="262" spans="1:11" ht="12.75" customHeight="1" thickTop="1" thickBot="1" x14ac:dyDescent="0.25">
      <c r="A262" s="1929"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37558</v>
      </c>
      <c r="D263" s="576"/>
      <c r="E263" s="468"/>
      <c r="F263" s="576"/>
      <c r="G263" s="576"/>
      <c r="H263" s="468"/>
      <c r="I263" s="468"/>
      <c r="J263" s="468"/>
      <c r="K263" s="468"/>
    </row>
    <row r="264" spans="1:11" ht="12.75" customHeight="1" thickTop="1" thickBot="1" x14ac:dyDescent="0.25">
      <c r="A264" s="463" t="s">
        <v>377</v>
      </c>
      <c r="B264" s="470">
        <v>4992</v>
      </c>
      <c r="C264" s="575">
        <v>211326</v>
      </c>
      <c r="D264" s="576"/>
      <c r="E264" s="468"/>
      <c r="F264" s="576">
        <v>53038</v>
      </c>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2260122</v>
      </c>
      <c r="D266" s="1713">
        <f t="shared" si="10"/>
        <v>0</v>
      </c>
      <c r="E266" s="1713">
        <f t="shared" si="10"/>
        <v>0</v>
      </c>
      <c r="F266" s="1713">
        <f t="shared" si="10"/>
        <v>53996</v>
      </c>
      <c r="G266" s="1713">
        <f t="shared" si="10"/>
        <v>59947</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2260122</v>
      </c>
      <c r="D267" s="1713">
        <f>SUM(D175,D181,D266)</f>
        <v>0</v>
      </c>
      <c r="E267" s="1713">
        <f>SUM(E175,E266)</f>
        <v>0</v>
      </c>
      <c r="F267" s="1713">
        <f t="shared" ref="F267:K267" si="11">SUM(F175,F181,F266)</f>
        <v>53996</v>
      </c>
      <c r="G267" s="1713">
        <f t="shared" si="11"/>
        <v>59947</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12266758</v>
      </c>
      <c r="D268" s="1713">
        <f t="shared" si="12"/>
        <v>475414</v>
      </c>
      <c r="E268" s="1713">
        <f t="shared" si="12"/>
        <v>517612</v>
      </c>
      <c r="F268" s="1713">
        <f t="shared" si="12"/>
        <v>570841</v>
      </c>
      <c r="G268" s="1713">
        <f t="shared" si="12"/>
        <v>522133</v>
      </c>
      <c r="H268" s="1713">
        <f t="shared" si="12"/>
        <v>1275272</v>
      </c>
      <c r="I268" s="1713">
        <f t="shared" si="12"/>
        <v>61842</v>
      </c>
      <c r="J268" s="1713">
        <f t="shared" si="12"/>
        <v>297484</v>
      </c>
      <c r="K268" s="170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2019&amp;R&amp;8Page &amp;P</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63" colorId="8" zoomScale="110" zoomScaleNormal="110" workbookViewId="0">
      <selection activeCell="K170" sqref="K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2" t="s">
        <v>297</v>
      </c>
      <c r="B3" s="2173"/>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v>3522341</v>
      </c>
      <c r="D5" s="466">
        <v>991211</v>
      </c>
      <c r="E5" s="466">
        <v>92127</v>
      </c>
      <c r="F5" s="466">
        <v>42263</v>
      </c>
      <c r="G5" s="466">
        <v>569</v>
      </c>
      <c r="H5" s="466">
        <v>5858</v>
      </c>
      <c r="I5" s="467">
        <v>2442</v>
      </c>
      <c r="J5" s="467"/>
      <c r="K5" s="1669">
        <f>SUM(C5:J5)</f>
        <v>4656811</v>
      </c>
      <c r="L5" s="466">
        <v>4915702</v>
      </c>
    </row>
    <row r="6" spans="1:14" x14ac:dyDescent="0.2">
      <c r="A6" s="1502" t="s">
        <v>1433</v>
      </c>
      <c r="B6" s="614" t="s">
        <v>1431</v>
      </c>
      <c r="C6" s="477"/>
      <c r="D6" s="477"/>
      <c r="E6" s="466"/>
      <c r="F6" s="477"/>
      <c r="G6" s="477"/>
      <c r="H6" s="477"/>
      <c r="I6" s="477"/>
      <c r="J6" s="477"/>
      <c r="K6" s="1669">
        <f>SUM(C6,E6)</f>
        <v>0</v>
      </c>
      <c r="L6" s="466"/>
    </row>
    <row r="7" spans="1:14" x14ac:dyDescent="0.2">
      <c r="A7" s="1502" t="s">
        <v>163</v>
      </c>
      <c r="B7" s="614" t="s">
        <v>967</v>
      </c>
      <c r="C7" s="467"/>
      <c r="D7" s="467"/>
      <c r="E7" s="467"/>
      <c r="F7" s="467"/>
      <c r="G7" s="467"/>
      <c r="H7" s="467"/>
      <c r="I7" s="467"/>
      <c r="J7" s="467"/>
      <c r="K7" s="1669">
        <f t="shared" ref="K7:K32" si="0">SUM(C7:J7)</f>
        <v>0</v>
      </c>
      <c r="L7" s="466"/>
    </row>
    <row r="8" spans="1:14" x14ac:dyDescent="0.2">
      <c r="A8" s="1502" t="s">
        <v>164</v>
      </c>
      <c r="B8" s="614">
        <v>1200</v>
      </c>
      <c r="C8" s="466">
        <f>815546+954967</f>
        <v>1770513</v>
      </c>
      <c r="D8" s="466">
        <f>203509+314116</f>
        <v>517625</v>
      </c>
      <c r="E8" s="466">
        <v>7728</v>
      </c>
      <c r="F8" s="466">
        <v>25516</v>
      </c>
      <c r="G8" s="466"/>
      <c r="H8" s="466">
        <v>6032</v>
      </c>
      <c r="I8" s="467"/>
      <c r="J8" s="467"/>
      <c r="K8" s="1669">
        <f t="shared" si="0"/>
        <v>2327414</v>
      </c>
      <c r="L8" s="466">
        <v>2527365</v>
      </c>
    </row>
    <row r="9" spans="1:14" x14ac:dyDescent="0.2">
      <c r="A9" s="1502" t="s">
        <v>721</v>
      </c>
      <c r="B9" s="614" t="s">
        <v>968</v>
      </c>
      <c r="C9" s="467"/>
      <c r="D9" s="467"/>
      <c r="E9" s="467"/>
      <c r="F9" s="467"/>
      <c r="G9" s="467"/>
      <c r="H9" s="467"/>
      <c r="I9" s="467"/>
      <c r="J9" s="467"/>
      <c r="K9" s="1669">
        <f t="shared" si="0"/>
        <v>0</v>
      </c>
      <c r="L9" s="466"/>
    </row>
    <row r="10" spans="1:14" x14ac:dyDescent="0.2">
      <c r="A10" s="1502" t="s">
        <v>722</v>
      </c>
      <c r="B10" s="614">
        <v>1250</v>
      </c>
      <c r="C10" s="466">
        <v>284642</v>
      </c>
      <c r="D10" s="466">
        <v>116806</v>
      </c>
      <c r="E10" s="466">
        <v>65005</v>
      </c>
      <c r="F10" s="466">
        <v>52374</v>
      </c>
      <c r="G10" s="466">
        <v>52481</v>
      </c>
      <c r="H10" s="466"/>
      <c r="I10" s="467"/>
      <c r="J10" s="467"/>
      <c r="K10" s="1669">
        <f t="shared" si="0"/>
        <v>571308</v>
      </c>
      <c r="L10" s="466">
        <v>603870</v>
      </c>
    </row>
    <row r="11" spans="1:14" x14ac:dyDescent="0.2">
      <c r="A11" s="1502" t="s">
        <v>1130</v>
      </c>
      <c r="B11" s="614" t="s">
        <v>161</v>
      </c>
      <c r="C11" s="467"/>
      <c r="D11" s="467"/>
      <c r="E11" s="467"/>
      <c r="F11" s="467"/>
      <c r="G11" s="467"/>
      <c r="H11" s="467"/>
      <c r="I11" s="467"/>
      <c r="J11" s="467"/>
      <c r="K11" s="1669">
        <f t="shared" si="0"/>
        <v>0</v>
      </c>
      <c r="L11" s="466"/>
    </row>
    <row r="12" spans="1:14" x14ac:dyDescent="0.2">
      <c r="A12" s="1502" t="s">
        <v>962</v>
      </c>
      <c r="B12" s="614">
        <v>1300</v>
      </c>
      <c r="C12" s="466"/>
      <c r="D12" s="466"/>
      <c r="E12" s="466"/>
      <c r="F12" s="466"/>
      <c r="G12" s="466"/>
      <c r="H12" s="466"/>
      <c r="I12" s="467"/>
      <c r="J12" s="467"/>
      <c r="K12" s="1669">
        <f t="shared" si="0"/>
        <v>0</v>
      </c>
      <c r="L12" s="466"/>
    </row>
    <row r="13" spans="1:14" x14ac:dyDescent="0.2">
      <c r="A13" s="1502" t="s">
        <v>723</v>
      </c>
      <c r="B13" s="614">
        <v>1400</v>
      </c>
      <c r="C13" s="466"/>
      <c r="D13" s="466"/>
      <c r="E13" s="466"/>
      <c r="F13" s="466"/>
      <c r="G13" s="466"/>
      <c r="H13" s="466"/>
      <c r="I13" s="467"/>
      <c r="J13" s="467"/>
      <c r="K13" s="1669">
        <f t="shared" si="0"/>
        <v>0</v>
      </c>
      <c r="L13" s="466"/>
    </row>
    <row r="14" spans="1:14" x14ac:dyDescent="0.2">
      <c r="A14" s="1502" t="s">
        <v>963</v>
      </c>
      <c r="B14" s="614">
        <v>1500</v>
      </c>
      <c r="C14" s="466"/>
      <c r="D14" s="466"/>
      <c r="E14" s="466">
        <v>10549</v>
      </c>
      <c r="F14" s="466">
        <v>1502</v>
      </c>
      <c r="G14" s="466"/>
      <c r="H14" s="466"/>
      <c r="I14" s="467"/>
      <c r="J14" s="467"/>
      <c r="K14" s="1669">
        <f t="shared" si="0"/>
        <v>12051</v>
      </c>
      <c r="L14" s="466">
        <v>21500</v>
      </c>
    </row>
    <row r="15" spans="1:14" x14ac:dyDescent="0.2">
      <c r="A15" s="1502" t="s">
        <v>964</v>
      </c>
      <c r="B15" s="614">
        <v>1600</v>
      </c>
      <c r="C15" s="466"/>
      <c r="D15" s="466"/>
      <c r="E15" s="466"/>
      <c r="F15" s="466"/>
      <c r="G15" s="466"/>
      <c r="H15" s="466"/>
      <c r="I15" s="467"/>
      <c r="J15" s="467"/>
      <c r="K15" s="1669">
        <f t="shared" si="0"/>
        <v>0</v>
      </c>
      <c r="L15" s="466"/>
    </row>
    <row r="16" spans="1:14" x14ac:dyDescent="0.2">
      <c r="A16" s="1502" t="s">
        <v>987</v>
      </c>
      <c r="B16" s="614" t="s">
        <v>424</v>
      </c>
      <c r="C16" s="466">
        <v>17419</v>
      </c>
      <c r="D16" s="466"/>
      <c r="E16" s="466">
        <v>38</v>
      </c>
      <c r="F16" s="466"/>
      <c r="G16" s="466"/>
      <c r="H16" s="466"/>
      <c r="I16" s="467"/>
      <c r="J16" s="467"/>
      <c r="K16" s="1669">
        <f t="shared" si="0"/>
        <v>17457</v>
      </c>
      <c r="L16" s="466">
        <v>25850</v>
      </c>
    </row>
    <row r="17" spans="1:12" x14ac:dyDescent="0.2">
      <c r="A17" s="1502" t="s">
        <v>724</v>
      </c>
      <c r="B17" s="614" t="s">
        <v>162</v>
      </c>
      <c r="C17" s="467"/>
      <c r="D17" s="467"/>
      <c r="E17" s="467"/>
      <c r="F17" s="467"/>
      <c r="G17" s="467"/>
      <c r="H17" s="467"/>
      <c r="I17" s="467"/>
      <c r="J17" s="467"/>
      <c r="K17" s="1669">
        <f t="shared" si="0"/>
        <v>0</v>
      </c>
      <c r="L17" s="466"/>
    </row>
    <row r="18" spans="1:12" x14ac:dyDescent="0.2">
      <c r="A18" s="1502" t="s">
        <v>1087</v>
      </c>
      <c r="B18" s="614">
        <v>1800</v>
      </c>
      <c r="C18" s="466"/>
      <c r="D18" s="466"/>
      <c r="E18" s="466"/>
      <c r="F18" s="466"/>
      <c r="G18" s="466"/>
      <c r="H18" s="466"/>
      <c r="I18" s="467"/>
      <c r="J18" s="467"/>
      <c r="K18" s="1669">
        <f t="shared" si="0"/>
        <v>0</v>
      </c>
      <c r="L18" s="466"/>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738</v>
      </c>
      <c r="B20" s="602" t="s">
        <v>725</v>
      </c>
      <c r="C20" s="477"/>
      <c r="D20" s="477"/>
      <c r="E20" s="477"/>
      <c r="F20" s="477"/>
      <c r="G20" s="477"/>
      <c r="H20" s="474"/>
      <c r="I20" s="616"/>
      <c r="J20" s="475"/>
      <c r="K20" s="1669">
        <f t="shared" si="0"/>
        <v>0</v>
      </c>
      <c r="L20" s="471"/>
    </row>
    <row r="21" spans="1:12" x14ac:dyDescent="0.2">
      <c r="A21" s="1503" t="s">
        <v>739</v>
      </c>
      <c r="B21" s="602" t="s">
        <v>726</v>
      </c>
      <c r="C21" s="477"/>
      <c r="D21" s="477"/>
      <c r="E21" s="477"/>
      <c r="F21" s="477"/>
      <c r="G21" s="477"/>
      <c r="H21" s="474">
        <v>7292</v>
      </c>
      <c r="I21" s="616"/>
      <c r="J21" s="477"/>
      <c r="K21" s="1669">
        <f t="shared" si="0"/>
        <v>7292</v>
      </c>
      <c r="L21" s="471">
        <v>5000</v>
      </c>
    </row>
    <row r="22" spans="1:12" x14ac:dyDescent="0.2">
      <c r="A22" s="1503" t="s">
        <v>740</v>
      </c>
      <c r="B22" s="602" t="s">
        <v>727</v>
      </c>
      <c r="C22" s="477"/>
      <c r="D22" s="477"/>
      <c r="E22" s="477"/>
      <c r="F22" s="477"/>
      <c r="G22" s="477"/>
      <c r="H22" s="474"/>
      <c r="I22" s="616"/>
      <c r="J22" s="477"/>
      <c r="K22" s="1669">
        <f t="shared" si="0"/>
        <v>0</v>
      </c>
      <c r="L22" s="471"/>
    </row>
    <row r="23" spans="1:12" x14ac:dyDescent="0.2">
      <c r="A23" s="1503" t="s">
        <v>741</v>
      </c>
      <c r="B23" s="602" t="s">
        <v>728</v>
      </c>
      <c r="C23" s="477"/>
      <c r="D23" s="477"/>
      <c r="E23" s="477"/>
      <c r="F23" s="477"/>
      <c r="G23" s="477"/>
      <c r="H23" s="474"/>
      <c r="I23" s="616"/>
      <c r="J23" s="477"/>
      <c r="K23" s="1669">
        <f t="shared" si="0"/>
        <v>0</v>
      </c>
      <c r="L23" s="471"/>
    </row>
    <row r="24" spans="1:12" ht="12.75" customHeight="1" x14ac:dyDescent="0.2">
      <c r="A24" s="1503" t="s">
        <v>742</v>
      </c>
      <c r="B24" s="602" t="s">
        <v>729</v>
      </c>
      <c r="C24" s="477"/>
      <c r="D24" s="477"/>
      <c r="E24" s="477"/>
      <c r="F24" s="477"/>
      <c r="G24" s="477"/>
      <c r="H24" s="474"/>
      <c r="I24" s="616"/>
      <c r="J24" s="477"/>
      <c r="K24" s="1669">
        <f t="shared" si="0"/>
        <v>0</v>
      </c>
      <c r="L24" s="471"/>
    </row>
    <row r="25" spans="1:12" ht="12.75" customHeight="1" x14ac:dyDescent="0.2">
      <c r="A25" s="1503" t="s">
        <v>802</v>
      </c>
      <c r="B25" s="602" t="s">
        <v>730</v>
      </c>
      <c r="C25" s="477"/>
      <c r="D25" s="477"/>
      <c r="E25" s="477"/>
      <c r="F25" s="477"/>
      <c r="G25" s="477"/>
      <c r="H25" s="474"/>
      <c r="I25" s="616"/>
      <c r="J25" s="477"/>
      <c r="K25" s="1669">
        <f t="shared" si="0"/>
        <v>0</v>
      </c>
      <c r="L25" s="471"/>
    </row>
    <row r="26" spans="1:12" x14ac:dyDescent="0.2">
      <c r="A26" s="1503" t="s">
        <v>622</v>
      </c>
      <c r="B26" s="602" t="s">
        <v>731</v>
      </c>
      <c r="C26" s="477"/>
      <c r="D26" s="477"/>
      <c r="E26" s="477"/>
      <c r="F26" s="477"/>
      <c r="G26" s="477"/>
      <c r="H26" s="474"/>
      <c r="I26" s="616"/>
      <c r="J26" s="477"/>
      <c r="K26" s="1669">
        <f t="shared" si="0"/>
        <v>0</v>
      </c>
      <c r="L26" s="471"/>
    </row>
    <row r="27" spans="1:12" x14ac:dyDescent="0.2">
      <c r="A27" s="1503" t="s">
        <v>623</v>
      </c>
      <c r="B27" s="602" t="s">
        <v>732</v>
      </c>
      <c r="C27" s="477"/>
      <c r="D27" s="477"/>
      <c r="E27" s="477"/>
      <c r="F27" s="477"/>
      <c r="G27" s="477"/>
      <c r="H27" s="474"/>
      <c r="I27" s="616"/>
      <c r="J27" s="477"/>
      <c r="K27" s="1669">
        <f t="shared" si="0"/>
        <v>0</v>
      </c>
      <c r="L27" s="471"/>
    </row>
    <row r="28" spans="1:12" x14ac:dyDescent="0.2">
      <c r="A28" s="1503" t="s">
        <v>150</v>
      </c>
      <c r="B28" s="602" t="s">
        <v>733</v>
      </c>
      <c r="C28" s="477"/>
      <c r="D28" s="477"/>
      <c r="E28" s="477"/>
      <c r="F28" s="477"/>
      <c r="G28" s="477"/>
      <c r="H28" s="474"/>
      <c r="I28" s="616"/>
      <c r="J28" s="477"/>
      <c r="K28" s="1669">
        <f t="shared" si="0"/>
        <v>0</v>
      </c>
      <c r="L28" s="471"/>
    </row>
    <row r="29" spans="1:12" x14ac:dyDescent="0.2">
      <c r="A29" s="1503" t="s">
        <v>151</v>
      </c>
      <c r="B29" s="602" t="s">
        <v>734</v>
      </c>
      <c r="C29" s="477"/>
      <c r="D29" s="477"/>
      <c r="E29" s="477"/>
      <c r="F29" s="477"/>
      <c r="G29" s="477"/>
      <c r="H29" s="474"/>
      <c r="I29" s="616"/>
      <c r="J29" s="477"/>
      <c r="K29" s="1669">
        <f t="shared" si="0"/>
        <v>0</v>
      </c>
      <c r="L29" s="471"/>
    </row>
    <row r="30" spans="1:12" x14ac:dyDescent="0.2">
      <c r="A30" s="1503" t="s">
        <v>152</v>
      </c>
      <c r="B30" s="602" t="s">
        <v>735</v>
      </c>
      <c r="C30" s="477"/>
      <c r="D30" s="477"/>
      <c r="E30" s="477"/>
      <c r="F30" s="477"/>
      <c r="G30" s="477"/>
      <c r="H30" s="474"/>
      <c r="I30" s="616"/>
      <c r="J30" s="477"/>
      <c r="K30" s="1669">
        <f t="shared" si="0"/>
        <v>0</v>
      </c>
      <c r="L30" s="471"/>
    </row>
    <row r="31" spans="1:12" x14ac:dyDescent="0.2">
      <c r="A31" s="1503" t="s">
        <v>153</v>
      </c>
      <c r="B31" s="602" t="s">
        <v>736</v>
      </c>
      <c r="C31" s="477"/>
      <c r="D31" s="477"/>
      <c r="E31" s="477"/>
      <c r="F31" s="477"/>
      <c r="G31" s="477"/>
      <c r="H31" s="474">
        <v>6500</v>
      </c>
      <c r="I31" s="616"/>
      <c r="J31" s="477"/>
      <c r="K31" s="1669">
        <f t="shared" si="0"/>
        <v>6500</v>
      </c>
      <c r="L31" s="471"/>
    </row>
    <row r="32" spans="1:12" x14ac:dyDescent="0.2">
      <c r="A32" s="1504" t="s">
        <v>1129</v>
      </c>
      <c r="B32" s="614" t="s">
        <v>737</v>
      </c>
      <c r="C32" s="477"/>
      <c r="D32" s="477"/>
      <c r="E32" s="477"/>
      <c r="F32" s="477"/>
      <c r="G32" s="477"/>
      <c r="H32" s="474"/>
      <c r="I32" s="616"/>
      <c r="J32" s="480"/>
      <c r="K32" s="1669">
        <f t="shared" si="0"/>
        <v>0</v>
      </c>
      <c r="L32" s="471">
        <v>5000</v>
      </c>
    </row>
    <row r="33" spans="1:14" ht="12.75" customHeight="1" thickBot="1" x14ac:dyDescent="0.25">
      <c r="A33" s="1666" t="s">
        <v>1668</v>
      </c>
      <c r="B33" s="1667" t="s">
        <v>570</v>
      </c>
      <c r="C33" s="1668">
        <f>SUM(C5:C32)</f>
        <v>5594915</v>
      </c>
      <c r="D33" s="1668">
        <f t="shared" ref="D33:L33" si="1">SUM(D5:D32)</f>
        <v>1625642</v>
      </c>
      <c r="E33" s="1668">
        <f t="shared" si="1"/>
        <v>175447</v>
      </c>
      <c r="F33" s="1668">
        <f t="shared" si="1"/>
        <v>121655</v>
      </c>
      <c r="G33" s="1668">
        <f t="shared" si="1"/>
        <v>53050</v>
      </c>
      <c r="H33" s="1668">
        <f t="shared" si="1"/>
        <v>25682</v>
      </c>
      <c r="I33" s="1668">
        <f t="shared" si="1"/>
        <v>2442</v>
      </c>
      <c r="J33" s="1668">
        <f t="shared" si="1"/>
        <v>0</v>
      </c>
      <c r="K33" s="1668">
        <f t="shared" si="1"/>
        <v>7598833</v>
      </c>
      <c r="L33" s="1668">
        <f t="shared" si="1"/>
        <v>8104287</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c r="D36" s="481"/>
      <c r="E36" s="481"/>
      <c r="F36" s="481"/>
      <c r="G36" s="481"/>
      <c r="H36" s="481"/>
      <c r="I36" s="467"/>
      <c r="J36" s="467"/>
      <c r="K36" s="1669">
        <f t="shared" ref="K36:K41" si="2">SUM(C36:J36)</f>
        <v>0</v>
      </c>
      <c r="L36" s="466"/>
    </row>
    <row r="37" spans="1:14" x14ac:dyDescent="0.2">
      <c r="A37" s="1502" t="s">
        <v>1090</v>
      </c>
      <c r="B37" s="614">
        <v>2120</v>
      </c>
      <c r="C37" s="466">
        <v>64738</v>
      </c>
      <c r="D37" s="466">
        <v>18837</v>
      </c>
      <c r="E37" s="466">
        <v>23284</v>
      </c>
      <c r="F37" s="466"/>
      <c r="G37" s="466"/>
      <c r="H37" s="466"/>
      <c r="I37" s="467"/>
      <c r="J37" s="467"/>
      <c r="K37" s="1669">
        <f t="shared" si="2"/>
        <v>106859</v>
      </c>
      <c r="L37" s="466">
        <v>106124</v>
      </c>
    </row>
    <row r="38" spans="1:14" x14ac:dyDescent="0.2">
      <c r="A38" s="1502" t="s">
        <v>198</v>
      </c>
      <c r="B38" s="614">
        <v>2130</v>
      </c>
      <c r="C38" s="466">
        <v>37931</v>
      </c>
      <c r="D38" s="466">
        <v>5289</v>
      </c>
      <c r="E38" s="466">
        <v>29953</v>
      </c>
      <c r="F38" s="466">
        <v>2432</v>
      </c>
      <c r="G38" s="466"/>
      <c r="H38" s="466">
        <v>25165</v>
      </c>
      <c r="I38" s="467"/>
      <c r="J38" s="467"/>
      <c r="K38" s="1669">
        <f t="shared" si="2"/>
        <v>100770</v>
      </c>
      <c r="L38" s="466">
        <v>119348</v>
      </c>
    </row>
    <row r="39" spans="1:14" x14ac:dyDescent="0.2">
      <c r="A39" s="1502" t="s">
        <v>199</v>
      </c>
      <c r="B39" s="614">
        <v>2140</v>
      </c>
      <c r="C39" s="466"/>
      <c r="D39" s="466"/>
      <c r="E39" s="466"/>
      <c r="F39" s="466"/>
      <c r="G39" s="466"/>
      <c r="H39" s="466"/>
      <c r="I39" s="467"/>
      <c r="J39" s="467"/>
      <c r="K39" s="1669">
        <f t="shared" si="2"/>
        <v>0</v>
      </c>
      <c r="L39" s="466"/>
    </row>
    <row r="40" spans="1:14" x14ac:dyDescent="0.2">
      <c r="A40" s="1502" t="s">
        <v>200</v>
      </c>
      <c r="B40" s="614">
        <v>2150</v>
      </c>
      <c r="C40" s="466"/>
      <c r="D40" s="466"/>
      <c r="E40" s="466"/>
      <c r="F40" s="466"/>
      <c r="G40" s="466"/>
      <c r="H40" s="466"/>
      <c r="I40" s="467"/>
      <c r="J40" s="467"/>
      <c r="K40" s="1669">
        <f t="shared" si="2"/>
        <v>0</v>
      </c>
      <c r="L40" s="466"/>
    </row>
    <row r="41" spans="1:14" x14ac:dyDescent="0.2">
      <c r="A41" s="1502"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102669</v>
      </c>
      <c r="D42" s="1668">
        <f t="shared" ref="D42:L42" si="3">SUM(D36:D41)</f>
        <v>24126</v>
      </c>
      <c r="E42" s="1668">
        <f t="shared" si="3"/>
        <v>53237</v>
      </c>
      <c r="F42" s="1668">
        <f t="shared" si="3"/>
        <v>2432</v>
      </c>
      <c r="G42" s="1668">
        <f t="shared" si="3"/>
        <v>0</v>
      </c>
      <c r="H42" s="1668">
        <f t="shared" si="3"/>
        <v>25165</v>
      </c>
      <c r="I42" s="1668">
        <f t="shared" si="3"/>
        <v>0</v>
      </c>
      <c r="J42" s="1668">
        <f t="shared" si="3"/>
        <v>0</v>
      </c>
      <c r="K42" s="1668">
        <f t="shared" si="3"/>
        <v>207629</v>
      </c>
      <c r="L42" s="1668">
        <f t="shared" si="3"/>
        <v>225472</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18542</v>
      </c>
      <c r="D44" s="481">
        <v>1714</v>
      </c>
      <c r="E44" s="481">
        <v>52713</v>
      </c>
      <c r="F44" s="481">
        <v>5140</v>
      </c>
      <c r="G44" s="481">
        <v>815</v>
      </c>
      <c r="H44" s="481"/>
      <c r="I44" s="467"/>
      <c r="J44" s="467"/>
      <c r="K44" s="1670">
        <f>SUM(C44:J44)</f>
        <v>78924</v>
      </c>
      <c r="L44" s="481">
        <v>109311</v>
      </c>
    </row>
    <row r="45" spans="1:14" x14ac:dyDescent="0.2">
      <c r="A45" s="1502" t="s">
        <v>815</v>
      </c>
      <c r="B45" s="614">
        <v>2220</v>
      </c>
      <c r="C45" s="466">
        <v>224905</v>
      </c>
      <c r="D45" s="466">
        <v>53195</v>
      </c>
      <c r="E45" s="466">
        <v>877</v>
      </c>
      <c r="F45" s="466">
        <v>6264</v>
      </c>
      <c r="G45" s="466"/>
      <c r="H45" s="466"/>
      <c r="I45" s="467"/>
      <c r="J45" s="467"/>
      <c r="K45" s="1670">
        <f>SUM(C45:J45)</f>
        <v>285241</v>
      </c>
      <c r="L45" s="466">
        <v>284774</v>
      </c>
    </row>
    <row r="46" spans="1:14" x14ac:dyDescent="0.2">
      <c r="A46" s="1502" t="s">
        <v>816</v>
      </c>
      <c r="B46" s="614">
        <v>2230</v>
      </c>
      <c r="C46" s="466"/>
      <c r="D46" s="466"/>
      <c r="E46" s="466">
        <v>15965</v>
      </c>
      <c r="F46" s="466"/>
      <c r="G46" s="466"/>
      <c r="H46" s="466"/>
      <c r="I46" s="467"/>
      <c r="J46" s="467"/>
      <c r="K46" s="1670">
        <f>SUM(C46:J46)</f>
        <v>15965</v>
      </c>
      <c r="L46" s="466">
        <v>15965</v>
      </c>
    </row>
    <row r="47" spans="1:14" ht="12.75" customHeight="1" thickBot="1" x14ac:dyDescent="0.25">
      <c r="A47" s="1666" t="s">
        <v>561</v>
      </c>
      <c r="B47" s="1667" t="s">
        <v>32</v>
      </c>
      <c r="C47" s="1668">
        <f>SUM(C44:C46)</f>
        <v>243447</v>
      </c>
      <c r="D47" s="1668">
        <f t="shared" ref="D47:K47" si="4">SUM(D44:D46)</f>
        <v>54909</v>
      </c>
      <c r="E47" s="1668">
        <f t="shared" si="4"/>
        <v>69555</v>
      </c>
      <c r="F47" s="1668">
        <f t="shared" si="4"/>
        <v>11404</v>
      </c>
      <c r="G47" s="1668">
        <f t="shared" si="4"/>
        <v>815</v>
      </c>
      <c r="H47" s="1668">
        <f t="shared" si="4"/>
        <v>0</v>
      </c>
      <c r="I47" s="1668">
        <f t="shared" si="4"/>
        <v>0</v>
      </c>
      <c r="J47" s="1668">
        <f t="shared" si="4"/>
        <v>0</v>
      </c>
      <c r="K47" s="1668">
        <f t="shared" si="4"/>
        <v>380130</v>
      </c>
      <c r="L47" s="1668">
        <f>SUM(L44:L46)</f>
        <v>410050</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v>1800</v>
      </c>
      <c r="D49" s="481"/>
      <c r="E49" s="481">
        <v>35891</v>
      </c>
      <c r="F49" s="481">
        <v>4530</v>
      </c>
      <c r="G49" s="481"/>
      <c r="H49" s="481">
        <v>4356</v>
      </c>
      <c r="I49" s="467"/>
      <c r="J49" s="467"/>
      <c r="K49" s="1670">
        <f>SUM(C49:J49)</f>
        <v>46577</v>
      </c>
      <c r="L49" s="481">
        <v>41956</v>
      </c>
    </row>
    <row r="50" spans="1:14" x14ac:dyDescent="0.2">
      <c r="A50" s="1502" t="s">
        <v>818</v>
      </c>
      <c r="B50" s="614">
        <v>2320</v>
      </c>
      <c r="C50" s="466">
        <v>170714</v>
      </c>
      <c r="D50" s="466">
        <v>33593</v>
      </c>
      <c r="E50" s="466">
        <v>13587</v>
      </c>
      <c r="F50" s="466">
        <v>7877</v>
      </c>
      <c r="G50" s="466"/>
      <c r="H50" s="466">
        <v>980</v>
      </c>
      <c r="I50" s="467"/>
      <c r="J50" s="467"/>
      <c r="K50" s="1670">
        <f>SUM(C50:J50)</f>
        <v>226751</v>
      </c>
      <c r="L50" s="466">
        <v>222680</v>
      </c>
    </row>
    <row r="51" spans="1:14" x14ac:dyDescent="0.2">
      <c r="A51" s="1502" t="s">
        <v>42</v>
      </c>
      <c r="B51" s="614">
        <v>2330</v>
      </c>
      <c r="C51" s="466">
        <v>5000</v>
      </c>
      <c r="D51" s="466">
        <v>1118</v>
      </c>
      <c r="E51" s="466">
        <v>300</v>
      </c>
      <c r="F51" s="466"/>
      <c r="G51" s="466"/>
      <c r="H51" s="466"/>
      <c r="I51" s="467"/>
      <c r="J51" s="467"/>
      <c r="K51" s="1670">
        <f>SUM(C51:J51)</f>
        <v>6418</v>
      </c>
      <c r="L51" s="466">
        <v>8642</v>
      </c>
    </row>
    <row r="52" spans="1:14" ht="22.5" x14ac:dyDescent="0.2">
      <c r="A52" s="1503"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177514</v>
      </c>
      <c r="D53" s="1668">
        <f t="shared" ref="D53:L53" si="5">SUM(D49:D52)</f>
        <v>34711</v>
      </c>
      <c r="E53" s="1668">
        <f t="shared" si="5"/>
        <v>49778</v>
      </c>
      <c r="F53" s="1668">
        <f t="shared" si="5"/>
        <v>12407</v>
      </c>
      <c r="G53" s="1668">
        <f t="shared" si="5"/>
        <v>0</v>
      </c>
      <c r="H53" s="1668">
        <f t="shared" si="5"/>
        <v>5336</v>
      </c>
      <c r="I53" s="1668">
        <f t="shared" si="5"/>
        <v>0</v>
      </c>
      <c r="J53" s="1668">
        <f t="shared" si="5"/>
        <v>0</v>
      </c>
      <c r="K53" s="1668">
        <f t="shared" si="5"/>
        <v>279746</v>
      </c>
      <c r="L53" s="1668">
        <f t="shared" si="5"/>
        <v>273278</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705066</v>
      </c>
      <c r="D55" s="481">
        <v>167367</v>
      </c>
      <c r="E55" s="481">
        <v>21624</v>
      </c>
      <c r="F55" s="481">
        <v>7159</v>
      </c>
      <c r="G55" s="481">
        <v>675</v>
      </c>
      <c r="H55" s="481"/>
      <c r="I55" s="467"/>
      <c r="J55" s="467"/>
      <c r="K55" s="1670">
        <f>SUM(C55:J55)</f>
        <v>901891</v>
      </c>
      <c r="L55" s="481">
        <v>892800</v>
      </c>
    </row>
    <row r="56" spans="1:14" ht="12.75" customHeight="1" x14ac:dyDescent="0.2">
      <c r="A56" s="1506"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705066</v>
      </c>
      <c r="D57" s="1672">
        <f t="shared" ref="D57:K57" si="6">SUM(D55:D56)</f>
        <v>167367</v>
      </c>
      <c r="E57" s="1672">
        <f t="shared" si="6"/>
        <v>21624</v>
      </c>
      <c r="F57" s="1672">
        <f t="shared" si="6"/>
        <v>7159</v>
      </c>
      <c r="G57" s="1672">
        <f t="shared" si="6"/>
        <v>675</v>
      </c>
      <c r="H57" s="1672">
        <f t="shared" si="6"/>
        <v>0</v>
      </c>
      <c r="I57" s="1672">
        <f t="shared" si="6"/>
        <v>0</v>
      </c>
      <c r="J57" s="1672">
        <f t="shared" si="6"/>
        <v>0</v>
      </c>
      <c r="K57" s="1672">
        <f t="shared" si="6"/>
        <v>901891</v>
      </c>
      <c r="L57" s="1668">
        <f>SUM(L55:L56)</f>
        <v>892800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2" t="s">
        <v>463</v>
      </c>
      <c r="B60" s="614">
        <v>2520</v>
      </c>
      <c r="C60" s="466">
        <v>178342</v>
      </c>
      <c r="D60" s="466">
        <v>18315</v>
      </c>
      <c r="E60" s="466">
        <v>8339</v>
      </c>
      <c r="F60" s="466">
        <v>2167</v>
      </c>
      <c r="G60" s="466"/>
      <c r="H60" s="466"/>
      <c r="I60" s="467"/>
      <c r="J60" s="467"/>
      <c r="K60" s="1670">
        <f t="shared" si="7"/>
        <v>207163</v>
      </c>
      <c r="L60" s="466">
        <v>192041</v>
      </c>
      <c r="M60" s="609"/>
      <c r="N60" s="609"/>
    </row>
    <row r="61" spans="1:14" s="343" customFormat="1" x14ac:dyDescent="0.2">
      <c r="A61" s="1502" t="s">
        <v>197</v>
      </c>
      <c r="B61" s="614">
        <v>2540</v>
      </c>
      <c r="C61" s="466">
        <v>500847</v>
      </c>
      <c r="D61" s="466">
        <v>95142</v>
      </c>
      <c r="E61" s="466">
        <v>105673</v>
      </c>
      <c r="F61" s="466">
        <v>45935</v>
      </c>
      <c r="G61" s="466"/>
      <c r="H61" s="466"/>
      <c r="I61" s="467"/>
      <c r="J61" s="467"/>
      <c r="K61" s="1670">
        <f t="shared" si="7"/>
        <v>747597</v>
      </c>
      <c r="L61" s="466">
        <v>788000</v>
      </c>
      <c r="M61" s="609"/>
      <c r="N61" s="609"/>
    </row>
    <row r="62" spans="1:14" s="343" customFormat="1" x14ac:dyDescent="0.2">
      <c r="A62" s="1502" t="s">
        <v>953</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v>323946</v>
      </c>
      <c r="D63" s="466">
        <v>114166</v>
      </c>
      <c r="E63" s="466">
        <v>3556</v>
      </c>
      <c r="F63" s="466">
        <v>276001</v>
      </c>
      <c r="G63" s="466">
        <v>19248</v>
      </c>
      <c r="H63" s="466"/>
      <c r="I63" s="467"/>
      <c r="J63" s="467"/>
      <c r="K63" s="1670">
        <f t="shared" si="7"/>
        <v>736917</v>
      </c>
      <c r="L63" s="466">
        <v>814200</v>
      </c>
    </row>
    <row r="64" spans="1:14" s="609" customFormat="1" x14ac:dyDescent="0.2">
      <c r="A64" s="1507" t="s">
        <v>101</v>
      </c>
      <c r="B64" s="630">
        <v>2570</v>
      </c>
      <c r="C64" s="481">
        <v>5388</v>
      </c>
      <c r="D64" s="481">
        <v>964</v>
      </c>
      <c r="E64" s="481"/>
      <c r="F64" s="481"/>
      <c r="G64" s="481"/>
      <c r="H64" s="481"/>
      <c r="I64" s="467"/>
      <c r="J64" s="467"/>
      <c r="K64" s="1670">
        <f t="shared" si="7"/>
        <v>6352</v>
      </c>
      <c r="L64" s="481">
        <v>6257</v>
      </c>
    </row>
    <row r="65" spans="1:14" s="343" customFormat="1" ht="12.75" customHeight="1" thickBot="1" x14ac:dyDescent="0.25">
      <c r="A65" s="1666" t="s">
        <v>719</v>
      </c>
      <c r="B65" s="1667" t="s">
        <v>35</v>
      </c>
      <c r="C65" s="1668">
        <f>SUM(C59:C64)</f>
        <v>1008523</v>
      </c>
      <c r="D65" s="1668">
        <f t="shared" ref="D65:L65" si="8">SUM(D59:D64)</f>
        <v>228587</v>
      </c>
      <c r="E65" s="1668">
        <f t="shared" si="8"/>
        <v>117568</v>
      </c>
      <c r="F65" s="1668">
        <f t="shared" si="8"/>
        <v>324103</v>
      </c>
      <c r="G65" s="1668">
        <f t="shared" si="8"/>
        <v>19248</v>
      </c>
      <c r="H65" s="1668">
        <f t="shared" si="8"/>
        <v>0</v>
      </c>
      <c r="I65" s="1668">
        <f t="shared" si="8"/>
        <v>0</v>
      </c>
      <c r="J65" s="1668">
        <f t="shared" si="8"/>
        <v>0</v>
      </c>
      <c r="K65" s="1668">
        <f t="shared" si="8"/>
        <v>1698029</v>
      </c>
      <c r="L65" s="1668">
        <f t="shared" si="8"/>
        <v>1800498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c r="M67" s="609"/>
      <c r="N67" s="609"/>
    </row>
    <row r="68" spans="1:14" s="343" customFormat="1" x14ac:dyDescent="0.2">
      <c r="A68" s="1502" t="s">
        <v>607</v>
      </c>
      <c r="B68" s="614">
        <v>2620</v>
      </c>
      <c r="C68" s="466">
        <v>12025</v>
      </c>
      <c r="D68" s="466">
        <v>2670</v>
      </c>
      <c r="E68" s="466"/>
      <c r="F68" s="466">
        <v>1100</v>
      </c>
      <c r="G68" s="466"/>
      <c r="H68" s="466"/>
      <c r="I68" s="467"/>
      <c r="J68" s="467"/>
      <c r="K68" s="1670">
        <f>SUM(C68:J68)</f>
        <v>15795</v>
      </c>
      <c r="L68" s="466">
        <v>11013</v>
      </c>
      <c r="M68" s="609"/>
      <c r="N68" s="609"/>
    </row>
    <row r="69" spans="1:14" s="343" customFormat="1" x14ac:dyDescent="0.2">
      <c r="A69" s="1502" t="s">
        <v>1061</v>
      </c>
      <c r="B69" s="614">
        <v>2630</v>
      </c>
      <c r="C69" s="466"/>
      <c r="D69" s="466"/>
      <c r="E69" s="466"/>
      <c r="F69" s="466"/>
      <c r="G69" s="466"/>
      <c r="H69" s="466"/>
      <c r="I69" s="467"/>
      <c r="J69" s="467"/>
      <c r="K69" s="1670">
        <f>SUM(C69:J69)</f>
        <v>0</v>
      </c>
      <c r="L69" s="466"/>
      <c r="M69" s="609"/>
      <c r="N69" s="609"/>
    </row>
    <row r="70" spans="1:14" s="343" customFormat="1" x14ac:dyDescent="0.2">
      <c r="A70" s="1502" t="s">
        <v>403</v>
      </c>
      <c r="B70" s="614">
        <v>2640</v>
      </c>
      <c r="C70" s="466"/>
      <c r="D70" s="466"/>
      <c r="E70" s="466"/>
      <c r="F70" s="466"/>
      <c r="G70" s="466"/>
      <c r="H70" s="466"/>
      <c r="I70" s="467"/>
      <c r="J70" s="467"/>
      <c r="K70" s="1670">
        <f>SUM(C70:J70)</f>
        <v>0</v>
      </c>
      <c r="L70" s="466"/>
      <c r="M70" s="609"/>
      <c r="N70" s="609"/>
    </row>
    <row r="71" spans="1:14" s="343" customFormat="1" x14ac:dyDescent="0.2">
      <c r="A71" s="1502"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12025</v>
      </c>
      <c r="D72" s="1668">
        <f t="shared" ref="D72:K72" si="9">SUM(D67:D71)</f>
        <v>2670</v>
      </c>
      <c r="E72" s="1668">
        <f t="shared" si="9"/>
        <v>0</v>
      </c>
      <c r="F72" s="1668">
        <f t="shared" si="9"/>
        <v>1100</v>
      </c>
      <c r="G72" s="1668">
        <f t="shared" si="9"/>
        <v>0</v>
      </c>
      <c r="H72" s="1668">
        <f t="shared" si="9"/>
        <v>0</v>
      </c>
      <c r="I72" s="1668">
        <f t="shared" si="9"/>
        <v>0</v>
      </c>
      <c r="J72" s="1668">
        <f t="shared" si="9"/>
        <v>0</v>
      </c>
      <c r="K72" s="1668">
        <f t="shared" si="9"/>
        <v>15795</v>
      </c>
      <c r="L72" s="1668">
        <f>SUM(L67:L71)</f>
        <v>11013</v>
      </c>
      <c r="M72" s="609"/>
      <c r="N72" s="609"/>
    </row>
    <row r="73" spans="1:14" s="343" customFormat="1" ht="14.25" thickTop="1" thickBot="1" x14ac:dyDescent="0.25">
      <c r="A73" s="1508"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2249244</v>
      </c>
      <c r="D74" s="1675">
        <f t="shared" ref="D74:K74" si="10">SUM(D42,D47,D53,D57,D65,D72,D73)</f>
        <v>512370</v>
      </c>
      <c r="E74" s="1675">
        <f t="shared" si="10"/>
        <v>311762</v>
      </c>
      <c r="F74" s="1675">
        <f t="shared" si="10"/>
        <v>358605</v>
      </c>
      <c r="G74" s="1675">
        <f t="shared" si="10"/>
        <v>20738</v>
      </c>
      <c r="H74" s="1675">
        <f t="shared" si="10"/>
        <v>30501</v>
      </c>
      <c r="I74" s="1675">
        <f t="shared" si="10"/>
        <v>0</v>
      </c>
      <c r="J74" s="1675">
        <f t="shared" si="10"/>
        <v>0</v>
      </c>
      <c r="K74" s="1675">
        <f t="shared" si="10"/>
        <v>3483220</v>
      </c>
      <c r="L74" s="1675">
        <f>SUM(L42,L47,L53,L57,L65,L72,L73)</f>
        <v>3613111</v>
      </c>
    </row>
    <row r="75" spans="1:14" s="259" customFormat="1" ht="15.75" customHeight="1" thickTop="1" thickBot="1" x14ac:dyDescent="0.25">
      <c r="A75" s="1608" t="s">
        <v>47</v>
      </c>
      <c r="B75" s="1609" t="s">
        <v>575</v>
      </c>
      <c r="C75" s="573">
        <v>44590</v>
      </c>
      <c r="D75" s="573">
        <v>9640</v>
      </c>
      <c r="E75" s="573">
        <v>9100</v>
      </c>
      <c r="F75" s="573">
        <v>2240</v>
      </c>
      <c r="G75" s="573">
        <v>45750</v>
      </c>
      <c r="H75" s="573"/>
      <c r="I75" s="531"/>
      <c r="J75" s="531"/>
      <c r="K75" s="1668">
        <f>SUM(C75:J75)</f>
        <v>111320</v>
      </c>
      <c r="L75" s="576">
        <v>103725</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row>
    <row r="79" spans="1:14" x14ac:dyDescent="0.2">
      <c r="A79" s="1502" t="s">
        <v>304</v>
      </c>
      <c r="B79" s="614">
        <v>4120</v>
      </c>
      <c r="C79" s="616"/>
      <c r="D79" s="616"/>
      <c r="E79" s="466">
        <v>492524</v>
      </c>
      <c r="F79" s="616"/>
      <c r="G79" s="616"/>
      <c r="H79" s="466"/>
      <c r="I79" s="477"/>
      <c r="J79" s="477"/>
      <c r="K79" s="1669">
        <f t="shared" si="11"/>
        <v>492524</v>
      </c>
      <c r="L79" s="466">
        <v>605777</v>
      </c>
    </row>
    <row r="80" spans="1:14" x14ac:dyDescent="0.2">
      <c r="A80" s="1502" t="s">
        <v>305</v>
      </c>
      <c r="B80" s="614">
        <v>4130</v>
      </c>
      <c r="C80" s="616"/>
      <c r="D80" s="616"/>
      <c r="E80" s="466"/>
      <c r="F80" s="616"/>
      <c r="G80" s="616"/>
      <c r="H80" s="466"/>
      <c r="I80" s="477"/>
      <c r="J80" s="477"/>
      <c r="K80" s="1669">
        <f t="shared" si="11"/>
        <v>0</v>
      </c>
      <c r="L80" s="466"/>
    </row>
    <row r="81" spans="1:12" x14ac:dyDescent="0.2">
      <c r="A81" s="1502" t="s">
        <v>697</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698</v>
      </c>
      <c r="B83" s="628">
        <v>4190</v>
      </c>
      <c r="C83" s="616"/>
      <c r="D83" s="616"/>
      <c r="E83" s="466">
        <v>3625</v>
      </c>
      <c r="F83" s="616"/>
      <c r="G83" s="616"/>
      <c r="H83" s="466">
        <v>4745</v>
      </c>
      <c r="I83" s="477"/>
      <c r="J83" s="477"/>
      <c r="K83" s="1669">
        <f t="shared" si="11"/>
        <v>8370</v>
      </c>
      <c r="L83" s="466"/>
    </row>
    <row r="84" spans="1:12" ht="13.5" thickBot="1" x14ac:dyDescent="0.25">
      <c r="A84" s="1666" t="s">
        <v>1485</v>
      </c>
      <c r="B84" s="1676">
        <v>4100</v>
      </c>
      <c r="C84" s="616"/>
      <c r="D84" s="616"/>
      <c r="E84" s="1668">
        <f>SUM(E78:E83)</f>
        <v>496149</v>
      </c>
      <c r="F84" s="616"/>
      <c r="G84" s="616"/>
      <c r="H84" s="1668">
        <f>SUM(H78:H83)</f>
        <v>4745</v>
      </c>
      <c r="I84" s="477"/>
      <c r="J84" s="477"/>
      <c r="K84" s="1668">
        <f>SUM(K78:K83)</f>
        <v>500894</v>
      </c>
      <c r="L84" s="1668">
        <f>SUM(L78:L83)</f>
        <v>605777</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699</v>
      </c>
      <c r="B86" s="637">
        <v>4220</v>
      </c>
      <c r="C86" s="616"/>
      <c r="D86" s="616"/>
      <c r="E86" s="638"/>
      <c r="F86" s="616"/>
      <c r="G86" s="616"/>
      <c r="H86" s="467"/>
      <c r="I86" s="477"/>
      <c r="J86" s="477"/>
      <c r="K86" s="1675">
        <f t="shared" ref="K86:K98" si="12">H86</f>
        <v>0</v>
      </c>
      <c r="L86" s="530"/>
    </row>
    <row r="87" spans="1:12" ht="14.25" thickTop="1" thickBot="1" x14ac:dyDescent="0.25">
      <c r="A87" s="1511" t="s">
        <v>700</v>
      </c>
      <c r="B87" s="639">
        <v>4230</v>
      </c>
      <c r="C87" s="616"/>
      <c r="D87" s="616"/>
      <c r="E87" s="638"/>
      <c r="F87" s="616"/>
      <c r="G87" s="616"/>
      <c r="H87" s="467"/>
      <c r="I87" s="477"/>
      <c r="J87" s="477"/>
      <c r="K87" s="1675">
        <f t="shared" si="12"/>
        <v>0</v>
      </c>
      <c r="L87" s="530"/>
    </row>
    <row r="88" spans="1:12" ht="12.75" customHeight="1" thickTop="1" thickBot="1" x14ac:dyDescent="0.25">
      <c r="A88" s="1511" t="s">
        <v>765</v>
      </c>
      <c r="B88" s="639">
        <v>4240</v>
      </c>
      <c r="C88" s="616"/>
      <c r="D88" s="616"/>
      <c r="E88" s="638"/>
      <c r="F88" s="616"/>
      <c r="G88" s="616"/>
      <c r="H88" s="467"/>
      <c r="I88" s="477"/>
      <c r="J88" s="477"/>
      <c r="K88" s="1675">
        <f t="shared" si="12"/>
        <v>0</v>
      </c>
      <c r="L88" s="530"/>
    </row>
    <row r="89" spans="1:12" ht="12.75" customHeight="1" thickTop="1" thickBot="1" x14ac:dyDescent="0.25">
      <c r="A89" s="1511" t="s">
        <v>701</v>
      </c>
      <c r="B89" s="639">
        <v>4270</v>
      </c>
      <c r="C89" s="616"/>
      <c r="D89" s="616"/>
      <c r="E89" s="638"/>
      <c r="F89" s="616"/>
      <c r="G89" s="616"/>
      <c r="H89" s="467"/>
      <c r="I89" s="477"/>
      <c r="J89" s="477"/>
      <c r="K89" s="1675">
        <f t="shared" si="12"/>
        <v>0</v>
      </c>
      <c r="L89" s="530"/>
    </row>
    <row r="90" spans="1:12" ht="12.75" customHeight="1" thickTop="1" thickBot="1" x14ac:dyDescent="0.25">
      <c r="A90" s="1511" t="s">
        <v>686</v>
      </c>
      <c r="B90" s="639">
        <v>4280</v>
      </c>
      <c r="C90" s="616"/>
      <c r="D90" s="616"/>
      <c r="E90" s="638"/>
      <c r="F90" s="616"/>
      <c r="G90" s="616"/>
      <c r="H90" s="467"/>
      <c r="I90" s="477"/>
      <c r="J90" s="477"/>
      <c r="K90" s="1675">
        <f t="shared" si="12"/>
        <v>0</v>
      </c>
      <c r="L90" s="530"/>
    </row>
    <row r="91" spans="1:12" ht="12.75" customHeight="1" thickTop="1" thickBot="1" x14ac:dyDescent="0.25">
      <c r="A91" s="1511"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688</v>
      </c>
      <c r="B93" s="640">
        <v>4310</v>
      </c>
      <c r="C93" s="616"/>
      <c r="D93" s="616"/>
      <c r="E93" s="638"/>
      <c r="F93" s="616"/>
      <c r="G93" s="616"/>
      <c r="H93" s="641"/>
      <c r="I93" s="477"/>
      <c r="J93" s="477"/>
      <c r="K93" s="1675">
        <f t="shared" si="12"/>
        <v>0</v>
      </c>
      <c r="L93" s="532"/>
    </row>
    <row r="94" spans="1:12" ht="12.75" customHeight="1" thickTop="1" thickBot="1" x14ac:dyDescent="0.25">
      <c r="A94" s="1511" t="s">
        <v>689</v>
      </c>
      <c r="B94" s="639">
        <v>4320</v>
      </c>
      <c r="C94" s="616"/>
      <c r="D94" s="616"/>
      <c r="E94" s="638"/>
      <c r="F94" s="616"/>
      <c r="G94" s="616"/>
      <c r="H94" s="467"/>
      <c r="I94" s="477"/>
      <c r="J94" s="477"/>
      <c r="K94" s="1675">
        <f t="shared" si="12"/>
        <v>0</v>
      </c>
      <c r="L94" s="530"/>
    </row>
    <row r="95" spans="1:12" ht="15" customHeight="1" thickTop="1" thickBot="1" x14ac:dyDescent="0.25">
      <c r="A95" s="1511" t="s">
        <v>1488</v>
      </c>
      <c r="B95" s="639">
        <v>4330</v>
      </c>
      <c r="C95" s="616"/>
      <c r="D95" s="616"/>
      <c r="E95" s="638"/>
      <c r="F95" s="616"/>
      <c r="G95" s="616"/>
      <c r="H95" s="467"/>
      <c r="I95" s="477"/>
      <c r="J95" s="477"/>
      <c r="K95" s="1675">
        <f t="shared" si="12"/>
        <v>0</v>
      </c>
      <c r="L95" s="530"/>
    </row>
    <row r="96" spans="1:12" ht="14.25" thickTop="1" thickBot="1" x14ac:dyDescent="0.25">
      <c r="A96" s="1511" t="s">
        <v>690</v>
      </c>
      <c r="B96" s="639">
        <v>4340</v>
      </c>
      <c r="C96" s="616"/>
      <c r="D96" s="616"/>
      <c r="E96" s="638"/>
      <c r="F96" s="616"/>
      <c r="G96" s="616"/>
      <c r="H96" s="467"/>
      <c r="I96" s="477"/>
      <c r="J96" s="477"/>
      <c r="K96" s="1675">
        <f t="shared" si="12"/>
        <v>0</v>
      </c>
      <c r="L96" s="530"/>
    </row>
    <row r="97" spans="1:14" ht="12.75" customHeight="1" thickTop="1" thickBot="1" x14ac:dyDescent="0.25">
      <c r="A97" s="1511" t="s">
        <v>763</v>
      </c>
      <c r="B97" s="639">
        <v>4370</v>
      </c>
      <c r="C97" s="616"/>
      <c r="D97" s="616"/>
      <c r="E97" s="638"/>
      <c r="F97" s="616"/>
      <c r="G97" s="616"/>
      <c r="H97" s="467"/>
      <c r="I97" s="477"/>
      <c r="J97" s="477"/>
      <c r="K97" s="1675">
        <f t="shared" si="12"/>
        <v>0</v>
      </c>
      <c r="L97" s="530"/>
    </row>
    <row r="98" spans="1:14" ht="14.25" thickTop="1" thickBot="1" x14ac:dyDescent="0.25">
      <c r="A98" s="1511" t="s">
        <v>764</v>
      </c>
      <c r="B98" s="639">
        <v>4380</v>
      </c>
      <c r="C98" s="616"/>
      <c r="D98" s="616"/>
      <c r="E98" s="642"/>
      <c r="F98" s="616"/>
      <c r="G98" s="616"/>
      <c r="H98" s="467"/>
      <c r="I98" s="477"/>
      <c r="J98" s="477"/>
      <c r="K98" s="1675">
        <f t="shared" si="12"/>
        <v>0</v>
      </c>
      <c r="L98" s="530"/>
    </row>
    <row r="99" spans="1:14" ht="14.25" thickTop="1" thickBot="1" x14ac:dyDescent="0.25">
      <c r="A99" s="1511"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496149</v>
      </c>
      <c r="F102" s="616"/>
      <c r="G102" s="616"/>
      <c r="H102" s="1675">
        <f>SUM(H84,H92,H100,H101)</f>
        <v>4745</v>
      </c>
      <c r="I102" s="477"/>
      <c r="J102" s="477"/>
      <c r="K102" s="1675">
        <f>SUM(K84,K92,K100,K101)</f>
        <v>500894</v>
      </c>
      <c r="L102" s="1675">
        <f>SUM(L84,L92,L100,L101)</f>
        <v>605777</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589</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7888749</v>
      </c>
      <c r="D114" s="1668">
        <f t="shared" ref="D114:K114" si="13">SUM(D33,D74,D75,D102,D112,D113)</f>
        <v>2147652</v>
      </c>
      <c r="E114" s="1668">
        <f t="shared" si="13"/>
        <v>992458</v>
      </c>
      <c r="F114" s="1668">
        <f t="shared" si="13"/>
        <v>482500</v>
      </c>
      <c r="G114" s="1668">
        <f t="shared" si="13"/>
        <v>119538</v>
      </c>
      <c r="H114" s="1668">
        <f>SUM(H33,H74,H75,H102,H112,H113)</f>
        <v>60928</v>
      </c>
      <c r="I114" s="1668">
        <f t="shared" si="13"/>
        <v>2442</v>
      </c>
      <c r="J114" s="1668">
        <f t="shared" si="13"/>
        <v>0</v>
      </c>
      <c r="K114" s="1668">
        <f t="shared" si="13"/>
        <v>11694267</v>
      </c>
      <c r="L114" s="1668">
        <f>SUM(L33,L74,L75,L102,L112,L113)</f>
        <v>12426900</v>
      </c>
    </row>
    <row r="115" spans="1:14" ht="13.5" thickTop="1" x14ac:dyDescent="0.2">
      <c r="A115" s="2164" t="s">
        <v>996</v>
      </c>
      <c r="B115" s="2165"/>
      <c r="C115" s="618"/>
      <c r="D115" s="618"/>
      <c r="E115" s="618"/>
      <c r="F115" s="618"/>
      <c r="G115" s="618"/>
      <c r="H115" s="618"/>
      <c r="I115" s="618"/>
      <c r="J115" s="618"/>
      <c r="K115" s="1682">
        <f>'Revenues 9-14'!C268-'Expenditures 15-22'!K114</f>
        <v>572491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9" t="s">
        <v>296</v>
      </c>
      <c r="B117" s="2170"/>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2057</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v>40553</v>
      </c>
      <c r="H123" s="466"/>
      <c r="I123" s="467"/>
      <c r="J123" s="467"/>
      <c r="K123" s="1668">
        <f>SUM(C123:J123)</f>
        <v>40553</v>
      </c>
      <c r="L123" s="466">
        <v>40553</v>
      </c>
    </row>
    <row r="124" spans="1:14" ht="14.25" thickTop="1" thickBot="1" x14ac:dyDescent="0.25">
      <c r="A124" s="1502" t="s">
        <v>197</v>
      </c>
      <c r="B124" s="614">
        <v>2540</v>
      </c>
      <c r="C124" s="466"/>
      <c r="D124" s="466"/>
      <c r="E124" s="466">
        <v>41494</v>
      </c>
      <c r="F124" s="466">
        <v>209718</v>
      </c>
      <c r="G124" s="466">
        <v>79076</v>
      </c>
      <c r="H124" s="466"/>
      <c r="I124" s="467"/>
      <c r="J124" s="467"/>
      <c r="K124" s="1668">
        <f>SUM(C124:J124)</f>
        <v>330288</v>
      </c>
      <c r="L124" s="466">
        <v>370000</v>
      </c>
    </row>
    <row r="125" spans="1:14" ht="14.25" thickTop="1" thickBot="1" x14ac:dyDescent="0.25">
      <c r="A125" s="1502" t="s">
        <v>953</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41494</v>
      </c>
      <c r="F127" s="1668">
        <f t="shared" si="14"/>
        <v>209718</v>
      </c>
      <c r="G127" s="1668">
        <f t="shared" si="14"/>
        <v>119629</v>
      </c>
      <c r="H127" s="1668">
        <f t="shared" si="14"/>
        <v>0</v>
      </c>
      <c r="I127" s="1668">
        <f t="shared" si="14"/>
        <v>0</v>
      </c>
      <c r="J127" s="1668">
        <f t="shared" si="14"/>
        <v>0</v>
      </c>
      <c r="K127" s="1668">
        <f t="shared" si="14"/>
        <v>370841</v>
      </c>
      <c r="L127" s="1668">
        <f t="shared" si="14"/>
        <v>410553</v>
      </c>
    </row>
    <row r="128" spans="1:14" ht="12.75" customHeight="1" thickTop="1" x14ac:dyDescent="0.2">
      <c r="A128" s="1509" t="s">
        <v>980</v>
      </c>
      <c r="B128" s="655" t="s">
        <v>574</v>
      </c>
      <c r="C128" s="656"/>
      <c r="D128" s="656"/>
      <c r="E128" s="656">
        <v>59339</v>
      </c>
      <c r="F128" s="656"/>
      <c r="G128" s="656"/>
      <c r="H128" s="656"/>
      <c r="I128" s="535"/>
      <c r="J128" s="535"/>
      <c r="K128" s="1683">
        <f>SUM(C128:J128)</f>
        <v>59339</v>
      </c>
      <c r="L128" s="656">
        <v>59921</v>
      </c>
    </row>
    <row r="129" spans="1:14" ht="12.75" customHeight="1" thickBot="1" x14ac:dyDescent="0.25">
      <c r="A129" s="1684" t="s">
        <v>811</v>
      </c>
      <c r="B129" s="1685" t="s">
        <v>569</v>
      </c>
      <c r="C129" s="1675">
        <f>SUM(C120,C127,C128)</f>
        <v>0</v>
      </c>
      <c r="D129" s="1675">
        <f t="shared" ref="D129:L129" si="15">SUM(D120,D127,D128)</f>
        <v>0</v>
      </c>
      <c r="E129" s="1675">
        <f t="shared" si="15"/>
        <v>100833</v>
      </c>
      <c r="F129" s="1675">
        <f t="shared" si="15"/>
        <v>209718</v>
      </c>
      <c r="G129" s="1675">
        <f t="shared" si="15"/>
        <v>119629</v>
      </c>
      <c r="H129" s="1675">
        <f t="shared" si="15"/>
        <v>0</v>
      </c>
      <c r="I129" s="1675">
        <f t="shared" si="15"/>
        <v>0</v>
      </c>
      <c r="J129" s="1675">
        <f t="shared" si="15"/>
        <v>0</v>
      </c>
      <c r="K129" s="1675">
        <f t="shared" si="15"/>
        <v>430180</v>
      </c>
      <c r="L129" s="1675">
        <f t="shared" si="15"/>
        <v>470474</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1842</v>
      </c>
      <c r="C133" s="468"/>
      <c r="D133" s="468"/>
      <c r="E133" s="641"/>
      <c r="F133" s="468"/>
      <c r="G133" s="468"/>
      <c r="H133" s="641"/>
      <c r="I133" s="468"/>
      <c r="J133" s="468"/>
      <c r="K133" s="1819">
        <f>SUM(E133,H133)</f>
        <v>0</v>
      </c>
      <c r="L133" s="641"/>
      <c r="M133" s="206"/>
      <c r="N133" s="206"/>
    </row>
    <row r="134" spans="1:14" x14ac:dyDescent="0.2">
      <c r="A134" s="1502" t="s">
        <v>304</v>
      </c>
      <c r="B134" s="614">
        <v>4120</v>
      </c>
      <c r="C134" s="616"/>
      <c r="D134" s="616"/>
      <c r="E134" s="478"/>
      <c r="F134" s="616"/>
      <c r="G134" s="616"/>
      <c r="H134" s="481"/>
      <c r="I134" s="477"/>
      <c r="J134" s="616"/>
      <c r="K134" s="1670">
        <f>SUM(E134,H134)</f>
        <v>0</v>
      </c>
      <c r="L134" s="481"/>
    </row>
    <row r="135" spans="1:14" x14ac:dyDescent="0.2">
      <c r="A135" s="1502" t="s">
        <v>697</v>
      </c>
      <c r="B135" s="614">
        <v>4140</v>
      </c>
      <c r="C135" s="616"/>
      <c r="D135" s="616"/>
      <c r="E135" s="467"/>
      <c r="F135" s="616"/>
      <c r="G135" s="616"/>
      <c r="H135" s="466"/>
      <c r="I135" s="477"/>
      <c r="J135" s="616"/>
      <c r="K135" s="1670">
        <f>SUM(E135,H135)</f>
        <v>0</v>
      </c>
      <c r="L135" s="466"/>
    </row>
    <row r="136" spans="1:14" x14ac:dyDescent="0.2">
      <c r="A136" s="1506"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1170</v>
      </c>
      <c r="B144" s="628" t="s">
        <v>617</v>
      </c>
      <c r="C144" s="616"/>
      <c r="D144" s="616"/>
      <c r="E144" s="616"/>
      <c r="F144" s="616"/>
      <c r="G144" s="616"/>
      <c r="H144" s="466"/>
      <c r="I144" s="468"/>
      <c r="J144" s="616"/>
      <c r="K144" s="1670">
        <f>SUM(H144)</f>
        <v>0</v>
      </c>
      <c r="L144" s="466"/>
    </row>
    <row r="145" spans="1:14" x14ac:dyDescent="0.2">
      <c r="A145" s="1502" t="s">
        <v>89</v>
      </c>
      <c r="B145" s="614" t="s">
        <v>589</v>
      </c>
      <c r="C145" s="616"/>
      <c r="D145" s="616"/>
      <c r="E145" s="616"/>
      <c r="F145" s="616"/>
      <c r="G145" s="616"/>
      <c r="H145" s="466"/>
      <c r="I145" s="468"/>
      <c r="J145" s="616"/>
      <c r="K145" s="1670">
        <f>SUM(H145)</f>
        <v>0</v>
      </c>
      <c r="L145" s="466"/>
    </row>
    <row r="146" spans="1:14" ht="12.75" customHeight="1" x14ac:dyDescent="0.2">
      <c r="A146" s="1502" t="s">
        <v>619</v>
      </c>
      <c r="B146" s="614" t="s">
        <v>618</v>
      </c>
      <c r="C146" s="616"/>
      <c r="D146" s="616"/>
      <c r="E146" s="616"/>
      <c r="F146" s="616"/>
      <c r="G146" s="616"/>
      <c r="H146" s="466"/>
      <c r="I146" s="468"/>
      <c r="J146" s="616"/>
      <c r="K146" s="1670">
        <f>SUM(H146)</f>
        <v>0</v>
      </c>
      <c r="L146" s="466"/>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row>
    <row r="151" spans="1:14" ht="12.75" customHeight="1" thickTop="1" thickBot="1" x14ac:dyDescent="0.25">
      <c r="A151" s="2181" t="s">
        <v>620</v>
      </c>
      <c r="B151" s="2161"/>
      <c r="C151" s="1668">
        <f>SUM(C129,C130,C139,C149,C150)</f>
        <v>0</v>
      </c>
      <c r="D151" s="1668">
        <f t="shared" ref="D151:K151" si="16">SUM(D129,D130,D139,D149,D150)</f>
        <v>0</v>
      </c>
      <c r="E151" s="1668">
        <f t="shared" si="16"/>
        <v>100833</v>
      </c>
      <c r="F151" s="1668">
        <f t="shared" si="16"/>
        <v>209718</v>
      </c>
      <c r="G151" s="1668">
        <f t="shared" si="16"/>
        <v>119629</v>
      </c>
      <c r="H151" s="1668">
        <f t="shared" si="16"/>
        <v>0</v>
      </c>
      <c r="I151" s="1668">
        <f t="shared" si="16"/>
        <v>0</v>
      </c>
      <c r="J151" s="1668">
        <f t="shared" si="16"/>
        <v>0</v>
      </c>
      <c r="K151" s="1668">
        <f t="shared" si="16"/>
        <v>430180</v>
      </c>
      <c r="L151" s="1668">
        <f>SUM(L129,L130,L139,L149,L150)</f>
        <v>470474</v>
      </c>
    </row>
    <row r="152" spans="1:14" ht="12.75" customHeight="1" thickTop="1" x14ac:dyDescent="0.2">
      <c r="A152" s="2184" t="s">
        <v>1178</v>
      </c>
      <c r="B152" s="2185"/>
      <c r="C152" s="618"/>
      <c r="D152" s="618"/>
      <c r="E152" s="618"/>
      <c r="F152" s="618"/>
      <c r="G152" s="618"/>
      <c r="H152" s="618"/>
      <c r="I152" s="618"/>
      <c r="J152" s="616"/>
      <c r="K152" s="1682">
        <f>'Revenues 9-14'!D268-'Expenditures 15-22'!K151</f>
        <v>45234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9" t="s">
        <v>621</v>
      </c>
      <c r="B154" s="2171"/>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1843</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1842</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1844</v>
      </c>
      <c r="C158" s="616"/>
      <c r="D158" s="616"/>
      <c r="E158" s="616"/>
      <c r="F158" s="616"/>
      <c r="G158" s="616"/>
      <c r="H158" s="467"/>
      <c r="I158" s="616"/>
      <c r="J158" s="616"/>
      <c r="K158" s="1669">
        <f>H158</f>
        <v>0</v>
      </c>
      <c r="L158" s="467"/>
      <c r="M158" s="619"/>
      <c r="N158" s="619"/>
    </row>
    <row r="159" spans="1:14" s="620" customFormat="1" ht="12" x14ac:dyDescent="0.2">
      <c r="A159" s="1824" t="s">
        <v>1845</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1846</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1170</v>
      </c>
      <c r="B165" s="614" t="s">
        <v>617</v>
      </c>
      <c r="C165" s="616"/>
      <c r="D165" s="616"/>
      <c r="E165" s="616"/>
      <c r="F165" s="616"/>
      <c r="G165" s="616"/>
      <c r="H165" s="466"/>
      <c r="I165" s="616"/>
      <c r="J165" s="616"/>
      <c r="K165" s="1669">
        <f>SUM(C165:J165)</f>
        <v>0</v>
      </c>
      <c r="L165" s="466"/>
    </row>
    <row r="166" spans="1:14" x14ac:dyDescent="0.2">
      <c r="A166" s="1502" t="s">
        <v>89</v>
      </c>
      <c r="B166" s="628" t="s">
        <v>589</v>
      </c>
      <c r="C166" s="616"/>
      <c r="D166" s="616"/>
      <c r="E166" s="616"/>
      <c r="F166" s="616"/>
      <c r="G166" s="616"/>
      <c r="H166" s="466"/>
      <c r="I166" s="616"/>
      <c r="J166" s="616"/>
      <c r="K166" s="1669">
        <f>SUM(C166:J166)</f>
        <v>0</v>
      </c>
      <c r="L166" s="466"/>
    </row>
    <row r="167" spans="1:14" ht="12.75" customHeight="1" x14ac:dyDescent="0.2">
      <c r="A167" s="1502"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108263</v>
      </c>
      <c r="I169" s="616"/>
      <c r="J169" s="616"/>
      <c r="K169" s="1669">
        <f>SUM(C169:H169)</f>
        <v>108263</v>
      </c>
      <c r="L169" s="656">
        <v>108264</v>
      </c>
    </row>
    <row r="170" spans="1:14" ht="33.75" customHeight="1" x14ac:dyDescent="0.2">
      <c r="A170" s="669" t="s">
        <v>1670</v>
      </c>
      <c r="B170" s="671" t="s">
        <v>31</v>
      </c>
      <c r="C170" s="616"/>
      <c r="D170" s="616"/>
      <c r="E170" s="616"/>
      <c r="F170" s="616"/>
      <c r="G170" s="616"/>
      <c r="H170" s="569">
        <v>1987494</v>
      </c>
      <c r="I170" s="616"/>
      <c r="J170" s="616"/>
      <c r="K170" s="1669">
        <f>SUM(C170:J170)</f>
        <v>1987494</v>
      </c>
      <c r="L170" s="569">
        <v>1987493</v>
      </c>
    </row>
    <row r="171" spans="1:14" ht="15.75" customHeight="1" x14ac:dyDescent="0.2">
      <c r="A171" s="621" t="s">
        <v>766</v>
      </c>
      <c r="B171" s="672" t="s">
        <v>84</v>
      </c>
      <c r="C171" s="616"/>
      <c r="D171" s="616"/>
      <c r="E171" s="466"/>
      <c r="F171" s="616"/>
      <c r="G171" s="616"/>
      <c r="H171" s="569">
        <v>27493</v>
      </c>
      <c r="I171" s="477"/>
      <c r="J171" s="616"/>
      <c r="K171" s="1669">
        <f>SUM(C171:J171)</f>
        <v>27493</v>
      </c>
      <c r="L171" s="569">
        <v>27500</v>
      </c>
    </row>
    <row r="172" spans="1:14" ht="12.75" customHeight="1" thickBot="1" x14ac:dyDescent="0.25">
      <c r="A172" s="1666" t="s">
        <v>638</v>
      </c>
      <c r="B172" s="1667" t="s">
        <v>492</v>
      </c>
      <c r="C172" s="616"/>
      <c r="D172" s="616"/>
      <c r="E172" s="1675">
        <f>SUM(E168,E169,E170,E171)</f>
        <v>0</v>
      </c>
      <c r="F172" s="616"/>
      <c r="G172" s="616"/>
      <c r="H172" s="1675">
        <f>SUM(H168,H169,H170,H171)</f>
        <v>2123250</v>
      </c>
      <c r="I172" s="638"/>
      <c r="J172" s="616"/>
      <c r="K172" s="1675">
        <f>SUM(K168,K169,K170,K171)</f>
        <v>2123250</v>
      </c>
      <c r="L172" s="1675">
        <f>SUM(L168,L169,L170,L171)</f>
        <v>2123257</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2123250</v>
      </c>
      <c r="I174" s="638"/>
      <c r="J174" s="616"/>
      <c r="K174" s="1675">
        <f>SUM(K160,K172,K173)</f>
        <v>2123250</v>
      </c>
      <c r="L174" s="1675">
        <f>SUM(L160,L172,L173)</f>
        <v>2123257</v>
      </c>
    </row>
    <row r="175" spans="1:14" ht="13.5" thickTop="1" x14ac:dyDescent="0.2">
      <c r="A175" s="2164" t="s">
        <v>996</v>
      </c>
      <c r="B175" s="2165"/>
      <c r="C175" s="616"/>
      <c r="D175" s="616"/>
      <c r="E175" s="616"/>
      <c r="F175" s="616"/>
      <c r="G175" s="616"/>
      <c r="H175" s="618"/>
      <c r="I175" s="616"/>
      <c r="J175" s="616"/>
      <c r="K175" s="1682">
        <f>'Revenues 9-14'!E268-'Expenditures 15-22'!K174</f>
        <v>-1605638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2057</v>
      </c>
      <c r="B180" s="614" t="s">
        <v>716</v>
      </c>
      <c r="C180" s="466"/>
      <c r="D180" s="466"/>
      <c r="E180" s="466"/>
      <c r="F180" s="466"/>
      <c r="G180" s="466"/>
      <c r="H180" s="466"/>
      <c r="I180" s="467"/>
      <c r="J180" s="467"/>
      <c r="K180" s="1669">
        <f>SUM(C180:J180)</f>
        <v>0</v>
      </c>
      <c r="L180" s="466">
        <v>450000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v>304984</v>
      </c>
      <c r="D182" s="466">
        <v>9890</v>
      </c>
      <c r="E182" s="466">
        <v>307230</v>
      </c>
      <c r="F182" s="466">
        <v>66949</v>
      </c>
      <c r="G182" s="466">
        <v>25758</v>
      </c>
      <c r="H182" s="466">
        <v>1575</v>
      </c>
      <c r="I182" s="467"/>
      <c r="J182" s="467"/>
      <c r="K182" s="1669">
        <f>SUM(C182:J182)</f>
        <v>716386</v>
      </c>
      <c r="L182" s="466">
        <v>758278</v>
      </c>
    </row>
    <row r="183" spans="1:14" ht="12.75" customHeight="1" thickBot="1" x14ac:dyDescent="0.25">
      <c r="A183" s="1507"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304984</v>
      </c>
      <c r="D184" s="1675">
        <f t="shared" ref="D184:J184" si="17">SUM(D180,D182,D183)</f>
        <v>9890</v>
      </c>
      <c r="E184" s="1675">
        <f t="shared" si="17"/>
        <v>307230</v>
      </c>
      <c r="F184" s="1675">
        <f t="shared" si="17"/>
        <v>66949</v>
      </c>
      <c r="G184" s="1675">
        <f t="shared" si="17"/>
        <v>25758</v>
      </c>
      <c r="H184" s="1675">
        <f t="shared" si="17"/>
        <v>1575</v>
      </c>
      <c r="I184" s="1675">
        <f t="shared" si="17"/>
        <v>0</v>
      </c>
      <c r="J184" s="1675">
        <f t="shared" si="17"/>
        <v>0</v>
      </c>
      <c r="K184" s="1675">
        <f>SUM(K180,K182,K183)</f>
        <v>716386</v>
      </c>
      <c r="L184" s="1675">
        <f>SUM(L180, L182:L183)</f>
        <v>1208278</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row>
    <row r="189" spans="1:14" x14ac:dyDescent="0.2">
      <c r="A189" s="1502" t="s">
        <v>304</v>
      </c>
      <c r="B189" s="614">
        <v>4120</v>
      </c>
      <c r="C189" s="616"/>
      <c r="D189" s="616"/>
      <c r="E189" s="466"/>
      <c r="F189" s="616"/>
      <c r="G189" s="616"/>
      <c r="H189" s="466"/>
      <c r="I189" s="477"/>
      <c r="J189" s="616"/>
      <c r="K189" s="1669">
        <f t="shared" si="18"/>
        <v>0</v>
      </c>
      <c r="L189" s="466"/>
    </row>
    <row r="190" spans="1:14" x14ac:dyDescent="0.2">
      <c r="A190" s="1502" t="s">
        <v>305</v>
      </c>
      <c r="B190" s="628">
        <v>4130</v>
      </c>
      <c r="C190" s="616"/>
      <c r="D190" s="616"/>
      <c r="E190" s="466"/>
      <c r="F190" s="616"/>
      <c r="G190" s="616"/>
      <c r="H190" s="466"/>
      <c r="I190" s="477"/>
      <c r="J190" s="616"/>
      <c r="K190" s="1669">
        <f t="shared" si="18"/>
        <v>0</v>
      </c>
      <c r="L190" s="466"/>
    </row>
    <row r="191" spans="1:14" x14ac:dyDescent="0.2">
      <c r="A191" s="1502" t="s">
        <v>697</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1170</v>
      </c>
      <c r="B201" s="628" t="s">
        <v>617</v>
      </c>
      <c r="C201" s="616"/>
      <c r="D201" s="616"/>
      <c r="E201" s="616"/>
      <c r="F201" s="616"/>
      <c r="G201" s="616"/>
      <c r="H201" s="466"/>
      <c r="I201" s="616"/>
      <c r="J201" s="616"/>
      <c r="K201" s="1669">
        <f>SUM(H201)</f>
        <v>0</v>
      </c>
      <c r="L201" s="466"/>
    </row>
    <row r="202" spans="1:14" x14ac:dyDescent="0.2">
      <c r="A202" s="1502" t="s">
        <v>89</v>
      </c>
      <c r="B202" s="614" t="s">
        <v>589</v>
      </c>
      <c r="C202" s="616"/>
      <c r="D202" s="616"/>
      <c r="E202" s="616"/>
      <c r="F202" s="616"/>
      <c r="G202" s="616"/>
      <c r="H202" s="466"/>
      <c r="I202" s="616"/>
      <c r="J202" s="616"/>
      <c r="K202" s="1669">
        <f>SUM(H202)</f>
        <v>0</v>
      </c>
      <c r="L202" s="466"/>
    </row>
    <row r="203" spans="1:14" x14ac:dyDescent="0.2">
      <c r="A203" s="1514"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304984</v>
      </c>
      <c r="D210" s="1668">
        <f>SUM(D184,D185)</f>
        <v>9890</v>
      </c>
      <c r="E210" s="1668">
        <f>SUM(E184,E185,E196)</f>
        <v>307230</v>
      </c>
      <c r="F210" s="1668">
        <f>SUM(F184,F185)</f>
        <v>66949</v>
      </c>
      <c r="G210" s="1668">
        <f>SUM(G184,G185)</f>
        <v>25758</v>
      </c>
      <c r="H210" s="1668">
        <f>SUM(H184,H185,H196,H208,H209)</f>
        <v>1575</v>
      </c>
      <c r="I210" s="1668">
        <f>SUM(I184,I185)</f>
        <v>0</v>
      </c>
      <c r="J210" s="1668">
        <f>SUM(J184,J185)</f>
        <v>0</v>
      </c>
      <c r="K210" s="1669">
        <f>SUM(K184,K185,K196,K208,K209)</f>
        <v>716386</v>
      </c>
      <c r="L210" s="1668">
        <f>SUM(L184,L185,L196,L208,L209)</f>
        <v>1208278</v>
      </c>
    </row>
    <row r="211" spans="1:14" ht="13.5" thickTop="1" x14ac:dyDescent="0.2">
      <c r="A211" s="2164" t="s">
        <v>996</v>
      </c>
      <c r="B211" s="2165"/>
      <c r="C211" s="618"/>
      <c r="D211" s="618"/>
      <c r="E211" s="618"/>
      <c r="F211" s="618"/>
      <c r="G211" s="618"/>
      <c r="H211" s="618"/>
      <c r="I211" s="616"/>
      <c r="J211" s="616"/>
      <c r="K211" s="1682">
        <f>'Revenues 9-14'!F268-'Expenditures 15-22'!K210</f>
        <v>-145545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6" t="s">
        <v>965</v>
      </c>
      <c r="B213" s="2187"/>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v>54522</v>
      </c>
      <c r="E215" s="616"/>
      <c r="F215" s="616"/>
      <c r="G215" s="616"/>
      <c r="H215" s="616"/>
      <c r="I215" s="616"/>
      <c r="J215" s="616"/>
      <c r="K215" s="1669">
        <f>D215</f>
        <v>54522</v>
      </c>
      <c r="L215" s="466">
        <v>57626</v>
      </c>
    </row>
    <row r="216" spans="1:14" x14ac:dyDescent="0.2">
      <c r="A216" s="1502" t="s">
        <v>163</v>
      </c>
      <c r="B216" s="614" t="s">
        <v>967</v>
      </c>
      <c r="C216" s="616"/>
      <c r="D216" s="467"/>
      <c r="E216" s="616"/>
      <c r="F216" s="616"/>
      <c r="G216" s="616"/>
      <c r="H216" s="616"/>
      <c r="I216" s="616"/>
      <c r="J216" s="616"/>
      <c r="K216" s="1669">
        <f t="shared" ref="K216:K228" si="19">D216</f>
        <v>0</v>
      </c>
      <c r="L216" s="466"/>
    </row>
    <row r="217" spans="1:14" x14ac:dyDescent="0.2">
      <c r="A217" s="1502" t="s">
        <v>164</v>
      </c>
      <c r="B217" s="614">
        <v>1200</v>
      </c>
      <c r="C217" s="616"/>
      <c r="D217" s="466">
        <v>109414</v>
      </c>
      <c r="E217" s="616"/>
      <c r="F217" s="616"/>
      <c r="G217" s="616"/>
      <c r="H217" s="616"/>
      <c r="I217" s="616"/>
      <c r="J217" s="616"/>
      <c r="K217" s="1669">
        <f t="shared" si="19"/>
        <v>109414</v>
      </c>
      <c r="L217" s="466">
        <v>138041</v>
      </c>
    </row>
    <row r="218" spans="1:14" x14ac:dyDescent="0.2">
      <c r="A218" s="1502" t="s">
        <v>278</v>
      </c>
      <c r="B218" s="614" t="s">
        <v>968</v>
      </c>
      <c r="C218" s="616"/>
      <c r="D218" s="467"/>
      <c r="E218" s="616"/>
      <c r="F218" s="616"/>
      <c r="G218" s="616"/>
      <c r="H218" s="616"/>
      <c r="I218" s="616"/>
      <c r="J218" s="616"/>
      <c r="K218" s="1669">
        <f t="shared" si="19"/>
        <v>0</v>
      </c>
      <c r="L218" s="466"/>
    </row>
    <row r="219" spans="1:14" x14ac:dyDescent="0.2">
      <c r="A219" s="1502" t="s">
        <v>279</v>
      </c>
      <c r="B219" s="614">
        <v>1250</v>
      </c>
      <c r="C219" s="616"/>
      <c r="D219" s="466">
        <v>5441</v>
      </c>
      <c r="E219" s="616"/>
      <c r="F219" s="616"/>
      <c r="G219" s="616"/>
      <c r="H219" s="616"/>
      <c r="I219" s="616"/>
      <c r="J219" s="616"/>
      <c r="K219" s="1669">
        <f t="shared" si="19"/>
        <v>5441</v>
      </c>
      <c r="L219" s="466">
        <v>8513</v>
      </c>
    </row>
    <row r="220" spans="1:14" x14ac:dyDescent="0.2">
      <c r="A220" s="1502" t="s">
        <v>280</v>
      </c>
      <c r="B220" s="614" t="s">
        <v>161</v>
      </c>
      <c r="C220" s="616"/>
      <c r="D220" s="467"/>
      <c r="E220" s="616"/>
      <c r="F220" s="616"/>
      <c r="G220" s="616"/>
      <c r="H220" s="616"/>
      <c r="I220" s="616"/>
      <c r="J220" s="616"/>
      <c r="K220" s="1669">
        <f t="shared" si="19"/>
        <v>0</v>
      </c>
      <c r="L220" s="466"/>
    </row>
    <row r="221" spans="1:14" x14ac:dyDescent="0.2">
      <c r="A221" s="1502" t="s">
        <v>962</v>
      </c>
      <c r="B221" s="614">
        <v>1300</v>
      </c>
      <c r="C221" s="616"/>
      <c r="D221" s="466"/>
      <c r="E221" s="616"/>
      <c r="F221" s="616"/>
      <c r="G221" s="616"/>
      <c r="H221" s="616"/>
      <c r="I221" s="616"/>
      <c r="J221" s="616"/>
      <c r="K221" s="1669">
        <f t="shared" si="19"/>
        <v>0</v>
      </c>
      <c r="L221" s="466"/>
    </row>
    <row r="222" spans="1:14" x14ac:dyDescent="0.2">
      <c r="A222" s="1502" t="s">
        <v>723</v>
      </c>
      <c r="B222" s="614">
        <v>1400</v>
      </c>
      <c r="C222" s="616"/>
      <c r="D222" s="466"/>
      <c r="E222" s="616"/>
      <c r="F222" s="616"/>
      <c r="G222" s="616"/>
      <c r="H222" s="616"/>
      <c r="I222" s="616"/>
      <c r="J222" s="616"/>
      <c r="K222" s="1669">
        <f t="shared" si="19"/>
        <v>0</v>
      </c>
      <c r="L222" s="466"/>
    </row>
    <row r="223" spans="1:14" x14ac:dyDescent="0.2">
      <c r="A223" s="1502" t="s">
        <v>963</v>
      </c>
      <c r="B223" s="614">
        <v>1500</v>
      </c>
      <c r="C223" s="616"/>
      <c r="D223" s="466"/>
      <c r="E223" s="616"/>
      <c r="F223" s="616"/>
      <c r="G223" s="616"/>
      <c r="H223" s="616"/>
      <c r="I223" s="616"/>
      <c r="J223" s="616"/>
      <c r="K223" s="1669">
        <f t="shared" si="19"/>
        <v>0</v>
      </c>
      <c r="L223" s="466"/>
    </row>
    <row r="224" spans="1:14" x14ac:dyDescent="0.2">
      <c r="A224" s="1502" t="s">
        <v>964</v>
      </c>
      <c r="B224" s="614">
        <v>1600</v>
      </c>
      <c r="C224" s="616"/>
      <c r="D224" s="466"/>
      <c r="E224" s="616"/>
      <c r="F224" s="616"/>
      <c r="G224" s="616"/>
      <c r="H224" s="616"/>
      <c r="I224" s="616"/>
      <c r="J224" s="616"/>
      <c r="K224" s="1669">
        <f t="shared" si="19"/>
        <v>0</v>
      </c>
      <c r="L224" s="466"/>
    </row>
    <row r="225" spans="1:12" x14ac:dyDescent="0.2">
      <c r="A225" s="1502" t="s">
        <v>987</v>
      </c>
      <c r="B225" s="614">
        <v>1650</v>
      </c>
      <c r="C225" s="616"/>
      <c r="D225" s="466">
        <v>253</v>
      </c>
      <c r="E225" s="616"/>
      <c r="F225" s="616"/>
      <c r="G225" s="616"/>
      <c r="H225" s="616"/>
      <c r="I225" s="616"/>
      <c r="J225" s="616"/>
      <c r="K225" s="1669">
        <f t="shared" si="19"/>
        <v>253</v>
      </c>
      <c r="L225" s="466">
        <v>300</v>
      </c>
    </row>
    <row r="226" spans="1:12" x14ac:dyDescent="0.2">
      <c r="A226" s="1502" t="s">
        <v>724</v>
      </c>
      <c r="B226" s="614" t="s">
        <v>162</v>
      </c>
      <c r="C226" s="616"/>
      <c r="D226" s="467"/>
      <c r="E226" s="616"/>
      <c r="F226" s="616"/>
      <c r="G226" s="616"/>
      <c r="H226" s="616"/>
      <c r="I226" s="616"/>
      <c r="J226" s="616"/>
      <c r="K226" s="1669">
        <f t="shared" si="19"/>
        <v>0</v>
      </c>
      <c r="L226" s="466"/>
    </row>
    <row r="227" spans="1:12" x14ac:dyDescent="0.2">
      <c r="A227" s="1502" t="s">
        <v>1087</v>
      </c>
      <c r="B227" s="614">
        <v>1800</v>
      </c>
      <c r="C227" s="616"/>
      <c r="D227" s="466"/>
      <c r="E227" s="616"/>
      <c r="F227" s="616"/>
      <c r="G227" s="616"/>
      <c r="H227" s="616"/>
      <c r="I227" s="616"/>
      <c r="J227" s="616"/>
      <c r="K227" s="1669">
        <f t="shared" si="19"/>
        <v>0</v>
      </c>
      <c r="L227" s="466"/>
    </row>
    <row r="228" spans="1:12" x14ac:dyDescent="0.2">
      <c r="A228" s="1502"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169630</v>
      </c>
      <c r="E229" s="616"/>
      <c r="F229" s="616"/>
      <c r="G229" s="616"/>
      <c r="H229" s="616"/>
      <c r="I229" s="616"/>
      <c r="J229" s="616"/>
      <c r="K229" s="1668">
        <f>SUM(K215:K228)</f>
        <v>169630</v>
      </c>
      <c r="L229" s="1668">
        <f>SUM(L215:L228)</f>
        <v>204480</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c r="E232" s="616"/>
      <c r="F232" s="616"/>
      <c r="G232" s="616"/>
      <c r="H232" s="616"/>
      <c r="I232" s="616"/>
      <c r="J232" s="616"/>
      <c r="K232" s="1669">
        <f t="shared" ref="K232:K237" si="20">D232</f>
        <v>0</v>
      </c>
      <c r="L232" s="466"/>
    </row>
    <row r="233" spans="1:12" x14ac:dyDescent="0.2">
      <c r="A233" s="1502" t="s">
        <v>1090</v>
      </c>
      <c r="B233" s="614">
        <v>2120</v>
      </c>
      <c r="C233" s="616"/>
      <c r="D233" s="466">
        <v>922</v>
      </c>
      <c r="E233" s="616"/>
      <c r="F233" s="616"/>
      <c r="G233" s="616"/>
      <c r="H233" s="616"/>
      <c r="I233" s="616"/>
      <c r="J233" s="616"/>
      <c r="K233" s="1669">
        <f t="shared" si="20"/>
        <v>922</v>
      </c>
      <c r="L233" s="466">
        <v>975</v>
      </c>
    </row>
    <row r="234" spans="1:12" x14ac:dyDescent="0.2">
      <c r="A234" s="1502" t="s">
        <v>198</v>
      </c>
      <c r="B234" s="614">
        <v>2130</v>
      </c>
      <c r="C234" s="616"/>
      <c r="D234" s="466">
        <v>3424</v>
      </c>
      <c r="E234" s="616"/>
      <c r="F234" s="616"/>
      <c r="G234" s="616"/>
      <c r="H234" s="616"/>
      <c r="I234" s="616"/>
      <c r="J234" s="616"/>
      <c r="K234" s="1669">
        <f t="shared" si="20"/>
        <v>3424</v>
      </c>
      <c r="L234" s="466">
        <v>3910</v>
      </c>
    </row>
    <row r="235" spans="1:12" x14ac:dyDescent="0.2">
      <c r="A235" s="1502" t="s">
        <v>199</v>
      </c>
      <c r="B235" s="614">
        <v>2140</v>
      </c>
      <c r="C235" s="616"/>
      <c r="D235" s="466"/>
      <c r="E235" s="616"/>
      <c r="F235" s="616"/>
      <c r="G235" s="616"/>
      <c r="H235" s="616"/>
      <c r="I235" s="616"/>
      <c r="J235" s="616"/>
      <c r="K235" s="1669">
        <f t="shared" si="20"/>
        <v>0</v>
      </c>
      <c r="L235" s="466"/>
    </row>
    <row r="236" spans="1:12" x14ac:dyDescent="0.2">
      <c r="A236" s="1502" t="s">
        <v>200</v>
      </c>
      <c r="B236" s="614">
        <v>2150</v>
      </c>
      <c r="C236" s="616"/>
      <c r="D236" s="466"/>
      <c r="E236" s="616"/>
      <c r="F236" s="616"/>
      <c r="G236" s="616"/>
      <c r="H236" s="616"/>
      <c r="I236" s="616"/>
      <c r="J236" s="616"/>
      <c r="K236" s="1669">
        <f t="shared" si="20"/>
        <v>0</v>
      </c>
      <c r="L236" s="466"/>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4346</v>
      </c>
      <c r="E238" s="616"/>
      <c r="F238" s="616"/>
      <c r="G238" s="616"/>
      <c r="H238" s="616"/>
      <c r="I238" s="616"/>
      <c r="J238" s="616"/>
      <c r="K238" s="1668">
        <f>SUM(K232:K237)</f>
        <v>4346</v>
      </c>
      <c r="L238" s="1668">
        <f>SUM(L232:L237)</f>
        <v>4885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v>797</v>
      </c>
      <c r="E240" s="616"/>
      <c r="F240" s="616"/>
      <c r="G240" s="616"/>
      <c r="H240" s="616"/>
      <c r="I240" s="616"/>
      <c r="J240" s="616"/>
      <c r="K240" s="1670">
        <f>D240</f>
        <v>797</v>
      </c>
      <c r="L240" s="481">
        <v>1184</v>
      </c>
    </row>
    <row r="241" spans="1:12" x14ac:dyDescent="0.2">
      <c r="A241" s="1502" t="s">
        <v>815</v>
      </c>
      <c r="B241" s="614">
        <v>2220</v>
      </c>
      <c r="C241" s="616"/>
      <c r="D241" s="466">
        <v>32925</v>
      </c>
      <c r="E241" s="616"/>
      <c r="F241" s="616"/>
      <c r="G241" s="616"/>
      <c r="H241" s="616"/>
      <c r="I241" s="616"/>
      <c r="J241" s="616"/>
      <c r="K241" s="1670">
        <f>D241</f>
        <v>32925</v>
      </c>
      <c r="L241" s="466">
        <v>34359</v>
      </c>
    </row>
    <row r="242" spans="1:12" x14ac:dyDescent="0.2">
      <c r="A242" s="1502" t="s">
        <v>816</v>
      </c>
      <c r="B242" s="614">
        <v>2230</v>
      </c>
      <c r="C242" s="616"/>
      <c r="D242" s="466"/>
      <c r="E242" s="616"/>
      <c r="F242" s="616"/>
      <c r="G242" s="616"/>
      <c r="H242" s="616"/>
      <c r="I242" s="616"/>
      <c r="J242" s="616"/>
      <c r="K242" s="1670">
        <f>D242</f>
        <v>0</v>
      </c>
      <c r="L242" s="466">
        <v>30</v>
      </c>
    </row>
    <row r="243" spans="1:12" ht="12.75" customHeight="1" thickBot="1" x14ac:dyDescent="0.25">
      <c r="A243" s="1692" t="s">
        <v>561</v>
      </c>
      <c r="B243" s="1693">
        <v>2200</v>
      </c>
      <c r="C243" s="616"/>
      <c r="D243" s="1668">
        <f>SUM(D240:D242)</f>
        <v>33722</v>
      </c>
      <c r="E243" s="616"/>
      <c r="F243" s="616"/>
      <c r="G243" s="616"/>
      <c r="H243" s="616"/>
      <c r="I243" s="616"/>
      <c r="J243" s="616"/>
      <c r="K243" s="1668">
        <f>SUM(K240:K242)</f>
        <v>33722</v>
      </c>
      <c r="L243" s="1668">
        <f>SUM(L240:L242)</f>
        <v>35573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v>138</v>
      </c>
      <c r="E245" s="616"/>
      <c r="F245" s="616"/>
      <c r="G245" s="616"/>
      <c r="H245" s="616"/>
      <c r="I245" s="616"/>
      <c r="J245" s="616"/>
      <c r="K245" s="1670">
        <f>D245</f>
        <v>138</v>
      </c>
      <c r="L245" s="481"/>
    </row>
    <row r="246" spans="1:12" x14ac:dyDescent="0.2">
      <c r="A246" s="1502" t="s">
        <v>818</v>
      </c>
      <c r="B246" s="614">
        <v>2320</v>
      </c>
      <c r="C246" s="616"/>
      <c r="D246" s="466">
        <v>10356</v>
      </c>
      <c r="E246" s="616"/>
      <c r="F246" s="616"/>
      <c r="G246" s="616"/>
      <c r="H246" s="616"/>
      <c r="I246" s="616"/>
      <c r="J246" s="616"/>
      <c r="K246" s="1670">
        <f t="shared" ref="K246:K256" si="21">D246</f>
        <v>10356</v>
      </c>
      <c r="L246" s="466">
        <v>10900</v>
      </c>
    </row>
    <row r="247" spans="1:12" x14ac:dyDescent="0.2">
      <c r="A247" s="1502" t="s">
        <v>819</v>
      </c>
      <c r="B247" s="614">
        <v>2330</v>
      </c>
      <c r="C247" s="616"/>
      <c r="D247" s="466">
        <v>72</v>
      </c>
      <c r="E247" s="616"/>
      <c r="F247" s="616"/>
      <c r="G247" s="616"/>
      <c r="H247" s="616"/>
      <c r="I247" s="616"/>
      <c r="J247" s="616"/>
      <c r="K247" s="1670">
        <f t="shared" si="21"/>
        <v>72</v>
      </c>
      <c r="L247" s="466">
        <v>99</v>
      </c>
    </row>
    <row r="248" spans="1:12" x14ac:dyDescent="0.2">
      <c r="A248" s="1503" t="s">
        <v>299</v>
      </c>
      <c r="B248" s="602" t="s">
        <v>281</v>
      </c>
      <c r="C248" s="616"/>
      <c r="D248" s="474"/>
      <c r="E248" s="616"/>
      <c r="F248" s="616"/>
      <c r="G248" s="616"/>
      <c r="H248" s="616"/>
      <c r="I248" s="616"/>
      <c r="J248" s="616"/>
      <c r="K248" s="1670">
        <f t="shared" si="21"/>
        <v>0</v>
      </c>
      <c r="L248" s="466"/>
    </row>
    <row r="249" spans="1:12" x14ac:dyDescent="0.2">
      <c r="A249" s="1504" t="s">
        <v>1802</v>
      </c>
      <c r="B249" s="683" t="s">
        <v>282</v>
      </c>
      <c r="C249" s="616"/>
      <c r="D249" s="474"/>
      <c r="E249" s="616"/>
      <c r="F249" s="616"/>
      <c r="G249" s="616"/>
      <c r="H249" s="616"/>
      <c r="I249" s="616"/>
      <c r="J249" s="616"/>
      <c r="K249" s="1670">
        <f t="shared" si="21"/>
        <v>0</v>
      </c>
      <c r="L249" s="466"/>
    </row>
    <row r="250" spans="1:12" x14ac:dyDescent="0.2">
      <c r="A250" s="1503" t="s">
        <v>1803</v>
      </c>
      <c r="B250" s="602" t="s">
        <v>283</v>
      </c>
      <c r="C250" s="616"/>
      <c r="D250" s="474"/>
      <c r="E250" s="616"/>
      <c r="F250" s="616"/>
      <c r="G250" s="616"/>
      <c r="H250" s="616"/>
      <c r="I250" s="616"/>
      <c r="J250" s="616"/>
      <c r="K250" s="1670">
        <f t="shared" si="21"/>
        <v>0</v>
      </c>
      <c r="L250" s="466"/>
    </row>
    <row r="251" spans="1:12" x14ac:dyDescent="0.2">
      <c r="A251" s="1503" t="s">
        <v>238</v>
      </c>
      <c r="B251" s="602" t="s">
        <v>284</v>
      </c>
      <c r="C251" s="616"/>
      <c r="D251" s="474"/>
      <c r="E251" s="616"/>
      <c r="F251" s="616"/>
      <c r="G251" s="616"/>
      <c r="H251" s="616"/>
      <c r="I251" s="616"/>
      <c r="J251" s="616"/>
      <c r="K251" s="1670">
        <f t="shared" si="21"/>
        <v>0</v>
      </c>
      <c r="L251" s="466"/>
    </row>
    <row r="252" spans="1:12" x14ac:dyDescent="0.2">
      <c r="A252" s="1503" t="s">
        <v>702</v>
      </c>
      <c r="B252" s="602" t="s">
        <v>285</v>
      </c>
      <c r="C252" s="616"/>
      <c r="D252" s="474"/>
      <c r="E252" s="616"/>
      <c r="F252" s="616"/>
      <c r="G252" s="616"/>
      <c r="H252" s="616"/>
      <c r="I252" s="616"/>
      <c r="J252" s="616"/>
      <c r="K252" s="1670">
        <f t="shared" si="21"/>
        <v>0</v>
      </c>
      <c r="L252" s="466"/>
    </row>
    <row r="253" spans="1:12" x14ac:dyDescent="0.2">
      <c r="A253" s="1503" t="s">
        <v>239</v>
      </c>
      <c r="B253" s="602" t="s">
        <v>286</v>
      </c>
      <c r="C253" s="616"/>
      <c r="D253" s="474"/>
      <c r="E253" s="616"/>
      <c r="F253" s="616"/>
      <c r="G253" s="616"/>
      <c r="H253" s="616"/>
      <c r="I253" s="616"/>
      <c r="J253" s="616"/>
      <c r="K253" s="1670">
        <f t="shared" si="21"/>
        <v>0</v>
      </c>
      <c r="L253" s="466"/>
    </row>
    <row r="254" spans="1:12" ht="22.5" x14ac:dyDescent="0.2">
      <c r="A254" s="1503" t="s">
        <v>1029</v>
      </c>
      <c r="B254" s="683" t="s">
        <v>287</v>
      </c>
      <c r="C254" s="616"/>
      <c r="D254" s="474">
        <v>7318</v>
      </c>
      <c r="E254" s="616"/>
      <c r="F254" s="616"/>
      <c r="G254" s="616"/>
      <c r="H254" s="616"/>
      <c r="I254" s="616"/>
      <c r="J254" s="616"/>
      <c r="K254" s="1670">
        <f t="shared" si="21"/>
        <v>7318</v>
      </c>
      <c r="L254" s="466">
        <v>4250</v>
      </c>
    </row>
    <row r="255" spans="1:12" x14ac:dyDescent="0.2">
      <c r="A255" s="1503" t="s">
        <v>1030</v>
      </c>
      <c r="B255" s="602" t="s">
        <v>288</v>
      </c>
      <c r="C255" s="616"/>
      <c r="D255" s="474"/>
      <c r="E255" s="616"/>
      <c r="F255" s="616"/>
      <c r="G255" s="616"/>
      <c r="H255" s="616"/>
      <c r="I255" s="616"/>
      <c r="J255" s="616"/>
      <c r="K255" s="1670">
        <f t="shared" si="21"/>
        <v>0</v>
      </c>
      <c r="L255" s="466"/>
    </row>
    <row r="256" spans="1:12" x14ac:dyDescent="0.2">
      <c r="A256" s="1503"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17884</v>
      </c>
      <c r="E257" s="616"/>
      <c r="F257" s="616"/>
      <c r="G257" s="616"/>
      <c r="H257" s="616"/>
      <c r="I257" s="616"/>
      <c r="J257" s="616"/>
      <c r="K257" s="1668">
        <f>SUM(K245:K256)</f>
        <v>17884</v>
      </c>
      <c r="L257" s="1668">
        <f>SUM(L245:L256)</f>
        <v>15249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v>48295</v>
      </c>
      <c r="E259" s="616"/>
      <c r="F259" s="616"/>
      <c r="G259" s="616"/>
      <c r="H259" s="616"/>
      <c r="I259" s="616"/>
      <c r="J259" s="616"/>
      <c r="K259" s="1670">
        <f>D259</f>
        <v>48295</v>
      </c>
      <c r="L259" s="481">
        <v>48250</v>
      </c>
    </row>
    <row r="260" spans="1:14" s="597" customFormat="1" x14ac:dyDescent="0.2">
      <c r="A260" s="1520" t="s">
        <v>1801</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48295</v>
      </c>
      <c r="E261" s="616"/>
      <c r="F261" s="616"/>
      <c r="G261" s="616"/>
      <c r="H261" s="616"/>
      <c r="I261" s="616"/>
      <c r="J261" s="616"/>
      <c r="K261" s="1668">
        <f>SUM(K259:K260)</f>
        <v>48295</v>
      </c>
      <c r="L261" s="1668">
        <f>SUM(L259:L260)</f>
        <v>48250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c r="E263" s="616"/>
      <c r="F263" s="616"/>
      <c r="G263" s="616"/>
      <c r="H263" s="616"/>
      <c r="I263" s="616"/>
      <c r="J263" s="616"/>
      <c r="K263" s="1670">
        <f>D263</f>
        <v>0</v>
      </c>
      <c r="L263" s="481"/>
    </row>
    <row r="264" spans="1:14" x14ac:dyDescent="0.2">
      <c r="A264" s="1502" t="s">
        <v>463</v>
      </c>
      <c r="B264" s="685">
        <v>2520</v>
      </c>
      <c r="C264" s="616"/>
      <c r="D264" s="466">
        <v>31555</v>
      </c>
      <c r="E264" s="616"/>
      <c r="F264" s="616"/>
      <c r="G264" s="616"/>
      <c r="H264" s="616"/>
      <c r="I264" s="616"/>
      <c r="J264" s="616"/>
      <c r="K264" s="1670">
        <f t="shared" ref="K264:K269" si="22">D264</f>
        <v>31555</v>
      </c>
      <c r="L264" s="466">
        <v>27802</v>
      </c>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v>91101</v>
      </c>
      <c r="E266" s="616"/>
      <c r="F266" s="616"/>
      <c r="G266" s="616"/>
      <c r="H266" s="616"/>
      <c r="I266" s="616"/>
      <c r="J266" s="616"/>
      <c r="K266" s="1670">
        <f t="shared" si="22"/>
        <v>91101</v>
      </c>
      <c r="L266" s="466">
        <v>94000</v>
      </c>
    </row>
    <row r="267" spans="1:14" x14ac:dyDescent="0.2">
      <c r="A267" s="1502" t="s">
        <v>953</v>
      </c>
      <c r="B267" s="614">
        <v>2550</v>
      </c>
      <c r="C267" s="616"/>
      <c r="D267" s="466">
        <v>53125</v>
      </c>
      <c r="E267" s="616"/>
      <c r="F267" s="616"/>
      <c r="G267" s="616"/>
      <c r="H267" s="616"/>
      <c r="I267" s="616"/>
      <c r="J267" s="616"/>
      <c r="K267" s="1670">
        <f t="shared" si="22"/>
        <v>53125</v>
      </c>
      <c r="L267" s="466">
        <v>60000</v>
      </c>
    </row>
    <row r="268" spans="1:14" x14ac:dyDescent="0.2">
      <c r="A268" s="1502" t="s">
        <v>100</v>
      </c>
      <c r="B268" s="614">
        <v>2560</v>
      </c>
      <c r="C268" s="616"/>
      <c r="D268" s="466">
        <v>54965</v>
      </c>
      <c r="E268" s="616"/>
      <c r="F268" s="616"/>
      <c r="G268" s="616"/>
      <c r="H268" s="616"/>
      <c r="I268" s="616"/>
      <c r="J268" s="616"/>
      <c r="K268" s="1670">
        <f t="shared" si="22"/>
        <v>54965</v>
      </c>
      <c r="L268" s="466">
        <v>67700</v>
      </c>
    </row>
    <row r="269" spans="1:14" x14ac:dyDescent="0.2">
      <c r="A269" s="1502" t="s">
        <v>101</v>
      </c>
      <c r="B269" s="614">
        <v>2570</v>
      </c>
      <c r="C269" s="616"/>
      <c r="D269" s="466">
        <v>992</v>
      </c>
      <c r="E269" s="616"/>
      <c r="F269" s="616"/>
      <c r="G269" s="616"/>
      <c r="H269" s="616"/>
      <c r="I269" s="616"/>
      <c r="J269" s="616"/>
      <c r="K269" s="1670">
        <f t="shared" si="22"/>
        <v>992</v>
      </c>
      <c r="L269" s="466">
        <v>990</v>
      </c>
    </row>
    <row r="270" spans="1:14" ht="12.75" customHeight="1" thickBot="1" x14ac:dyDescent="0.25">
      <c r="A270" s="1666" t="s">
        <v>719</v>
      </c>
      <c r="B270" s="1673" t="s">
        <v>35</v>
      </c>
      <c r="C270" s="616"/>
      <c r="D270" s="1668">
        <f>SUM(D263:D269)</f>
        <v>231738</v>
      </c>
      <c r="E270" s="616"/>
      <c r="F270" s="616"/>
      <c r="G270" s="616"/>
      <c r="H270" s="616"/>
      <c r="I270" s="616"/>
      <c r="J270" s="616"/>
      <c r="K270" s="1668">
        <f>SUM(K263:K269)</f>
        <v>231738</v>
      </c>
      <c r="L270" s="1668">
        <f>SUM(L263:L269)</f>
        <v>250492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row>
    <row r="273" spans="1:12" x14ac:dyDescent="0.2">
      <c r="A273" s="1502" t="s">
        <v>607</v>
      </c>
      <c r="B273" s="628">
        <v>2620</v>
      </c>
      <c r="C273" s="616"/>
      <c r="D273" s="466">
        <v>173</v>
      </c>
      <c r="E273" s="616"/>
      <c r="F273" s="616"/>
      <c r="G273" s="616"/>
      <c r="H273" s="616"/>
      <c r="I273" s="616"/>
      <c r="J273" s="616"/>
      <c r="K273" s="1670">
        <f>D273</f>
        <v>173</v>
      </c>
      <c r="L273" s="466">
        <v>130</v>
      </c>
    </row>
    <row r="274" spans="1:12" ht="12" customHeight="1" x14ac:dyDescent="0.2">
      <c r="A274" s="1502" t="s">
        <v>1061</v>
      </c>
      <c r="B274" s="614">
        <v>2630</v>
      </c>
      <c r="C274" s="616"/>
      <c r="D274" s="466"/>
      <c r="E274" s="616"/>
      <c r="F274" s="616"/>
      <c r="G274" s="616"/>
      <c r="H274" s="616"/>
      <c r="I274" s="616"/>
      <c r="J274" s="616"/>
      <c r="K274" s="1670">
        <f>D274</f>
        <v>0</v>
      </c>
      <c r="L274" s="466"/>
    </row>
    <row r="275" spans="1:12" x14ac:dyDescent="0.2">
      <c r="A275" s="1502" t="s">
        <v>403</v>
      </c>
      <c r="B275" s="614">
        <v>2640</v>
      </c>
      <c r="C275" s="616"/>
      <c r="D275" s="466"/>
      <c r="E275" s="616"/>
      <c r="F275" s="616"/>
      <c r="G275" s="616"/>
      <c r="H275" s="616"/>
      <c r="I275" s="616"/>
      <c r="J275" s="616"/>
      <c r="K275" s="1670">
        <f>D275</f>
        <v>0</v>
      </c>
      <c r="L275" s="466"/>
    </row>
    <row r="276" spans="1:12" x14ac:dyDescent="0.2">
      <c r="A276" s="1502"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173</v>
      </c>
      <c r="E277" s="616"/>
      <c r="F277" s="616"/>
      <c r="G277" s="616"/>
      <c r="H277" s="616"/>
      <c r="I277" s="616"/>
      <c r="J277" s="616"/>
      <c r="K277" s="1668">
        <f>SUM(K272:K276)</f>
        <v>173</v>
      </c>
      <c r="L277" s="1668">
        <f>SUM(L272:L276)</f>
        <v>130</v>
      </c>
    </row>
    <row r="278" spans="1:12" ht="13.5" customHeight="1" thickTop="1" x14ac:dyDescent="0.2">
      <c r="A278" s="1508"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336158</v>
      </c>
      <c r="E279" s="616"/>
      <c r="F279" s="616"/>
      <c r="G279" s="616"/>
      <c r="H279" s="616"/>
      <c r="I279" s="616"/>
      <c r="J279" s="616"/>
      <c r="K279" s="1675">
        <f>SUM(K238,K243,K257,K261,K270,K277,K278)</f>
        <v>336158</v>
      </c>
      <c r="L279" s="1675">
        <f>SUM(L238,L243,L257,L261,L270,L277,L278)</f>
        <v>354579</v>
      </c>
    </row>
    <row r="280" spans="1:12" ht="15.75" customHeight="1" thickTop="1" thickBot="1" x14ac:dyDescent="0.25">
      <c r="A280" s="1622" t="s">
        <v>875</v>
      </c>
      <c r="B280" s="1611">
        <v>3000</v>
      </c>
      <c r="C280" s="616"/>
      <c r="D280" s="576">
        <v>8156</v>
      </c>
      <c r="E280" s="616"/>
      <c r="F280" s="616"/>
      <c r="G280" s="616"/>
      <c r="H280" s="616"/>
      <c r="I280" s="616"/>
      <c r="J280" s="616"/>
      <c r="K280" s="1677">
        <f>D280</f>
        <v>8156</v>
      </c>
      <c r="L280" s="576">
        <v>5274</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1842</v>
      </c>
      <c r="C282" s="616"/>
      <c r="D282" s="467"/>
      <c r="E282" s="616"/>
      <c r="F282" s="616"/>
      <c r="G282" s="616"/>
      <c r="H282" s="616"/>
      <c r="I282" s="616"/>
      <c r="J282" s="616"/>
      <c r="K282" s="1669">
        <f>D282</f>
        <v>0</v>
      </c>
      <c r="L282" s="467"/>
    </row>
    <row r="283" spans="1:12" x14ac:dyDescent="0.2">
      <c r="A283" s="1502" t="s">
        <v>304</v>
      </c>
      <c r="B283" s="614">
        <v>4120</v>
      </c>
      <c r="C283" s="616"/>
      <c r="D283" s="466"/>
      <c r="E283" s="616"/>
      <c r="F283" s="616"/>
      <c r="G283" s="616"/>
      <c r="H283" s="616"/>
      <c r="I283" s="616"/>
      <c r="J283" s="616"/>
      <c r="K283" s="1669">
        <f>D283</f>
        <v>0</v>
      </c>
      <c r="L283" s="466"/>
    </row>
    <row r="284" spans="1:12" x14ac:dyDescent="0.2">
      <c r="A284" s="1502"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1170</v>
      </c>
      <c r="B290" s="628" t="s">
        <v>617</v>
      </c>
      <c r="C290" s="616"/>
      <c r="D290" s="616"/>
      <c r="E290" s="616"/>
      <c r="F290" s="616"/>
      <c r="G290" s="616"/>
      <c r="H290" s="466"/>
      <c r="I290" s="616"/>
      <c r="J290" s="616"/>
      <c r="K290" s="1669">
        <f>H290</f>
        <v>0</v>
      </c>
      <c r="L290" s="466"/>
    </row>
    <row r="291" spans="1:14" x14ac:dyDescent="0.2">
      <c r="A291" s="1502" t="s">
        <v>89</v>
      </c>
      <c r="B291" s="614" t="s">
        <v>589</v>
      </c>
      <c r="C291" s="616"/>
      <c r="D291" s="616"/>
      <c r="E291" s="616"/>
      <c r="F291" s="616"/>
      <c r="G291" s="616"/>
      <c r="H291" s="466"/>
      <c r="I291" s="616"/>
      <c r="J291" s="616"/>
      <c r="K291" s="1669">
        <f>H291</f>
        <v>0</v>
      </c>
      <c r="L291" s="466"/>
    </row>
    <row r="292" spans="1:14" x14ac:dyDescent="0.2">
      <c r="A292" s="1502"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182" t="s">
        <v>505</v>
      </c>
      <c r="B295" s="2183"/>
      <c r="C295" s="616"/>
      <c r="D295" s="1668">
        <f>SUM(D229,D279,D280,D285)</f>
        <v>513944</v>
      </c>
      <c r="E295" s="616"/>
      <c r="F295" s="616"/>
      <c r="G295" s="616"/>
      <c r="H295" s="1668">
        <f>H293</f>
        <v>0</v>
      </c>
      <c r="I295" s="616"/>
      <c r="J295" s="616"/>
      <c r="K295" s="1668">
        <f>SUM(K229,K279,K280,K285,K293,K294)</f>
        <v>513944</v>
      </c>
      <c r="L295" s="1668">
        <f>SUM(L229,L279,L280,L285,L293,L294)</f>
        <v>564333</v>
      </c>
    </row>
    <row r="296" spans="1:14" ht="13.5" thickTop="1" x14ac:dyDescent="0.2">
      <c r="A296" s="2164" t="s">
        <v>996</v>
      </c>
      <c r="B296" s="2165"/>
      <c r="C296" s="616"/>
      <c r="D296" s="618"/>
      <c r="E296" s="616"/>
      <c r="F296" s="616"/>
      <c r="G296" s="616"/>
      <c r="H296" s="687"/>
      <c r="I296" s="616"/>
      <c r="J296" s="616"/>
      <c r="K296" s="1682">
        <f>'Revenues 9-14'!G268-'Expenditures 15-22'!K295</f>
        <v>8189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4" t="s">
        <v>143</v>
      </c>
      <c r="B298" s="2168"/>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v>2407863</v>
      </c>
      <c r="H301" s="466"/>
      <c r="I301" s="467"/>
      <c r="J301" s="467"/>
      <c r="K301" s="1669">
        <f>SUM(C301:J301)</f>
        <v>2407863</v>
      </c>
      <c r="L301" s="467">
        <v>2257542</v>
      </c>
    </row>
    <row r="302" spans="1:14" ht="13.5" customHeight="1" x14ac:dyDescent="0.2">
      <c r="A302" s="1515"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2407863</v>
      </c>
      <c r="H303" s="1675">
        <f t="shared" si="23"/>
        <v>0</v>
      </c>
      <c r="I303" s="1675">
        <f t="shared" si="23"/>
        <v>0</v>
      </c>
      <c r="J303" s="1675">
        <f t="shared" si="23"/>
        <v>0</v>
      </c>
      <c r="K303" s="1675">
        <f t="shared" si="23"/>
        <v>2407863</v>
      </c>
      <c r="L303" s="1675">
        <f t="shared" si="23"/>
        <v>2257542</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1847</v>
      </c>
      <c r="B306" s="690" t="s">
        <v>1842</v>
      </c>
      <c r="C306" s="616"/>
      <c r="D306" s="616"/>
      <c r="E306" s="467"/>
      <c r="F306" s="616"/>
      <c r="G306" s="616"/>
      <c r="H306" s="467"/>
      <c r="I306" s="616"/>
      <c r="J306" s="616"/>
      <c r="K306" s="1669">
        <f>SUM(E306,H306)</f>
        <v>0</v>
      </c>
      <c r="L306" s="467"/>
    </row>
    <row r="307" spans="1:14" x14ac:dyDescent="0.2">
      <c r="A307" s="1502" t="s">
        <v>304</v>
      </c>
      <c r="B307" s="614">
        <v>4120</v>
      </c>
      <c r="C307" s="616"/>
      <c r="D307" s="616"/>
      <c r="E307" s="467"/>
      <c r="F307" s="616"/>
      <c r="G307" s="616"/>
      <c r="H307" s="467"/>
      <c r="I307" s="477"/>
      <c r="J307" s="616"/>
      <c r="K307" s="1669">
        <f>SUM(E307,H307)</f>
        <v>0</v>
      </c>
      <c r="L307" s="466"/>
    </row>
    <row r="308" spans="1:14" x14ac:dyDescent="0.2">
      <c r="A308" s="1502" t="s">
        <v>697</v>
      </c>
      <c r="B308" s="614">
        <v>4140</v>
      </c>
      <c r="C308" s="616"/>
      <c r="D308" s="616"/>
      <c r="E308" s="467"/>
      <c r="F308" s="616"/>
      <c r="G308" s="616"/>
      <c r="H308" s="467"/>
      <c r="I308" s="477"/>
      <c r="J308" s="616"/>
      <c r="K308" s="1669">
        <f>SUM(E308,H308)</f>
        <v>0</v>
      </c>
      <c r="L308" s="466"/>
    </row>
    <row r="309" spans="1:14" ht="12.75" customHeight="1" x14ac:dyDescent="0.2">
      <c r="A309" s="1506"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179" t="s">
        <v>277</v>
      </c>
      <c r="B312" s="2180"/>
      <c r="C312" s="1668">
        <f>SUM(C303)</f>
        <v>0</v>
      </c>
      <c r="D312" s="1668">
        <f>SUM(D303)</f>
        <v>0</v>
      </c>
      <c r="E312" s="1668">
        <f>SUM(E303,E310)</f>
        <v>0</v>
      </c>
      <c r="F312" s="1668">
        <f>SUM(F303)</f>
        <v>0</v>
      </c>
      <c r="G312" s="1668">
        <f>SUM(G303)</f>
        <v>2407863</v>
      </c>
      <c r="H312" s="1668">
        <f>SUM(H303,H310)</f>
        <v>0</v>
      </c>
      <c r="I312" s="1668">
        <f>SUM(I303)</f>
        <v>0</v>
      </c>
      <c r="J312" s="1668">
        <f>SUM(J303)</f>
        <v>0</v>
      </c>
      <c r="K312" s="1668">
        <f>SUM(K303,K310,K311)</f>
        <v>2407863</v>
      </c>
      <c r="L312" s="1668">
        <f>SUM(L303,L310,L311)</f>
        <v>2257542</v>
      </c>
      <c r="M312" s="665"/>
      <c r="N312" s="665"/>
    </row>
    <row r="313" spans="1:14" ht="13.5" thickTop="1" x14ac:dyDescent="0.2">
      <c r="A313" s="2175" t="s">
        <v>996</v>
      </c>
      <c r="B313" s="2176"/>
      <c r="C313" s="626"/>
      <c r="D313" s="626"/>
      <c r="E313" s="626"/>
      <c r="F313" s="626"/>
      <c r="G313" s="626"/>
      <c r="H313" s="626"/>
      <c r="I313" s="626"/>
      <c r="J313" s="626"/>
      <c r="K313" s="1683">
        <f>'Revenues 9-14'!H268-'Expenditures 15-22'!K312</f>
        <v>-1132591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8" t="s">
        <v>149</v>
      </c>
      <c r="B315" s="2189"/>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0" t="s">
        <v>898</v>
      </c>
      <c r="B317" s="2189"/>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1" t="s">
        <v>1802</v>
      </c>
      <c r="B320" s="698" t="s">
        <v>282</v>
      </c>
      <c r="C320" s="467"/>
      <c r="D320" s="467"/>
      <c r="E320" s="467">
        <v>93849</v>
      </c>
      <c r="F320" s="467"/>
      <c r="G320" s="467"/>
      <c r="H320" s="467"/>
      <c r="I320" s="467"/>
      <c r="J320" s="467"/>
      <c r="K320" s="1669">
        <f t="shared" ref="K320:K327" si="24">SUM(C320:J320)</f>
        <v>93849</v>
      </c>
      <c r="L320" s="467">
        <v>128849</v>
      </c>
      <c r="M320" s="665"/>
      <c r="N320" s="665"/>
    </row>
    <row r="321" spans="1:14" s="674" customFormat="1" x14ac:dyDescent="0.2">
      <c r="A321" s="1517"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7" t="s">
        <v>238</v>
      </c>
      <c r="B322" s="697" t="s">
        <v>284</v>
      </c>
      <c r="C322" s="467"/>
      <c r="D322" s="467"/>
      <c r="E322" s="467">
        <v>13502</v>
      </c>
      <c r="F322" s="467"/>
      <c r="G322" s="467"/>
      <c r="H322" s="467"/>
      <c r="I322" s="467"/>
      <c r="J322" s="467"/>
      <c r="K322" s="1669">
        <f t="shared" si="24"/>
        <v>13502</v>
      </c>
      <c r="L322" s="467">
        <v>13502</v>
      </c>
      <c r="M322" s="665"/>
      <c r="N322" s="665"/>
    </row>
    <row r="323" spans="1:14" s="674" customFormat="1" x14ac:dyDescent="0.2">
      <c r="A323" s="1517"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7" t="s">
        <v>1029</v>
      </c>
      <c r="B325" s="698" t="s">
        <v>287</v>
      </c>
      <c r="C325" s="467">
        <v>65676</v>
      </c>
      <c r="D325" s="467">
        <v>2479</v>
      </c>
      <c r="E325" s="467">
        <v>28176</v>
      </c>
      <c r="F325" s="467">
        <v>12636</v>
      </c>
      <c r="G325" s="467"/>
      <c r="H325" s="467"/>
      <c r="I325" s="467"/>
      <c r="J325" s="467"/>
      <c r="K325" s="1669">
        <f t="shared" si="24"/>
        <v>108967</v>
      </c>
      <c r="L325" s="467">
        <v>149096</v>
      </c>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7" t="s">
        <v>971</v>
      </c>
      <c r="B327" s="697" t="s">
        <v>289</v>
      </c>
      <c r="C327" s="467"/>
      <c r="D327" s="467"/>
      <c r="E327" s="467">
        <v>12351</v>
      </c>
      <c r="F327" s="467"/>
      <c r="G327" s="467"/>
      <c r="H327" s="467"/>
      <c r="I327" s="467"/>
      <c r="J327" s="467"/>
      <c r="K327" s="1669">
        <f t="shared" si="24"/>
        <v>12351</v>
      </c>
      <c r="L327" s="467">
        <v>5000</v>
      </c>
      <c r="M327" s="665"/>
      <c r="N327" s="665"/>
    </row>
    <row r="328" spans="1:14" s="674" customFormat="1" x14ac:dyDescent="0.2">
      <c r="A328" s="1518" t="s">
        <v>472</v>
      </c>
      <c r="B328" s="690" t="s">
        <v>1132</v>
      </c>
      <c r="C328" s="474"/>
      <c r="D328" s="474"/>
      <c r="E328" s="474">
        <v>31722</v>
      </c>
      <c r="F328" s="474"/>
      <c r="G328" s="474"/>
      <c r="H328" s="474"/>
      <c r="I328" s="474"/>
      <c r="J328" s="474"/>
      <c r="K328" s="1697">
        <f>SUM(C328:J328)</f>
        <v>31722</v>
      </c>
      <c r="L328" s="474">
        <v>28865</v>
      </c>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65676</v>
      </c>
      <c r="D330" s="1668">
        <f t="shared" ref="D330:J330" si="25">SUM(D319:D329)</f>
        <v>2479</v>
      </c>
      <c r="E330" s="1668">
        <f t="shared" si="25"/>
        <v>179600</v>
      </c>
      <c r="F330" s="1668">
        <f t="shared" si="25"/>
        <v>12636</v>
      </c>
      <c r="G330" s="1668">
        <f t="shared" si="25"/>
        <v>0</v>
      </c>
      <c r="H330" s="1668">
        <f t="shared" si="25"/>
        <v>0</v>
      </c>
      <c r="I330" s="1668">
        <f t="shared" si="25"/>
        <v>0</v>
      </c>
      <c r="J330" s="1668">
        <f t="shared" si="25"/>
        <v>0</v>
      </c>
      <c r="K330" s="1668">
        <f>SUM(K319:K329)</f>
        <v>260391</v>
      </c>
      <c r="L330" s="1668">
        <f>SUM(L319:L329)</f>
        <v>325312</v>
      </c>
      <c r="M330" s="665"/>
      <c r="N330" s="665"/>
    </row>
    <row r="331" spans="1:14" s="674" customFormat="1" ht="12.75" customHeight="1" thickTop="1" x14ac:dyDescent="0.2">
      <c r="A331" s="1829" t="s">
        <v>1848</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1842</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1844</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1849</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row>
    <row r="338" spans="1:14" ht="12.75" customHeight="1" x14ac:dyDescent="0.2">
      <c r="A338" s="1516" t="s">
        <v>1170</v>
      </c>
      <c r="B338" s="690" t="s">
        <v>617</v>
      </c>
      <c r="C338" s="638"/>
      <c r="D338" s="638"/>
      <c r="E338" s="638"/>
      <c r="F338" s="638"/>
      <c r="G338" s="638"/>
      <c r="H338" s="478"/>
      <c r="I338" s="638"/>
      <c r="J338" s="638"/>
      <c r="K338" s="1669">
        <f>H338</f>
        <v>0</v>
      </c>
      <c r="L338" s="478"/>
    </row>
    <row r="339" spans="1:14" x14ac:dyDescent="0.2">
      <c r="A339" s="1502"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65676</v>
      </c>
      <c r="D342" s="1668">
        <f>SUM(D330)</f>
        <v>2479</v>
      </c>
      <c r="E342" s="1668">
        <f>SUM(E330)</f>
        <v>179600</v>
      </c>
      <c r="F342" s="1668">
        <f>SUM(F330)</f>
        <v>12636</v>
      </c>
      <c r="G342" s="1668">
        <f>SUM(G330)</f>
        <v>0</v>
      </c>
      <c r="H342" s="1668">
        <f>SUM(H330,H334,H340)</f>
        <v>0</v>
      </c>
      <c r="I342" s="1668">
        <f>SUM(I330)</f>
        <v>0</v>
      </c>
      <c r="J342" s="1668">
        <f>SUM(J330)</f>
        <v>0</v>
      </c>
      <c r="K342" s="1668">
        <f>SUM(K330,K334,K340)</f>
        <v>260391</v>
      </c>
      <c r="L342" s="1675">
        <f>SUM(L330,L340,L341)</f>
        <v>325312</v>
      </c>
    </row>
    <row r="343" spans="1:14" ht="12.75" customHeight="1" thickTop="1" x14ac:dyDescent="0.2">
      <c r="A343" s="2177" t="s">
        <v>996</v>
      </c>
      <c r="B343" s="2178"/>
      <c r="C343" s="616"/>
      <c r="D343" s="616"/>
      <c r="E343" s="616"/>
      <c r="F343" s="616"/>
      <c r="G343" s="616"/>
      <c r="H343" s="616"/>
      <c r="I343" s="616"/>
      <c r="J343" s="616"/>
      <c r="K343" s="1682">
        <f>'Revenues 9-14'!J268-'Expenditures 15-22'!K342</f>
        <v>37093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7" t="s">
        <v>966</v>
      </c>
      <c r="B345" s="2168"/>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v>1155000</v>
      </c>
      <c r="H348" s="466"/>
      <c r="I348" s="467"/>
      <c r="J348" s="467"/>
      <c r="K348" s="1669">
        <f>SUM(C348:J348)</f>
        <v>1155000</v>
      </c>
      <c r="L348" s="466">
        <v>1017060</v>
      </c>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1155000</v>
      </c>
      <c r="H350" s="1668">
        <f t="shared" si="26"/>
        <v>0</v>
      </c>
      <c r="I350" s="1668">
        <f t="shared" si="26"/>
        <v>0</v>
      </c>
      <c r="J350" s="1668">
        <f t="shared" si="26"/>
        <v>0</v>
      </c>
      <c r="K350" s="1668">
        <f t="shared" si="26"/>
        <v>1155000</v>
      </c>
      <c r="L350" s="1668">
        <f t="shared" si="26"/>
        <v>1017060</v>
      </c>
    </row>
    <row r="351" spans="1:14" ht="12.75" customHeight="1" thickTop="1" x14ac:dyDescent="0.2">
      <c r="A351" s="1508"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1155000</v>
      </c>
      <c r="H352" s="1668">
        <f t="shared" si="27"/>
        <v>0</v>
      </c>
      <c r="I352" s="1668">
        <f t="shared" si="27"/>
        <v>0</v>
      </c>
      <c r="J352" s="1668">
        <f t="shared" si="27"/>
        <v>0</v>
      </c>
      <c r="K352" s="1668">
        <f t="shared" si="27"/>
        <v>1155000</v>
      </c>
      <c r="L352" s="1668">
        <f t="shared" si="27"/>
        <v>1017060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1850</v>
      </c>
      <c r="B354" s="683" t="s">
        <v>1842</v>
      </c>
      <c r="C354" s="616"/>
      <c r="D354" s="616"/>
      <c r="E354" s="616"/>
      <c r="F354" s="616"/>
      <c r="G354" s="616"/>
      <c r="H354" s="474"/>
      <c r="I354" s="701"/>
      <c r="J354" s="616"/>
      <c r="K354" s="1697">
        <f>H354</f>
        <v>0</v>
      </c>
      <c r="L354" s="471"/>
    </row>
    <row r="355" spans="1:14" ht="12.75" customHeight="1" x14ac:dyDescent="0.2">
      <c r="A355" s="1511" t="s">
        <v>1851</v>
      </c>
      <c r="B355" s="690" t="s">
        <v>1844</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1155000</v>
      </c>
      <c r="H367" s="1668">
        <f t="shared" si="28"/>
        <v>0</v>
      </c>
      <c r="I367" s="1668">
        <f t="shared" si="28"/>
        <v>0</v>
      </c>
      <c r="J367" s="1668">
        <f t="shared" si="28"/>
        <v>0</v>
      </c>
      <c r="K367" s="1668">
        <f t="shared" si="28"/>
        <v>1155000</v>
      </c>
      <c r="L367" s="1668">
        <f t="shared" si="28"/>
        <v>1017060</v>
      </c>
    </row>
    <row r="368" spans="1:14" ht="13.5" thickTop="1" x14ac:dyDescent="0.2">
      <c r="A368" s="2164" t="s">
        <v>996</v>
      </c>
      <c r="B368" s="2165"/>
      <c r="C368" s="654"/>
      <c r="D368" s="654"/>
      <c r="E368" s="626"/>
      <c r="F368" s="626"/>
      <c r="G368" s="626"/>
      <c r="H368" s="626"/>
      <c r="I368" s="626"/>
      <c r="J368" s="623"/>
      <c r="K368" s="1669">
        <f>'Revenues 9-14'!K268-'Expenditures 15-22'!K367</f>
        <v>-1155000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purl.org/dc/dcmitype/"/>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d21dc803-237d-4c68-8692-8d731fd29118"/>
    <ds:schemaRef ds:uri="4d435f69-8686-490b-bd6d-b153bf22ab50"/>
    <ds:schemaRef ds:uri="6ce3111e-7420-4802-b50a-75d4e9a0b98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2019-09-09T13:00:41Z</cp:lastPrinted>
  <dcterms:created xsi:type="dcterms:W3CDTF">2003-10-29T19:06:34Z</dcterms:created>
  <dcterms:modified xsi:type="dcterms:W3CDTF">2019-10-28T19:09:55Z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83b2e171-b9e1-48b8-a73e-202f2e844440</vt:lpwstr>
  </property>
</Properties>
</file>