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A62479D-C5AA-43D2-8167-6DCD55B34EF0}"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E19" i="181"/>
  <c r="F19" i="181" s="1"/>
  <c r="F20" i="181" l="1"/>
  <c r="G20" i="181" s="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29"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D7245" i="106" l="1"/>
  <c r="B3647" i="106"/>
  <c r="D3647" i="106" s="1"/>
  <c r="K76" i="4"/>
  <c r="B3586" i="106" s="1"/>
  <c r="D3586" i="106" s="1"/>
  <c r="L367" i="29"/>
  <c r="L342" i="29"/>
  <c r="D6103" i="106"/>
  <c r="G30" i="108"/>
  <c r="E29" i="108"/>
  <c r="D54" i="36"/>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L114" i="29"/>
  <c r="C114" i="29"/>
  <c r="B757" i="106" s="1"/>
  <c r="D757" i="106" s="1"/>
  <c r="B5527" i="106"/>
  <c r="D5527" i="106" s="1"/>
  <c r="G6" i="4"/>
  <c r="B2604" i="106" s="1"/>
  <c r="D2604" i="106" s="1"/>
  <c r="K342" i="29"/>
  <c r="F13" i="34" s="1"/>
  <c r="D44" i="36"/>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<sst xmlns="http://schemas.openxmlformats.org/spreadsheetml/2006/main" count="5140" uniqueCount="2117">
  <si>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</si>
  <si>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</si>
  <si>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</si>
  <si>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</si>
  <si>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</si>
  <si>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</si>
  <si>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</si>
  <si>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</si>
  <si>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</si>
  <si>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</si>
  <si>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</si>
  <si>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</si>
  <si>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</si>
  <si>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</si>
  <si>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</si>
  <si>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</si>
  <si>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</si>
  <si>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</si>
  <si>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</si>
  <si>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</si>
  <si>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</si>
  <si>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</si>
  <si>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</si>
  <si>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</si>
  <si>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</si>
  <si>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</si>
  <si>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</si>
  <si>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</si>
  <si>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</si>
  <si>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</si>
  <si>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</si>
  <si>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</si>
  <si>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</si>
  <si>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</si>
  <si>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</si>
  <si>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</si>
  <si>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</si>
  <si>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</si>
  <si>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</si>
  <si>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</si>
  <si>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</si>
  <si>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</si>
  <si>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</si>
  <si>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</si>
  <si>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</si>
  <si>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</si>
  <si>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</si>
  <si>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</si>
  <si>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</si>
  <si>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</si>
  <si>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</si>
  <si>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</si>
  <si>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</si>
  <si>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</si>
  <si>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</si>
  <si>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</si>
  <si>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</si>
  <si>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</si>
  <si>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</si>
  <si>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</si>
  <si>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</si>
  <si>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</si>
  <si>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</si>
  <si>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</si>
  <si>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</si>
  <si>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</si>
  <si>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</si>
  <si>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</si>
  <si>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</si>
  <si>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</si>
  <si>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</si>
  <si>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</si>
  <si>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</si>
  <si>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</si>
  <si>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</si>
  <si>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</si>
  <si>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</si>
  <si>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</si>
  <si>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</si>
  <si>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</si>
  <si>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</si>
  <si>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</si>
  <si>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</si>
  <si>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</si>
  <si>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</si>
  <si>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</si>
  <si>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</si>
  <si>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</si>
  <si>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</si>
  <si>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</si>
  <si>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</si>
  <si>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</si>
  <si>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</si>
  <si>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</si>
  <si>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</si>
  <si>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</si>
  <si>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</si>
  <si>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</si>
  <si>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</si>
  <si>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</si>
  <si>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</si>
  <si>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</si>
  <si>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</si>
  <si>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</si>
  <si>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</si>
  <si>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</si>
  <si>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</si>
  <si>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</si>
  <si>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</si>
  <si>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</si>
  <si>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</si>
  <si>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</si>
  <si>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</si>
  <si>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</si>
  <si>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</si>
  <si>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</si>
  <si>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</si>
  <si>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</si>
  <si>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</si>
  <si>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</si>
  <si>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</si>
  <si>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</si>
  <si>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</si>
  <si>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</si>
  <si>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</si>
  <si>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</si>
  <si>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</si>
  <si>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</si>
  <si>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</si>
  <si>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</si>
  <si>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</si>
  <si>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</si>
  <si>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</si>
  <si>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</si>
  <si>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</si>
  <si>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</si>
  <si>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</si>
  <si>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</si>
  <si>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</si>
  <si>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</si>
  <si>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</si>
  <si>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</si>
  <si>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</si>
  <si>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</si>
  <si>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</si>
  <si>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</si>
  <si>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</si>
  <si>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</si>
  <si>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</si>
  <si>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</si>
  <si>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</si>
  <si>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</si>
  <si>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</si>
  <si>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</si>
  <si>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</si>
  <si>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</si>
  <si>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</si>
  <si>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</si>
  <si>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</si>
  <si>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</si>
  <si>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</si>
  <si>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</si>
  <si>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</si>
  <si>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</si>
  <si>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</si>
  <si>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</si>
  <si>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</si>
  <si>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</si>
  <si>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</si>
  <si>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</si>
  <si>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</si>
  <si>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</si>
  <si>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</si>
  <si>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</si>
  <si>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</si>
  <si>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</si>
  <si>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</si>
  <si>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</si>
  <si>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</si>
  <si>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</si>
  <si>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</si>
  <si>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</si>
  <si>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</si>
  <si>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</si>
  <si>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</si>
  <si>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</si>
  <si>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</si>
  <si>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</si>
  <si>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</si>
  <si>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</si>
  <si>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</si>
  <si>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</si>
  <si>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</si>
  <si>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</si>
  <si>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</si>
  <si>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</si>
  <si>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</si>
  <si>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</si>
  <si>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</si>
  <si>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</si>
  <si>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</si>
  <si>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</si>
  <si>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</si>
  <si>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</si>
  <si>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</si>
  <si>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</si>
  <si>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</si>
  <si>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</si>
  <si>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</si>
  <si>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</si>
  <si>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</si>
  <si>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</si>
  <si>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</si>
  <si>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</si>
  <si>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</si>
  <si>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</si>
  <si>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</si>
  <si>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</si>
  <si>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</si>
  <si>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</si>
  <si>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</si>
  <si>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</si>
  <si>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</si>
  <si>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</si>
  <si>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</si>
  <si>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</si>
  <si>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</si>
  <si>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</si>
  <si>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</si>
  <si>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</si>
  <si>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</si>
  <si>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</si>
  <si>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</si>
  <si>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</si>
  <si>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</si>
  <si>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</si>
  <si>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</si>
  <si>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</si>
  <si>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</si>
  <si>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</si>
  <si>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</si>
  <si>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</si>
  <si>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</si>
  <si>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</si>
  <si>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</si>
  <si>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</si>
  <si>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</si>
  <si>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</si>
  <si>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</si>
  <si>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</si>
  <si>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</si>
  <si>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</si>
  <si>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</si>
  <si>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</si>
  <si>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</si>
  <si>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</si>
  <si>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</si>
  <si>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</si>
  <si>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</si>
  <si>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</si>
  <si>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</si>
  <si>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</si>
  <si>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</si>
  <si>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</si>
  <si>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</si>
  <si>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</si>
  <si>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</si>
  <si>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</si>
  <si>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</si>
  <si>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</si>
  <si>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</si>
  <si>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</si>
  <si>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</si>
  <si>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</si>
  <si>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</si>
  <si>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</si>
  <si>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</si>
  <si>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</si>
  <si>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</si>
  <si>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</si>
  <si>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</si>
  <si>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</si>
  <si>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</si>
  <si>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</si>
  <si>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</si>
  <si>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</si>
  <si>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</si>
  <si>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</si>
  <si>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</si>
  <si>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</si>
  <si>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</si>
  <si>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</si>
  <si>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</si>
  <si>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</si>
  <si>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</si>
  <si>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</si>
  <si>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</si>
  <si>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</si>
  <si>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</si>
  <si>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</si>
  <si>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</si>
  <si>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</si>
  <si>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</si>
  <si>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</si>
  <si>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</si>
  <si>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</si>
  <si>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</si>
  <si>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</si>
  <si>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</si>
  <si>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</si>
  <si>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</si>
  <si>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</si>
  <si>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</si>
  <si>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</si>
  <si>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</si>
  <si>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</si>
  <si>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</si>
  <si>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</si>
  <si>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</si>
  <si>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</si>
  <si>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</si>
  <si>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</si>
  <si>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</si>
  <si>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</si>
  <si>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</si>
  <si>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</si>
  <si>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</si>
  <si>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</si>
  <si>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</si>
  <si>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</si>
  <si>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</si>
  <si>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</si>
  <si>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</si>
  <si>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</si>
  <si>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</si>
  <si>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</si>
  <si>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</si>
  <si>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</si>
  <si>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</si>
  <si>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</si>
  <si>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</si>
  <si>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</si>
  <si>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</si>
  <si>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</si>
  <si>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</si>
  <si>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</si>
  <si>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</si>
  <si>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</si>
  <si>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</si>
  <si>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</si>
  <si>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</si>
  <si>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</si>
  <si>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</si>
  <si>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</si>
  <si>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</si>
  <si>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</si>
  <si>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</si>
  <si>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</si>
  <si>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</si>
  <si>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</si>
  <si>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</si>
  <si>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</si>
  <si>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</si>
  <si>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</si>
  <si>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</si>
  <si>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</si>
  <si>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</si>
  <si>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</si>
  <si>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</si>
  <si>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</si>
  <si>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</si>
  <si>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</si>
  <si>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</si>
  <si>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</si>
  <si>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</si>
  <si>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</si>
  <si>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</si>
  <si>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</si>
  <si>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</si>
  <si>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</si>
  <si>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</si>
  <si>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</si>
  <si>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</si>
  <si>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</si>
  <si>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</si>
  <si>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</si>
  <si>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</si>
  <si>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</si>
  <si>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</si>
  <si>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</si>
  <si>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</si>
  <si>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</si>
  <si>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</si>
  <si>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</si>
  <si>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</si>
  <si>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</si>
  <si>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</si>
  <si>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</si>
  <si>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</si>
  <si>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</si>
  <si>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</si>
  <si>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</si>
  <si>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</si>
  <si>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</si>
  <si>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</si>
  <si>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</si>
  <si>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</si>
  <si>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</si>
  <si>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</si>
  <si>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</si>
  <si>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</si>
  <si>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</si>
  <si>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</si>
  <si>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</si>
  <si>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</si>
  <si>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</si>
  <si>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</si>
  <si>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</si>
  <si>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</si>
  <si>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</si>
  <si>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</si>
  <si>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</si>
  <si>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</si>
  <si>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</si>
  <si>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</si>
  <si>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</si>
  <si>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</si>
  <si>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</si>
  <si>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</si>
  <si>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</si>
  <si>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</si>
  <si>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</si>
  <si>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</si>
  <si>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</si>
  <si>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</si>
  <si>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</si>
  <si>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</si>
  <si>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</si>
  <si>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</si>
  <si>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</si>
  <si>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</si>
  <si>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</si>
  <si>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</si>
  <si>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</si>
  <si>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</si>
  <si>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</si>
  <si>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</si>
  <si>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</si>
  <si>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</si>
  <si>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</si>
  <si>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</si>
  <si>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</si>
  <si>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</si>
  <si>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</si>
  <si>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</si>
  <si>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</si>
  <si>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</si>
  <si>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</si>
  <si>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</si>
  <si>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</si>
  <si>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</si>
  <si>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</si>
  <si>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</si>
  <si>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</si>
  <si>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</si>
  <si>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</si>
  <si>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</si>
  <si>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</si>
  <si>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</si>
  <si>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</si>
  <si>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</si>
  <si>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</si>
  <si>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</si>
  <si>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</si>
  <si>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</si>
  <si>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</si>
  <si>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</si>
  <si>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</si>
  <si>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</si>
  <si>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</si>
  <si>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</si>
  <si>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</si>
  <si>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</si>
  <si>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</si>
  <si>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</si>
  <si>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</si>
  <si>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</si>
  <si>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</si>
  <si>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</si>
  <si>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</si>
  <si>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</si>
  <si>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</si>
  <si>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</si>
  <si>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</si>
  <si>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</si>
  <si>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</si>
  <si>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</si>
  <si>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</si>
  <si>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</si>
  <si>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</si>
  <si>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</si>
  <si>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</si>
  <si>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</si>
  <si>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</si>
  <si>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</si>
  <si>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</si>
  <si>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</si>
  <si>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</si>
  <si>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</si>
  <si>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</si>
  <si>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</si>
  <si>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</si>
  <si>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</si>
  <si>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</si>
  <si>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</si>
  <si>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</si>
  <si>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</si>
  <si>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</si>
  <si>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</si>
  <si>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</si>
  <si>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</si>
  <si>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</si>
  <si>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</si>
  <si>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</si>
  <si>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</si>
  <si>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</si>
  <si>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</si>
  <si>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</si>
  <si>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</si>
  <si>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</si>
  <si>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</si>
  <si>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</si>
  <si>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</si>
  <si>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</si>
  <si>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</si>
  <si>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</si>
  <si>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</si>
  <si>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</si>
  <si>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</si>
  <si>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</si>
  <si>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</si>
  <si>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</si>
  <si>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</si>
  <si>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</si>
  <si>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</si>
  <si>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</si>
  <si>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</si>
  <si>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</si>
  <si>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</si>
  <si>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</si>
  <si>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</si>
  <si>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</si>
  <si>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</si>
  <si>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</si>
  <si>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</si>
  <si>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</si>
  <si>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</si>
  <si>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</si>
  <si>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</si>
  <si>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</si>
  <si>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</si>
  <si>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</si>
  <si>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</si>
  <si>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</si>
  <si>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</si>
  <si>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</si>
  <si>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</si>
  <si>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</si>
  <si>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</si>
  <si>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</si>
  <si>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</si>
  <si>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</si>
  <si>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</si>
  <si>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</si>
  <si>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</si>
  <si>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</si>
  <si>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</si>
  <si>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</si>
  <si>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</si>
  <si>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</si>
  <si>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</si>
  <si>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</si>
  <si>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</si>
  <si>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</si>
  <si>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</si>
  <si>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</si>
  <si>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</si>
  <si>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</si>
  <si>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</si>
  <si>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</si>
  <si>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</si>
  <si>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</si>
  <si>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</si>
  <si>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</si>
  <si>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</si>
  <si>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</si>
  <si>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</si>
  <si>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</si>
  <si>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</si>
  <si>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</si>
  <si>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</si>
  <si>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</si>
  <si>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</si>
  <si>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</si>
  <si>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</si>
  <si>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</si>
  <si>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</si>
  <si>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</si>
  <si>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</si>
  <si>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</si>
  <si>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</si>
  <si>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</si>
  <si>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</si>
  <si>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</si>
  <si>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</si>
  <si>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</si>
  <si>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</si>
  <si>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</si>
  <si>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</si>
  <si>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</si>
  <si>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</si>
  <si>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</si>
  <si>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</si>
  <si>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</si>
  <si>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</si>
  <si>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</si>
  <si>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</si>
  <si>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</si>
  <si>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</si>
  <si>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</si>
  <si>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</si>
  <si>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</si>
  <si>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</si>
  <si>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</si>
  <si>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</si>
  <si>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</si>
  <si>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</si>
  <si>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</si>
  <si>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</si>
  <si>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</si>
  <si>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</si>
  <si>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</si>
  <si>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</si>
  <si>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</si>
  <si>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</si>
  <si>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</si>
  <si>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</si>
  <si>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</si>
  <si>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</si>
  <si>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</si>
  <si>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</si>
  <si>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</si>
  <si>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</si>
  <si>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</si>
  <si>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</si>
  <si>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</si>
  <si>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</si>
  <si>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</si>
  <si>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</si>
  <si>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</si>
  <si>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</si>
  <si>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</si>
  <si>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</si>
  <si>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</si>
  <si>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</si>
  <si>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</si>
  <si>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</si>
  <si>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</si>
  <si>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</si>
  <si>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</si>
  <si>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</si>
  <si>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</si>
  <si>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</si>
  <si>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</si>
  <si>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</si>
  <si>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</si>
  <si>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</si>
  <si>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</si>
  <si>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</si>
  <si>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</si>
  <si>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</si>
  <si>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</si>
  <si>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</si>
  <si>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</si>
  <si>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</si>
  <si>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</si>
  <si>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</si>
  <si>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</si>
  <si>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</si>
  <si>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</si>
  <si>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</si>
  <si>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</si>
  <si>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</si>
  <si>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</si>
  <si>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</si>
  <si>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</si>
  <si>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</si>
  <si>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</si>
  <si>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</si>
  <si>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</si>
  <si>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</si>
  <si>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</si>
  <si>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</si>
  <si>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</si>
  <si>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</si>
  <si>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</si>
  <si>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</si>
  <si>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</si>
  <si>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</si>
  <si>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</si>
  <si>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</si>
  <si>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</si>
  <si>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</si>
  <si>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</si>
  <si>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</si>
  <si>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</si>
  <si>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</si>
  <si>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</si>
  <si>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</si>
  <si>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</si>
  <si>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</si>
  <si>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</si>
  <si>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</si>
  <si>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</si>
  <si>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</si>
  <si>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</si>
  <si>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</si>
  <si>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</si>
  <si>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</si>
  <si>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</si>
  <si>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</si>
  <si>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</si>
  <si>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</si>
  <si>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</si>
  <si>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</si>
  <si>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</si>
  <si>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</si>
  <si>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</si>
  <si>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</si>
  <si>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</si>
  <si>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</si>
  <si>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</si>
  <si>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</si>
  <si>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</si>
  <si>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</si>
  <si>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</si>
  <si>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</si>
  <si>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</si>
  <si>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</si>
  <si>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</si>
  <si>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</si>
  <si>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</si>
  <si>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</si>
  <si>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</si>
  <si>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</si>
  <si>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</si>
  <si>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</si>
  <si>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</si>
  <si>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</si>
  <si>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</si>
  <si>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</si>
  <si>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</si>
  <si>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</si>
  <si>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</si>
  <si>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</si>
  <si>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</si>
  <si>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</si>
  <si>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</si>
  <si>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</si>
  <si>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</si>
  <si>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</si>
  <si>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</si>
  <si>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</si>
  <si>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</si>
  <si>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</si>
  <si>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</si>
  <si>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</si>
  <si>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</si>
  <si>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</si>
  <si>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</si>
  <si>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</si>
  <si>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</si>
  <si>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</si>
  <si>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</si>
  <si>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</si>
  <si>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</si>
  <si>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</si>
  <si>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</si>
  <si>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</si>
  <si>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</si>
  <si>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</si>
  <si>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</si>
  <si>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</si>
  <si>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</si>
  <si>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</si>
  <si>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</si>
  <si>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</si>
  <si>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</si>
  <si>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</si>
  <si>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</si>
  <si>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</si>
  <si>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</si>
  <si>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</si>
  <si>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</si>
  <si>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</si>
  <si>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</si>
  <si>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</si>
  <si>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</si>
  <si>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</si>
  <si>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</si>
  <si>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</si>
  <si>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</si>
  <si>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</si>
  <si>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</si>
  <si>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</si>
  <si>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</si>
  <si>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</si>
  <si>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</si>
  <si>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</si>
  <si>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</si>
  <si>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</si>
  <si>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</si>
  <si>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</si>
  <si>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</si>
  <si>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</si>
  <si>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</si>
  <si>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</si>
  <si>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</si>
  <si>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</si>
  <si>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</si>
  <si>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</si>
  <si>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</si>
  <si>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</si>
  <si>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</si>
  <si>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</si>
  <si>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</si>
  <si>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</si>
  <si>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</si>
  <si>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</si>
  <si>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</si>
  <si>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</si>
  <si>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</si>
  <si>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</si>
  <si>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</si>
  <si>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</si>
  <si>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</si>
  <si>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</si>
  <si>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</si>
  <si>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</si>
  <si>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</si>
  <si>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</si>
  <si>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</si>
  <si>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</si>
  <si>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</si>
  <si>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</si>
  <si>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</si>
  <si>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</si>
  <si>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</si>
  <si>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</si>
  <si>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</si>
  <si>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</si>
  <si>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</si>
  <si>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</si>
  <si>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</si>
  <si>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</si>
  <si>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</si>
  <si>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</si>
  <si>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</si>
  <si>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</si>
  <si>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</si>
  <si>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</si>
  <si>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</si>
  <si>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</si>
  <si>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</si>
  <si>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</si>
  <si>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</si>
  <si>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</si>
  <si>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</si>
  <si>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</si>
  <si>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</si>
  <si>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</si>
  <si>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</si>
  <si>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</si>
  <si>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</si>
  <si>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</si>
  <si>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</si>
  <si>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</si>
  <si>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</si>
  <si>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</si>
  <si>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</si>
  <si>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</si>
  <si>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</si>
  <si>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</si>
  <si>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</si>
  <si>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</si>
  <si>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</si>
  <si>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</si>
  <si>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</si>
  <si>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</si>
  <si>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</si>
  <si>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</si>
  <si>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</si>
  <si>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</si>
  <si>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</si>
  <si>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</si>
  <si>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</si>
  <si>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</si>
  <si>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</si>
  <si>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</si>
  <si>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</si>
  <si>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</si>
  <si>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</si>
  <si>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</si>
  <si>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</si>
  <si>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</si>
  <si>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</si>
  <si>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</si>
  <si>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</si>
  <si>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</si>
  <si>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</si>
  <si>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</si>
  <si>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</si>
  <si>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</si>
  <si>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</si>
  <si>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</si>
  <si>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</si>
  <si>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</si>
  <si>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</si>
  <si>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</si>
  <si>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</si>
  <si>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</si>
  <si>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</si>
  <si>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</si>
  <si>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</si>
  <si>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</si>
  <si>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</si>
  <si>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</si>
  <si>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</si>
  <si>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</si>
  <si>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</si>
  <si>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</si>
  <si>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</si>
  <si>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</si>
  <si>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</si>
  <si>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</si>
  <si>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</si>
  <si>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</si>
  <si>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</si>
  <si>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</si>
  <si>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</si>
  <si>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</si>
  <si>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</si>
  <si>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</si>
  <si>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</si>
  <si>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</si>
  <si>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</si>
  <si>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</si>
  <si>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</si>
  <si>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</si>
  <si>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</si>
  <si>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</si>
  <si>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</si>
  <si>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</si>
  <si>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</si>
  <si>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</si>
  <si>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</si>
  <si>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</si>
  <si>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</si>
  <si>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</si>
  <si>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</si>
  <si>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</si>
  <si>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</si>
  <si>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</si>
  <si>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</si>
  <si>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</si>
  <si>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</si>
  <si>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</si>
  <si>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</si>
  <si>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</si>
  <si>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</si>
  <si>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</si>
  <si>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</si>
  <si>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</si>
  <si>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</si>
  <si>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</si>
  <si>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</si>
  <si>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</si>
  <si>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</si>
  <si>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</si>
  <si>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</si>
  <si>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</si>
  <si>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</si>
  <si>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</si>
  <si>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</si>
  <si>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</si>
  <si>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</si>
  <si>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</si>
  <si>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</si>
  <si>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</si>
  <si>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</si>
  <si>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</si>
  <si>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</si>
  <si>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</si>
  <si>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</si>
  <si>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</si>
  <si>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</si>
  <si>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</si>
  <si>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</si>
  <si>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</si>
  <si>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</si>
  <si>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</si>
  <si>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</si>
  <si>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</si>
  <si>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</si>
  <si>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</si>
  <si>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</si>
  <si>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</si>
  <si>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</si>
  <si>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</si>
  <si>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</si>
  <si>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</si>
  <si>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</si>
  <si>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</si>
  <si>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</si>
  <si>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</si>
  <si>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</si>
  <si>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</si>
  <si>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</si>
  <si>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</si>
  <si>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</si>
  <si>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</si>
  <si>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</si>
  <si>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</si>
  <si>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</si>
  <si>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</si>
  <si>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</si>
  <si>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</si>
  <si>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</si>
  <si>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</si>
  <si>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</si>
  <si>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</si>
  <si>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</si>
  <si>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</si>
  <si>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</si>
  <si>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</si>
  <si>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</si>
  <si>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</si>
  <si>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</si>
  <si>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</si>
  <si>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</si>
  <si>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</si>
  <si>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</si>
  <si>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</si>
  <si>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</si>
  <si>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</si>
  <si>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</si>
  <si>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</si>
  <si>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</si>
  <si>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</si>
  <si>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</si>
  <si>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</si>
  <si>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</si>
  <si>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</si>
  <si>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</si>
  <si>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</si>
  <si>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</si>
  <si>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</si>
  <si>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</si>
  <si>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</si>
  <si>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</si>
  <si>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</si>
  <si>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</si>
  <si>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</si>
  <si>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</si>
  <si>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</si>
  <si>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</si>
  <si>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</si>
  <si>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</si>
  <si>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</si>
  <si>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</si>
  <si>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</si>
  <si>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</si>
  <si>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</si>
  <si>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</si>
  <si>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</si>
  <si>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</si>
  <si>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</si>
  <si>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</si>
  <si>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</si>
  <si>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</si>
  <si>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</si>
  <si>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</si>
  <si>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</si>
  <si>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</si>
  <si>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</si>
  <si>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</si>
  <si>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</si>
  <si>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</si>
  <si>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</si>
  <si>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</si>
  <si>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</si>
  <si>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</si>
  <si>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</si>
  <si>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</si>
  <si>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</si>
  <si>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</si>
  <si>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</si>
  <si>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</si>
  <si>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</si>
  <si>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</si>
  <si>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</si>
  <si>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</si>
  <si>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</si>
  <si>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</si>
  <si>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</si>
  <si>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</si>
  <si>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</si>
  <si>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</si>
  <si>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</si>
  <si>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</si>
  <si>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</si>
  <si>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</si>
  <si>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</si>
  <si>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</si>
  <si>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</si>
  <si>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</si>
  <si>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</si>
  <si>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</si>
  <si>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</si>
  <si>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</si>
  <si>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</si>
  <si>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</si>
  <si>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</si>
  <si>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</si>
  <si>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</si>
  <si>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</si>
  <si>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</si>
  <si>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</si>
  <si>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</si>
  <si>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</si>
  <si>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</si>
  <si>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</si>
  <si>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</si>
  <si>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</si>
  <si>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</si>
  <si>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</si>
  <si>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</si>
  <si>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</si>
  <si>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</si>
  <si>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</si>
  <si>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</si>
  <si>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</si>
  <si>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</si>
  <si>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</si>
  <si>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</si>
  <si>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</si>
  <si>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</si>
  <si>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</si>
  <si>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</si>
  <si>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</si>
  <si>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</si>
  <si>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</si>
  <si>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</si>
  <si>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</si>
  <si>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</si>
  <si>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</si>
  <si>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</si>
  <si>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</si>
  <si>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</si>
  <si>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</si>
  <si>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</si>
  <si>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</si>
  <si>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</si>
  <si>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</si>
  <si>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</si>
  <si>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</si>
  <si>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</si>
  <si>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</si>
  <si>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</si>
  <si>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</si>
  <si>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</si>
  <si>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</si>
  <si>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</si>
  <si>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</si>
  <si>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</si>
  <si>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</si>
  <si>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</si>
  <si>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</si>
  <si>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</si>
  <si>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</si>
  <si>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</si>
  <si>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</si>
  <si>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</si>
  <si>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</si>
  <si>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</si>
  <si>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</si>
  <si>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</si>
  <si>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</si>
  <si>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</si>
  <si>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</si>
  <si>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</si>
  <si>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</si>
  <si>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</si>
  <si>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</si>
  <si>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</si>
  <si>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</si>
  <si>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</si>
  <si>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</si>
  <si>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</si>
  <si>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</si>
  <si>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</si>
  <si>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</si>
  <si>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</si>
  <si>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</si>
  <si>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</si>
  <si>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</si>
  <si>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</si>
  <si>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</si>
  <si>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</si>
  <si>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</si>
  <si>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</si>
  <si>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</si>
  <si>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</si>
  <si>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</si>
  <si>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</si>
  <si>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</si>
  <si>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</si>
  <si>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</si>
  <si>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</si>
  <si>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</si>
  <si>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</si>
  <si>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</si>
  <si>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</si>
  <si>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</si>
  <si>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</si>
  <si>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</si>
  <si>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</si>
  <si>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</si>
  <si>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</si>
  <si>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</si>
  <si>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</si>
  <si>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</si>
  <si>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</si>
  <si>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</si>
  <si>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</si>
  <si>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</si>
  <si>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</si>
  <si>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</si>
  <si>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</si>
  <si>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</si>
  <si>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</si>
  <si>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</si>
  <si>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</si>
  <si>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</si>
  <si>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</si>
  <si>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</si>
  <si>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</si>
  <si>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</si>
  <si>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</si>
  <si>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</si>
  <si>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</si>
  <si>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</si>
  <si>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</si>
  <si>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</si>
  <si>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</si>
  <si>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</si>
  <si>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</si>
  <si>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</si>
  <si>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</si>
  <si>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</si>
  <si>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</si>
  <si>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</si>
  <si>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</si>
  <si>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</si>
  <si>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</si>
  <si>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</si>
  <si>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</si>
  <si>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</si>
  <si>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</si>
  <si>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</si>
  <si>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</si>
  <si>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</si>
  <si>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</si>
  <si>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</si>
  <si>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</si>
  <si>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</si>
  <si>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</si>
  <si>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</si>
  <si>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</si>
  <si>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</si>
  <si>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</si>
  <si>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</si>
  <si>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</si>
  <si>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</si>
  <si>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</si>
  <si>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</si>
  <si>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</si>
  <si>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</si>
  <si>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</si>
  <si>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</si>
  <si>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</si>
  <si>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</si>
  <si>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</si>
  <si>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</si>
  <si>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</si>
  <si>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</si>
  <si>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</si>
  <si>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</si>
  <si>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</si>
  <si>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</si>
  <si>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</si>
  <si>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</si>
  <si>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</si>
  <si>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</si>
  <si>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</si>
  <si>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</si>
  <si>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</si>
  <si>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</si>
  <si>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</si>
  <si>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</si>
  <si>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</si>
  <si>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</si>
  <si>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</si>
  <si>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</si>
  <si>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</si>
  <si>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</si>
  <si>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</si>
  <si>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</si>
  <si>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</si>
  <si>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</si>
  <si>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</si>
  <si>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</si>
  <si>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</si>
  <si>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</si>
  <si>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</si>
  <si>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</si>
  <si>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</si>
  <si>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</si>
  <si>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</si>
  <si>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</si>
  <si>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</si>
  <si>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</si>
  <si>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</si>
  <si>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</si>
  <si>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</si>
  <si>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</si>
  <si>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</si>
  <si>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</si>
  <si>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</si>
  <si>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</si>
  <si>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</si>
  <si>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</si>
  <si>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</si>
  <si>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</si>
  <si>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</si>
  <si>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</si>
  <si>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</si>
  <si>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</si>
  <si>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</si>
  <si>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</si>
  <si>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</si>
  <si>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</si>
  <si>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</si>
  <si>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</si>
  <si>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</si>
  <si>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</si>
  <si>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</si>
  <si>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</si>
  <si>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</si>
  <si>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</si>
  <si>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</si>
  <si>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</si>
  <si>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</si>
  <si>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</si>
  <si>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</si>
  <si>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</si>
  <si>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</si>
  <si>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</si>
  <si>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</si>
  <si>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</si>
  <si>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</si>
  <si>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</si>
  <si>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</si>
  <si>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</si>
  <si>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</si>
  <si>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</si>
  <si>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</si>
  <si>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</si>
  <si>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</si>
  <si>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</si>
  <si>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</si>
  <si>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</si>
  <si>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</si>
  <si>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</si>
  <si>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</si>
  <si>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</si>
  <si>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</si>
  <si>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</si>
  <si>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</si>
  <si>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</si>
  <si>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</si>
  <si>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</si>
  <si>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</si>
  <si>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</si>
  <si>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</si>
  <si>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</si>
  <si>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</si>
  <si>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</si>
  <si>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</si>
  <si>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</si>
  <si>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</si>
  <si>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</si>
  <si>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</si>
  <si>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</si>
  <si>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</si>
  <si>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</si>
  <si>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</si>
  <si>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</si>
  <si>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</si>
  <si>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</si>
  <si>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</si>
  <si>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</si>
  <si>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</si>
  <si>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</si>
  <si>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</si>
  <si>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</si>
  <si>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</si>
  <si>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</si>
  <si>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</si>
  <si>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</si>
  <si>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</si>
  <si>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</si>
  <si>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</si>
  <si>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</si>
  <si>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</si>
  <si>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</si>
  <si>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</si>
  <si>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</si>
  <si>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</si>
  <si>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</si>
  <si>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</si>
  <si>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</si>
  <si>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</si>
  <si>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</si>
  <si>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</si>
  <si>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</si>
  <si>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</si>
  <si>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</si>
  <si>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</si>
  <si>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</si>
  <si>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</si>
  <si>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</si>
  <si>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</si>
  <si>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</si>
  <si>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</si>
  <si>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</si>
  <si>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</si>
  <si>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</si>
  <si>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</si>
  <si>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</si>
  <si>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</si>
  <si>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</si>
  <si>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</si>
  <si>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</si>
  <si>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</si>
  <si>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</si>
  <si>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</si>
  <si>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</si>
  <si>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</si>
  <si>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</si>
  <si>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</si>
  <si>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</si>
  <si>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</si>
  <si>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</si>
  <si>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</si>
  <si>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</si>
  <si>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</si>
  <si>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</si>
  <si>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</si>
  <si>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</si>
  <si>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</si>
  <si>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</si>
  <si>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</si>
  <si>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</si>
  <si>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</si>
  <si>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</si>
  <si>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</si>
  <si>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</si>
  <si>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</si>
  <si>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</si>
  <si>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</si>
  <si>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</si>
  <si>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</si>
  <si>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</si>
  <si>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</si>
  <si>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</si>
  <si>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</si>
  <si>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</si>
  <si>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</si>
  <si>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</si>
  <si>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</si>
  <si>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</si>
  <si>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</si>
  <si>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</si>
  <si>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</si>
  <si>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</si>
  <si>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</si>
  <si>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</si>
  <si>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</si>
  <si>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</si>
  <si>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</si>
  <si>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</si>
  <si>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</si>
  <si>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</si>
  <si>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</si>
  <si>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</si>
  <si>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</si>
  <si>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</si>
  <si>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</si>
  <si>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</si>
  <si>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</si>
  <si>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</si>
  <si>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</si>
  <si>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</si>
  <si>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</si>
  <si>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</si>
  <si>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</si>
  <si>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</si>
  <si>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</si>
  <si>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</si>
  <si>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</si>
  <si>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</si>
  <si>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</si>
  <si>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</si>
  <si>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</si>
  <si>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</si>
  <si>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</si>
  <si>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</si>
  <si>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</si>
  <si>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</si>
  <si>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</si>
  <si>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</si>
  <si>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</si>
  <si>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</si>
  <si>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</si>
  <si>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</si>
  <si>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</si>
  <si>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</si>
  <si>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</si>
  <si>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</si>
  <si>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</si>
  <si>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</si>
  <si>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</si>
  <si>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</si>
  <si>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</si>
  <si>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</si>
  <si>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</si>
  <si>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</si>
  <si>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</si>
  <si>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</si>
  <si>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</si>
  <si>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</si>
  <si>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</si>
  <si>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</si>
  <si>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</si>
  <si>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</si>
  <si>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</si>
  <si>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</si>
  <si>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</si>
  <si>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</si>
  <si>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</si>
  <si>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</si>
  <si>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</si>
  <si>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</si>
  <si>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</si>
  <si>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</si>
  <si>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</si>
  <si>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</si>
  <si>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</si>
  <si>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</si>
  <si>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</si>
  <si>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</si>
  <si>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</si>
  <si>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</si>
  <si>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</si>
  <si>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</si>
  <si>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</si>
  <si>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</si>
  <si>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</si>
  <si>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</si>
  <si>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</si>
  <si>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</si>
  <si>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</si>
  <si>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</si>
  <si>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</si>
  <si>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</si>
  <si>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</si>
  <si>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</si>
  <si>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</si>
  <si>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</si>
  <si>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</si>
  <si>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</si>
  <si>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</si>
  <si>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</si>
  <si>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</si>
  <si>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</si>
  <si>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</si>
  <si>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</si>
  <si>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</si>
  <si>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</si>
  <si>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</si>
  <si>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</si>
  <si>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</si>
  <si>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</si>
  <si>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</si>
  <si>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</si>
  <si>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</si>
  <si>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</si>
  <si>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</si>
  <si>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</si>
  <si>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</si>
  <si>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</si>
  <si>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</si>
  <si>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</si>
  <si>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</si>
  <si>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</si>
  <si>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</si>
  <si>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</si>
  <si>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</si>
  <si>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</si>
  <si>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</si>
  <si>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</si>
  <si>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</si>
  <si>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</si>
  <si>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</si>
  <si>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</si>
  <si>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</si>
  <si>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</si>
  <si>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</si>
  <si>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</si>
  <si>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</si>
  <si>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</si>
  <si>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</si>
  <si>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</si>
  <si>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</si>
  <si>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</si>
  <si>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</si>
  <si>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</si>
  <si>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</si>
  <si>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</si>
  <si>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</si>
  <si>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</si>
  <si>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</si>
  <si>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</si>
  <si>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</si>
  <si>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</si>
  <si>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</si>
  <si>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</si>
  <si>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</si>
  <si>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</si>
  <si>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</si>
  <si>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</si>
  <si>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</si>
  <si>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</si>
  <si>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</si>
  <si>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</si>
  <si>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</si>
  <si>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</si>
  <si>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</si>
  <si>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</si>
  <si>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</si>
  <si>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</si>
  <si>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</si>
  <si>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</si>
  <si>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</si>
  <si>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</si>
  <si>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</si>
  <si>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</si>
  <si>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</si>
  <si>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</si>
  <si>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</si>
  <si>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</si>
  <si>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</si>
  <si>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</si>
  <si>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</si>
  <si>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</si>
  <si>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</si>
  <si>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</si>
  <si>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</si>
  <si>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</si>
  <si>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</si>
  <si>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</si>
  <si>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</si>
  <si>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</si>
  <si>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</si>
  <si>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</si>
  <si>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</si>
  <si>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</si>
  <si>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</si>
  <si>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</si>
  <si>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</si>
  <si>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</si>
  <si>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</si>
  <si>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</si>
  <si>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</si>
  <si>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</si>
  <si>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</si>
  <si>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</si>
  <si>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</si>
  <si>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</si>
  <si>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</si>
  <si>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</si>
  <si>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</si>
  <si>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</si>
  <si>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</si>
  <si>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</si>
  <si>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</si>
  <si>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</si>
  <si>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</si>
  <si>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</si>
  <si>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</si>
  <si>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</si>
  <si>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</si>
  <si>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</si>
  <si>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</si>
  <si>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</si>
  <si>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</si>
  <si>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</si>
  <si>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</si>
  <si>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</si>
  <si>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</si>
  <si>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</si>
  <si>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</si>
  <si>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</si>
  <si>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</si>
  <si>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</si>
  <si>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</si>
  <si>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</si>
  <si>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</si>
  <si>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</si>
  <si>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</si>
  <si>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</si>
  <si>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</si>
  <si>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</si>
  <si>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</si>
  <si>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</si>
  <si>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</si>
  <si>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</si>
  <si>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</si>
  <si>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</si>
  <si>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</si>
  <si>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</si>
  <si>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</si>
  <si>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</si>
  <si>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</si>
  <si>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</si>
  <si>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</si>
  <si>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</si>
  <si>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</si>
  <si>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</si>
  <si>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</si>
  <si>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</si>
  <si>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</si>
  <si>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</si>
  <si>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</si>
  <si>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</si>
  <si>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</si>
  <si>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</si>
  <si>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</si>
  <si>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</si>
  <si>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</si>
  <si>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</si>
  <si>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</si>
  <si>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</si>
  <si>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</si>
  <si>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</si>
  <si>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</si>
  <si>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</si>
  <si>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</si>
  <si>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</si>
  <si>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</si>
  <si>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</si>
  <si>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</si>
  <si>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</si>
  <si>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</si>
  <si>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</si>
  <si>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</si>
  <si>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</si>
  <si>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</si>
  <si>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</si>
  <si>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</si>
  <si>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</si>
  <si>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</si>
  <si>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</si>
  <si>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</si>
  <si>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</si>
  <si>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</si>
  <si>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</si>
  <si>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</si>
  <si>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</si>
  <si>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</si>
  <si>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</si>
  <si>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</si>
  <si>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</si>
  <si>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</si>
  <si>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</si>
  <si>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</si>
  <si>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</si>
  <si>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</si>
  <si>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</si>
  <si>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</si>
  <si>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</si>
  <si>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</si>
  <si>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</si>
  <si>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</si>
  <si>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</si>
  <si>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</si>
  <si>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</si>
  <si>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</si>
  <si>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</si>
  <si>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</si>
  <si>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</si>
  <si>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</si>
  <si>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</si>
  <si>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</si>
  <si>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</si>
  <si>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</si>
  <si>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</si>
  <si>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</si>
  <si>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</si>
  <si>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</si>
  <si>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</si>
  <si>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</si>
  <si>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</si>
  <si>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</si>
  <si>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</si>
  <si>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</si>
  <si>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</si>
  <si>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</si>
  <si>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</si>
  <si>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</si>
  <si>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</si>
  <si>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</si>
  <si>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</si>
  <si>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</si>
  <si>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</si>
  <si>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</si>
  <si>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</si>
  <si>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</si>
  <si>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</si>
  <si>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</si>
  <si>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</si>
  <si>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</si>
  <si>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</si>
  <si>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</si>
  <si>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</si>
  <si>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</si>
  <si>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</si>
  <si>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</si>
  <si>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</si>
  <si>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</si>
  <si>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</si>
  <si>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</si>
  <si>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</si>
  <si>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</si>
  <si>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</si>
  <si>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</si>
  <si>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</si>
  <si>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</si>
  <si>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</si>
  <si>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</si>
  <si>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</si>
  <si>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</si>
  <si>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</si>
  <si>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</si>
  <si>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</si>
  <si>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</si>
  <si>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</si>
  <si>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</si>
  <si>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</si>
  <si>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</si>
  <si>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</si>
  <si>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</si>
  <si>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</si>
  <si>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</si>
  <si>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</si>
  <si>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</si>
  <si>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</si>
  <si>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</si>
  <si>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</si>
  <si>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</si>
  <si>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</si>
  <si>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</si>
  <si>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</si>
  <si>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</si>
  <si>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</si>
  <si>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</si>
  <si>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</si>
  <si>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</si>
  <si>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</si>
  <si>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</si>
  <si>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</si>
  <si>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</si>
  <si>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</si>
  <si>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</si>
  <si>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</si>
  <si>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</si>
  <si>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</si>
  <si>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</si>
  <si>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</si>
  <si>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</si>
  <si>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</si>
  <si>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</si>
  <si>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</si>
  <si>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</si>
  <si>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</si>
  <si>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</si>
  <si>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</si>
  <si>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</si>
  <si>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</si>
  <si>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</si>
  <si>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</si>
  <si>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</si>
  <si>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</si>
  <si>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</si>
  <si>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</si>
  <si>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</si>
  <si>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</si>
  <si>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</si>
  <si>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</si>
  <si>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</si>
  <si>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</si>
  <si>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</si>
  <si>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</si>
  <si>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</si>
  <si>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</si>
  <si>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</si>
  <si>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</si>
  <si>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</si>
  <si>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</si>
  <si>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</si>
  <si>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</si>
  <si>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</si>
  <si>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</si>
  <si>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</si>
  <si>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</si>
  <si>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</si>
  <si>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</si>
  <si>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</si>
  <si>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</si>
  <si>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</si>
  <si>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</si>
  <si>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</si>
  <si>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</si>
  <si>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</si>
  <si>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</si>
  <si>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</si>
  <si>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</si>
  <si>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</si>
  <si>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</si>
  <si>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</si>
  <si>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</si>
  <si>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</si>
  <si>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</si>
  <si>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</si>
  <si>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</si>
  <si>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</si>
  <si>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</si>
  <si>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</si>
  <si>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</si>
  <si>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</si>
  <si>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</si>
  <si>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</si>
  <si>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</si>
  <si>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</si>
  <si>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</si>
  <si>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</si>
  <si>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</si>
  <si>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</si>
  <si>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</si>
  <si>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</si>
  <si>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</si>
  <si>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</si>
  <si>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</si>
  <si>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</si>
  <si>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</si>
  <si>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</si>
  <si>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</si>
  <si>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</si>
  <si>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</si>
  <si>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</si>
  <si>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</si>
  <si>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</si>
  <si>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</si>
  <si>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</si>
  <si>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</si>
  <si>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</si>
  <si>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</si>
  <si>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</si>
  <si>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</si>
  <si>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</si>
  <si>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</si>
  <si>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</si>
  <si>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</si>
  <si>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</si>
  <si>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</si>
  <si>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</si>
  <si>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</si>
  <si>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</si>
  <si>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</si>
  <si>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</si>
  <si>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</si>
  <si>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</si>
  <si>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</si>
  <si>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</si>
  <si>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</si>
  <si>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</si>
  <si>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</si>
  <si>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</si>
  <si>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</si>
  <si>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</si>
  <si>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</si>
  <si>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</si>
  <si>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</si>
  <si>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</si>
  <si>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</si>
  <si>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</si>
  <si>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</si>
  <si>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</si>
  <si>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</si>
  <si>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</si>
  <si>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</si>
  <si>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</si>
  <si>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</si>
  <si>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</si>
  <si>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</si>
  <si>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</si>
  <si>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</si>
  <si>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</si>
  <si>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</si>
  <si>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</si>
  <si>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</si>
  <si>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</si>
  <si>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</si>
  <si>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</si>
  <si>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</si>
  <si>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</si>
  <si>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</si>
  <si>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</si>
  <si>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</si>
  <si>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</si>
  <si>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</si>
  <si>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</si>
  <si>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</si>
  <si>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</si>
  <si>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</si>
  <si>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</si>
  <si>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</si>
  <si>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</si>
  <si>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</si>
  <si>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</si>
  <si>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</si>
  <si>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</si>
  <si>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</si>
  <si>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</si>
  <si>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</si>
  <si>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</si>
  <si>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</si>
  <si>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</si>
  <si>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</si>
  <si>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</si>
  <si>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</si>
  <si>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</si>
  <si>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</si>
  <si>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</si>
  <si>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</si>
  <si>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</si>
  <si>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</si>
  <si>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</si>
  <si>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</si>
  <si>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</si>
  <si>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</si>
  <si>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</si>
  <si>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</si>
  <si>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RON DANIELS</t>
  </si>
  <si>
    <t>rondaniels@roe13.org</t>
  </si>
  <si>
    <t>MARION</t>
  </si>
  <si>
    <t>129 N. DOUGLAS</t>
  </si>
  <si>
    <t>CENTRALIA</t>
  </si>
  <si>
    <t>TIM BRANON</t>
  </si>
  <si>
    <t>618-532-9821</t>
  </si>
  <si>
    <t>618-533-2219</t>
  </si>
  <si>
    <t>branon@ccs133.com</t>
  </si>
  <si>
    <t>General Obligation Limited School Bonds, Series 2013</t>
  </si>
  <si>
    <t>Taxable Limited Working Cash Bonds, Series 2015</t>
  </si>
  <si>
    <t>ED-Support Services-Business-Purchased Service</t>
  </si>
  <si>
    <t>10-2540-300</t>
  </si>
  <si>
    <t>Gratamerica Financial</t>
  </si>
  <si>
    <t>Da-Com Corporation</t>
  </si>
  <si>
    <t>XT Solutions, Inc.</t>
  </si>
  <si>
    <t>Odin School District #722-Early Childhood</t>
  </si>
  <si>
    <t>Egyptian Area Schools Benefit Trust</t>
  </si>
  <si>
    <t>MidAmerican Energy and Homefield Energy</t>
  </si>
  <si>
    <t>Southern Illinois School District Coop Buying Program</t>
  </si>
  <si>
    <t>Illinois Public Risk Fund-FY 2018 &amp; 2019; Prairie State Insurance Coop-FY2020</t>
  </si>
  <si>
    <t>Regional Office of Education #13</t>
  </si>
  <si>
    <t>Regional Office of Education #13 and various other school districts</t>
  </si>
  <si>
    <t>Kaskaskia Special Education District 801</t>
  </si>
  <si>
    <t>Page 10, Lin e 74 - Safe and Alternative School</t>
  </si>
  <si>
    <t>Page 10, Line 107 - Education - IPRF Grants $1,330; Insurance Refund $3,667; Erate $28,28; Reimbursements $13,227</t>
  </si>
  <si>
    <r>
      <t xml:space="preserve">                                </t>
    </r>
    <r>
      <rPr>
        <sz val="10"/>
        <rFont val="Calibri"/>
        <family val="2"/>
        <scheme val="minor"/>
      </rPr>
      <t xml:space="preserve">                Operations and Maintenance - Insurance for Roof $8,593; Transportation- Field Trips $1,329</t>
    </r>
  </si>
  <si>
    <t>Page 12, Line 168 - Healthy Community Grant</t>
  </si>
  <si>
    <t>Page 16, Line 73 - Crossing Guard</t>
  </si>
  <si>
    <t>Page 18, Line 171 - Bond Fees</t>
  </si>
  <si>
    <t>Page 20, Line 278 - Crossing Guard Benefits</t>
  </si>
  <si>
    <t>See PDF file</t>
  </si>
  <si>
    <t>Central City 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</si>
</sst>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1571625</xdr:colOff>
          <xdr:row>4</xdr:row>
          <xdr:rowOff>161925</xdr:rowOff>
        </xdr:from>
        <xdr:to>
          <xdr:col>1</xdr:col>
          <xdr:colOff>2486025</xdr:colOff>
          <xdr:row>9</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2" t="s">
        <v>405</v>
      </c>
      <c r="J1" s="1983"/>
      <c r="K1" s="1983"/>
      <c r="L1" s="1983"/>
      <c r="M1" s="1983"/>
      <c r="N1" s="1983"/>
      <c r="O1" s="1983"/>
      <c r="P1" s="1983"/>
      <c r="Q1" s="1983"/>
      <c r="R1" s="1983"/>
      <c r="S1" s="1983"/>
    </row>
    <row r="2" spans="1:28" ht="12" customHeight="1" x14ac:dyDescent="0.2">
      <c r="A2" s="47" t="s">
        <v>1991</v>
      </c>
      <c r="D2" s="48"/>
      <c r="I2" s="1984" t="s">
        <v>979</v>
      </c>
      <c r="J2" s="1983"/>
      <c r="K2" s="1983"/>
      <c r="L2" s="1983"/>
      <c r="M2" s="1983"/>
      <c r="N2" s="1983"/>
      <c r="O2" s="1983"/>
      <c r="P2" s="1983"/>
      <c r="Q2" s="1983"/>
      <c r="R2" s="1983"/>
      <c r="S2" s="1983"/>
    </row>
    <row r="3" spans="1:28" ht="12" customHeight="1" x14ac:dyDescent="0.2">
      <c r="A3" s="155" t="s">
        <v>1943</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2065</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2065</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13058133002</v>
      </c>
      <c r="B13" s="2018"/>
      <c r="C13" s="2018"/>
      <c r="D13" s="2018"/>
      <c r="E13" s="2018"/>
      <c r="F13" s="2018"/>
      <c r="G13" s="2018"/>
      <c r="H13" s="2019"/>
      <c r="I13" s="31"/>
      <c r="J13" s="30"/>
      <c r="K13" s="28"/>
      <c r="L13" s="30"/>
      <c r="M13" s="30"/>
      <c r="N13" s="30"/>
      <c r="O13" s="30"/>
      <c r="P13" s="30"/>
      <c r="Q13" s="30"/>
      <c r="R13" s="30"/>
      <c r="S13" s="30"/>
      <c r="T13" s="2022" t="s">
        <v>2066</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2086</v>
      </c>
      <c r="B15" s="2020"/>
      <c r="C15" s="2020"/>
      <c r="D15" s="2020"/>
      <c r="E15" s="2020"/>
      <c r="F15" s="2020"/>
      <c r="G15" s="2020"/>
      <c r="H15" s="2021"/>
      <c r="T15" s="2026" t="s">
        <v>2067</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2116</v>
      </c>
      <c r="B17" s="1977"/>
      <c r="C17" s="1977"/>
      <c r="D17" s="1977"/>
      <c r="E17" s="1977"/>
      <c r="F17" s="1977"/>
      <c r="G17" s="1977"/>
      <c r="H17" s="2002"/>
      <c r="T17" s="2033" t="s">
        <v>2068</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2087</v>
      </c>
      <c r="B19" s="1962"/>
      <c r="C19" s="1962"/>
      <c r="D19" s="1962"/>
      <c r="E19" s="1962"/>
      <c r="F19" s="1962"/>
      <c r="G19" s="1962"/>
      <c r="H19" s="1942"/>
      <c r="I19" s="30"/>
      <c r="J19" s="99"/>
      <c r="K19" s="40"/>
      <c r="L19" s="38"/>
      <c r="M19" s="112" t="s">
        <v>315</v>
      </c>
      <c r="P19" s="27"/>
      <c r="Q19" s="27"/>
      <c r="R19" s="27"/>
      <c r="S19" s="31"/>
      <c r="T19" s="2016" t="s">
        <v>2069</v>
      </c>
      <c r="U19" s="1941"/>
      <c r="V19" s="1941"/>
      <c r="W19" s="1942"/>
      <c r="X19" s="2031" t="s">
        <v>2070</v>
      </c>
      <c r="Y19" s="2032"/>
      <c r="Z19" s="2029">
        <v>62870</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2088</v>
      </c>
      <c r="B21" s="1941"/>
      <c r="C21" s="1941"/>
      <c r="D21" s="1941"/>
      <c r="E21" s="1941"/>
      <c r="F21" s="1941"/>
      <c r="G21" s="1941"/>
      <c r="H21" s="1942"/>
      <c r="I21" s="1996" t="s">
        <v>678</v>
      </c>
      <c r="J21" s="1991"/>
      <c r="K21" s="1991"/>
      <c r="L21" s="1991"/>
      <c r="M21" s="1991"/>
      <c r="N21" s="1991"/>
      <c r="O21" s="1991"/>
      <c r="P21" s="1991"/>
      <c r="Q21" s="1991"/>
      <c r="R21" s="1991"/>
      <c r="S21" s="1997"/>
      <c r="T21" s="2040" t="s">
        <v>2071</v>
      </c>
      <c r="U21" s="2041"/>
      <c r="V21" s="2041"/>
      <c r="W21" s="2041"/>
      <c r="X21" s="2046" t="s">
        <v>2072</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2092</v>
      </c>
      <c r="B23" s="1994"/>
      <c r="C23" s="1994"/>
      <c r="D23" s="1994"/>
      <c r="E23" s="1994"/>
      <c r="F23" s="1994"/>
      <c r="G23" s="1994"/>
      <c r="H23" s="1995"/>
      <c r="T23" s="1976" t="s">
        <v>2073</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62801</v>
      </c>
      <c r="B25" s="1941"/>
      <c r="C25" s="1941"/>
      <c r="D25" s="1941"/>
      <c r="E25" s="1941"/>
      <c r="F25" s="1941"/>
      <c r="G25" s="1941"/>
      <c r="H25" s="1942"/>
      <c r="I25" s="113"/>
      <c r="J25" s="1965"/>
      <c r="K25" s="1965"/>
      <c r="L25" s="1965"/>
      <c r="M25" s="1965"/>
      <c r="N25" s="1965"/>
      <c r="O25" s="1965"/>
      <c r="P25" s="1965"/>
      <c r="Q25" s="1965"/>
      <c r="R25" s="1965"/>
      <c r="S25" s="1966"/>
      <c r="T25" s="2036" t="s">
        <v>2074</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2089</v>
      </c>
      <c r="B38" s="1977"/>
      <c r="C38" s="1977"/>
      <c r="D38" s="1977"/>
      <c r="E38" s="1977"/>
      <c r="F38" s="1941"/>
      <c r="G38" s="1941"/>
      <c r="H38" s="1942"/>
      <c r="I38" s="1969"/>
      <c r="J38" s="1970"/>
      <c r="K38" s="1970"/>
      <c r="L38" s="1970"/>
      <c r="M38" s="1970"/>
      <c r="N38" s="1970"/>
      <c r="O38" s="1970"/>
      <c r="P38" s="1971"/>
      <c r="Q38" s="1971"/>
      <c r="R38" s="1971"/>
      <c r="S38" s="1972"/>
      <c r="T38" s="2026" t="s">
        <v>2084</v>
      </c>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2092</v>
      </c>
      <c r="B40" s="1955"/>
      <c r="C40" s="1956"/>
      <c r="D40" s="1956"/>
      <c r="E40" s="1956"/>
      <c r="F40" s="1957"/>
      <c r="G40" s="1957"/>
      <c r="H40" s="1958"/>
      <c r="I40" s="1979"/>
      <c r="J40" s="1980"/>
      <c r="K40" s="1980"/>
      <c r="L40" s="1980"/>
      <c r="M40" s="1980"/>
      <c r="N40" s="1980"/>
      <c r="O40" s="1980"/>
      <c r="P40" s="1980"/>
      <c r="Q40" s="1980"/>
      <c r="R40" s="1980"/>
      <c r="S40" s="1981"/>
      <c r="T40" s="1979" t="s">
        <v>2085</v>
      </c>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2090</v>
      </c>
      <c r="B42" s="1960"/>
      <c r="C42" s="1961"/>
      <c r="D42" s="1959" t="s">
        <v>2091</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54" sqref="H5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2" t="s">
        <v>1802</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7">
        <f>'Revenues 9-14'!C5</f>
        <v>199364</v>
      </c>
      <c r="C4" s="1524"/>
      <c r="D4" s="1750">
        <f>B4-C4</f>
        <v>199364</v>
      </c>
      <c r="E4" s="1524">
        <v>207724</v>
      </c>
      <c r="F4" s="1750">
        <f>E4-C4</f>
        <v>207724</v>
      </c>
    </row>
    <row r="5" spans="1:6" ht="13.7" customHeight="1" x14ac:dyDescent="0.2">
      <c r="A5" s="715" t="s">
        <v>870</v>
      </c>
      <c r="B5" s="1748">
        <f>'Revenues 9-14'!D5</f>
        <v>29113</v>
      </c>
      <c r="C5" s="585"/>
      <c r="D5" s="1751">
        <f t="shared" ref="D5:D18" si="0">B5-C5</f>
        <v>29113</v>
      </c>
      <c r="E5" s="585">
        <v>30337</v>
      </c>
      <c r="F5" s="1751">
        <f>E5-C5</f>
        <v>30337</v>
      </c>
    </row>
    <row r="6" spans="1:6" ht="13.7" customHeight="1" x14ac:dyDescent="0.2">
      <c r="A6" s="715" t="s">
        <v>411</v>
      </c>
      <c r="B6" s="1748">
        <f>'Revenues 9-14'!E5</f>
        <v>74480</v>
      </c>
      <c r="C6" s="585"/>
      <c r="D6" s="1751">
        <f t="shared" si="0"/>
        <v>74480</v>
      </c>
      <c r="E6" s="585">
        <v>75041</v>
      </c>
      <c r="F6" s="1751">
        <f t="shared" ref="F6:F18" si="1">E6-C6</f>
        <v>75041</v>
      </c>
    </row>
    <row r="7" spans="1:6" ht="13.7" customHeight="1" x14ac:dyDescent="0.2">
      <c r="A7" s="715" t="s">
        <v>155</v>
      </c>
      <c r="B7" s="1748">
        <f>'Revenues 9-14'!F5</f>
        <v>19154</v>
      </c>
      <c r="C7" s="585"/>
      <c r="D7" s="1751">
        <f t="shared" si="0"/>
        <v>19154</v>
      </c>
      <c r="E7" s="585">
        <v>19959</v>
      </c>
      <c r="F7" s="1751">
        <f t="shared" si="1"/>
        <v>19959</v>
      </c>
    </row>
    <row r="8" spans="1:6" ht="13.7" customHeight="1" x14ac:dyDescent="0.2">
      <c r="A8" s="715" t="s">
        <v>1179</v>
      </c>
      <c r="B8" s="1748">
        <f>'Revenues 9-14'!G5</f>
        <v>39493</v>
      </c>
      <c r="C8" s="585"/>
      <c r="D8" s="1751">
        <f t="shared" si="0"/>
        <v>39493</v>
      </c>
      <c r="E8" s="585">
        <v>41152</v>
      </c>
      <c r="F8" s="1751">
        <f t="shared" si="1"/>
        <v>41152</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12108</v>
      </c>
      <c r="C11" s="585"/>
      <c r="D11" s="1751">
        <f t="shared" si="0"/>
        <v>12108</v>
      </c>
      <c r="E11" s="585">
        <v>12617</v>
      </c>
      <c r="F11" s="1751">
        <f t="shared" si="1"/>
        <v>12617</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23665</v>
      </c>
      <c r="C16" s="585"/>
      <c r="D16" s="1751">
        <f t="shared" si="0"/>
        <v>23665</v>
      </c>
      <c r="E16" s="585">
        <v>24660</v>
      </c>
      <c r="F16" s="1751">
        <f t="shared" si="1"/>
        <v>24660</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397377</v>
      </c>
      <c r="C19" s="1749">
        <f>SUM(C4:C18)</f>
        <v>0</v>
      </c>
      <c r="D19" s="1749">
        <f>SUM(D4:D18)</f>
        <v>397377</v>
      </c>
      <c r="E19" s="1749">
        <f>SUM(E4:E18)</f>
        <v>411490</v>
      </c>
      <c r="F19" s="1749">
        <f>SUM(F4:F18)</f>
        <v>411490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7" colorId="8" zoomScale="110" zoomScaleNormal="110" workbookViewId="0">
      <selection activeCell="H54" sqref="H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1" t="s">
        <v>1954</v>
      </c>
      <c r="D2" s="723" t="s">
        <v>1955</v>
      </c>
      <c r="E2" s="723" t="s">
        <v>1956</v>
      </c>
      <c r="F2" s="1881" t="s">
        <v>1957</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3">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5" t="s">
        <v>631</v>
      </c>
      <c r="B15" s="2196"/>
      <c r="C15" s="1753">
        <f>SUM(C6:C14)</f>
        <v>0</v>
      </c>
      <c r="D15" s="1753">
        <f>SUM(D6:D14)</f>
        <v>0</v>
      </c>
      <c r="E15" s="1753">
        <f>SUM(E6:E14)</f>
        <v>0</v>
      </c>
      <c r="F15" s="1753">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3">
        <f>SUM(C17+D17)-E17</f>
        <v>0</v>
      </c>
    </row>
    <row r="18" spans="1:11" ht="12.75" customHeight="1" thickTop="1" thickBot="1" x14ac:dyDescent="0.25">
      <c r="A18" s="2190" t="s">
        <v>6</v>
      </c>
      <c r="B18" s="2191"/>
      <c r="C18" s="726"/>
      <c r="D18" s="585"/>
      <c r="E18" s="726"/>
      <c r="F18" s="1753">
        <f>SUM(C18+D18)-E18</f>
        <v>0</v>
      </c>
    </row>
    <row r="19" spans="1:11" ht="12.75" customHeight="1" thickTop="1" thickBot="1" x14ac:dyDescent="0.25">
      <c r="A19" s="2190" t="s">
        <v>388</v>
      </c>
      <c r="B19" s="2191"/>
      <c r="C19" s="726"/>
      <c r="D19" s="585"/>
      <c r="E19" s="726"/>
      <c r="F19" s="1753">
        <f>SUM(C19+D19)-E19</f>
        <v>0</v>
      </c>
    </row>
    <row r="20" spans="1:11" ht="12.75" customHeight="1" thickTop="1" thickBot="1" x14ac:dyDescent="0.25">
      <c r="A20" s="2190" t="s">
        <v>448</v>
      </c>
      <c r="B20" s="2191"/>
      <c r="C20" s="726"/>
      <c r="D20" s="585"/>
      <c r="E20" s="726"/>
      <c r="F20" s="1753">
        <f>SUM(C20+D20)-E20</f>
        <v>0</v>
      </c>
    </row>
    <row r="21" spans="1:11" ht="14.25" thickTop="1" thickBot="1" x14ac:dyDescent="0.25">
      <c r="A21" s="2195" t="s">
        <v>632</v>
      </c>
      <c r="B21" s="2196"/>
      <c r="C21" s="1753">
        <f>SUM(C17:C20)</f>
        <v>0</v>
      </c>
      <c r="D21" s="1753">
        <f>SUM(D17:D20)</f>
        <v>0</v>
      </c>
      <c r="E21" s="1753">
        <f>SUM(E17:E20)</f>
        <v>0</v>
      </c>
      <c r="F21" s="1753">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3">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3">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3">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2093</v>
      </c>
      <c r="B32" s="733">
        <v>41334</v>
      </c>
      <c r="C32" s="734">
        <v>155000</v>
      </c>
      <c r="D32" s="735">
        <v>4</v>
      </c>
      <c r="E32" s="734">
        <v>87000</v>
      </c>
      <c r="F32" s="734"/>
      <c r="G32" s="734"/>
      <c r="H32" s="734">
        <v>70000</v>
      </c>
      <c r="I32" s="1754">
        <f>((E32+F32)-H32)+G32</f>
        <v>17000</v>
      </c>
      <c r="J32" s="734">
        <v>12570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2094</v>
      </c>
      <c r="B34" s="733">
        <v>42129</v>
      </c>
      <c r="C34" s="734">
        <v>300000</v>
      </c>
      <c r="D34" s="735">
        <v>1</v>
      </c>
      <c r="E34" s="734">
        <v>300000</v>
      </c>
      <c r="F34" s="734"/>
      <c r="G34" s="734"/>
      <c r="H34" s="734"/>
      <c r="I34" s="1754">
        <f t="shared" si="1"/>
        <v>300000</v>
      </c>
      <c r="J34" s="734">
        <v>221822</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455000</v>
      </c>
      <c r="D49" s="745"/>
      <c r="E49" s="1754">
        <f t="shared" ref="E49:J49" si="2">SUM(E31:E48)</f>
        <v>387000</v>
      </c>
      <c r="F49" s="1754">
        <f t="shared" si="2"/>
        <v>0</v>
      </c>
      <c r="G49" s="1754">
        <f t="shared" si="2"/>
        <v>0</v>
      </c>
      <c r="H49" s="1754">
        <f t="shared" si="2"/>
        <v>70000</v>
      </c>
      <c r="I49" s="1754">
        <f t="shared" si="2"/>
        <v>317000</v>
      </c>
      <c r="J49" s="1754">
        <f t="shared" si="2"/>
        <v>234392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54" sqref="H5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1962</v>
      </c>
      <c r="B3" s="2236"/>
      <c r="C3" s="2236"/>
      <c r="D3" s="2236"/>
      <c r="E3" s="2237"/>
      <c r="F3" s="763"/>
      <c r="G3" s="764"/>
      <c r="H3" s="764">
        <v>0</v>
      </c>
      <c r="I3" s="764">
        <v>0</v>
      </c>
      <c r="J3" s="765"/>
      <c r="K3" s="765">
        <v>0</v>
      </c>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5"/>
      <c r="G12" s="1756">
        <f>SUM(G5:G11)</f>
        <v>0</v>
      </c>
      <c r="H12" s="1756">
        <f>SUM(H5:H11)</f>
        <v>0</v>
      </c>
      <c r="I12" s="1756">
        <f>SUM(I5:I11)</f>
        <v>0</v>
      </c>
      <c r="J12" s="1756">
        <f>SUM(J5:J11)</f>
        <v>0</v>
      </c>
      <c r="K12" s="1756">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7"/>
      <c r="G21" s="792"/>
      <c r="H21" s="796"/>
      <c r="I21" s="796"/>
      <c r="J21" s="1758">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59"/>
      <c r="G23" s="1756">
        <f>SUM(G14:G16,G21,G22)</f>
        <v>0</v>
      </c>
      <c r="H23" s="1756">
        <f>SUM(H14:H16,H21,H22)</f>
        <v>0</v>
      </c>
      <c r="I23" s="1756">
        <f>SUM(I14:I16,I21,I22)</f>
        <v>0</v>
      </c>
      <c r="J23" s="1756">
        <f>SUM(J14:J16,J21,J22)</f>
        <v>0</v>
      </c>
      <c r="K23" s="1756">
        <f>SUM(K14:K16,K21,K22)</f>
        <v>0</v>
      </c>
    </row>
    <row r="24" spans="1:11" ht="14.25" thickTop="1" thickBot="1" x14ac:dyDescent="0.25">
      <c r="A24" s="2247" t="s">
        <v>1963</v>
      </c>
      <c r="B24" s="2246"/>
      <c r="C24" s="2246"/>
      <c r="D24" s="2246"/>
      <c r="E24" s="2246"/>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54" sqref="H5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13324</v>
      </c>
      <c r="D5" s="841"/>
      <c r="E5" s="841"/>
      <c r="F5" s="1758">
        <f>(C5+D5)-E5</f>
        <v>13324</v>
      </c>
      <c r="G5" s="837"/>
      <c r="H5" s="842"/>
      <c r="I5" s="842"/>
      <c r="J5" s="842"/>
      <c r="K5" s="793"/>
      <c r="L5" s="1767">
        <f>F5-K5</f>
        <v>13324</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4827081</v>
      </c>
      <c r="D8" s="844">
        <v>131284</v>
      </c>
      <c r="E8" s="844">
        <v>285270</v>
      </c>
      <c r="F8" s="1758">
        <f>(C8+D8)-E8</f>
        <v>4673095</v>
      </c>
      <c r="G8" s="843">
        <v>50</v>
      </c>
      <c r="H8" s="765">
        <v>2387575</v>
      </c>
      <c r="I8" s="765">
        <v>104735</v>
      </c>
      <c r="J8" s="765">
        <v>158189</v>
      </c>
      <c r="K8" s="1767">
        <f>(H8+I8)-J8</f>
        <v>2334121</v>
      </c>
      <c r="L8" s="1767">
        <f>F8-K8</f>
        <v>2338974</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121626</v>
      </c>
      <c r="D10" s="846"/>
      <c r="E10" s="846">
        <v>7265</v>
      </c>
      <c r="F10" s="1762">
        <f>(C10+D10)-E10</f>
        <v>114361</v>
      </c>
      <c r="G10" s="843">
        <v>20</v>
      </c>
      <c r="H10" s="847">
        <v>82226</v>
      </c>
      <c r="I10" s="847">
        <v>4648</v>
      </c>
      <c r="J10" s="847">
        <v>4727</v>
      </c>
      <c r="K10" s="1767">
        <f>(H10+I10)-J10</f>
        <v>82147</v>
      </c>
      <c r="L10" s="1767">
        <f>F10-K10</f>
        <v>32214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624971</v>
      </c>
      <c r="D12" s="844">
        <v>52437</v>
      </c>
      <c r="E12" s="844">
        <v>260533</v>
      </c>
      <c r="F12" s="1758">
        <f>(C12+D12)-E12</f>
        <v>416875</v>
      </c>
      <c r="G12" s="843">
        <v>10</v>
      </c>
      <c r="H12" s="765">
        <v>517200</v>
      </c>
      <c r="I12" s="765">
        <v>23114</v>
      </c>
      <c r="J12" s="765">
        <v>259327</v>
      </c>
      <c r="K12" s="1767">
        <f>(H12+I12)-J12</f>
        <v>280987</v>
      </c>
      <c r="L12" s="1767">
        <f>F12-K12</f>
        <v>135888</v>
      </c>
    </row>
    <row r="13" spans="1:14" ht="14.25" thickTop="1" thickBot="1" x14ac:dyDescent="0.25">
      <c r="A13" s="848" t="s">
        <v>1122</v>
      </c>
      <c r="B13" s="840">
        <v>252</v>
      </c>
      <c r="C13" s="844">
        <v>91840</v>
      </c>
      <c r="D13" s="844"/>
      <c r="E13" s="844"/>
      <c r="F13" s="1758">
        <f>(C13+D13)-E13</f>
        <v>91840</v>
      </c>
      <c r="G13" s="843">
        <v>5</v>
      </c>
      <c r="H13" s="765">
        <v>91840</v>
      </c>
      <c r="I13" s="765"/>
      <c r="J13" s="765"/>
      <c r="K13" s="1767">
        <f>(H13+I13)-J13</f>
        <v>91840</v>
      </c>
      <c r="L13" s="1767">
        <f>F13-K13</f>
        <v>0</v>
      </c>
    </row>
    <row r="14" spans="1:14" ht="14.25" thickTop="1" thickBot="1" x14ac:dyDescent="0.25">
      <c r="A14" s="848" t="s">
        <v>1123</v>
      </c>
      <c r="B14" s="840">
        <v>253</v>
      </c>
      <c r="C14" s="765">
        <v>3147</v>
      </c>
      <c r="D14" s="765"/>
      <c r="E14" s="765"/>
      <c r="F14" s="1758">
        <f>(C14+D14)-E14</f>
        <v>3147</v>
      </c>
      <c r="G14" s="843">
        <v>3</v>
      </c>
      <c r="H14" s="765">
        <v>3147</v>
      </c>
      <c r="I14" s="765"/>
      <c r="J14" s="765"/>
      <c r="K14" s="1767">
        <f>(H14+I14)-J14</f>
        <v>3147</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5681989</v>
      </c>
      <c r="D16" s="1758">
        <f>SUM(D3,D5:D6,D8:D10,D12:D15)</f>
        <v>183721</v>
      </c>
      <c r="E16" s="1758">
        <f>SUM(E3,E5:E6,E8:E10,E12:E15)</f>
        <v>553068</v>
      </c>
      <c r="F16" s="1758">
        <f>SUM(F3,F5:F6,F8:F10,F12:F15)</f>
        <v>5312642</v>
      </c>
      <c r="G16" s="843"/>
      <c r="H16" s="1758">
        <f>SUM(H3,H6,H8:H10,H12:H14,)</f>
        <v>3081988</v>
      </c>
      <c r="I16" s="1758">
        <f>SUM(I3,I6,I8:I10,I12:I14,)</f>
        <v>132497</v>
      </c>
      <c r="J16" s="1758">
        <f>SUM(J3,J6,J8:J10,J12:J14,)</f>
        <v>422243</v>
      </c>
      <c r="K16" s="1758">
        <f>(H16+I16)-J16</f>
        <v>2792242</v>
      </c>
      <c r="L16" s="1758">
        <f>F16-K16</f>
        <v>2520400</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132497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H54" sqref="H54"/>
      <selection pane="bottomLeft" activeCell="H54" sqref="H5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2237180</v>
      </c>
      <c r="G8" s="865"/>
    </row>
    <row r="9" spans="1:7" x14ac:dyDescent="0.2">
      <c r="A9" s="869" t="s">
        <v>460</v>
      </c>
      <c r="B9" s="870" t="s">
        <v>1876</v>
      </c>
      <c r="C9" s="871"/>
      <c r="D9" s="869" t="s">
        <v>501</v>
      </c>
      <c r="E9" s="868"/>
      <c r="F9" s="1906">
        <f>'Expenditures 15-22'!K151</f>
        <v>201771</v>
      </c>
      <c r="G9" s="872"/>
    </row>
    <row r="10" spans="1:7" x14ac:dyDescent="0.2">
      <c r="A10" s="869" t="s">
        <v>499</v>
      </c>
      <c r="B10" s="870" t="s">
        <v>1877</v>
      </c>
      <c r="C10" s="871"/>
      <c r="D10" s="869" t="s">
        <v>501</v>
      </c>
      <c r="E10" s="868"/>
      <c r="F10" s="1906">
        <f>'Expenditures 15-22'!K174</f>
        <v>91457</v>
      </c>
      <c r="G10" s="872"/>
    </row>
    <row r="11" spans="1:7" x14ac:dyDescent="0.2">
      <c r="A11" s="869" t="s">
        <v>461</v>
      </c>
      <c r="B11" s="870" t="s">
        <v>1878</v>
      </c>
      <c r="C11" s="871"/>
      <c r="D11" s="869" t="s">
        <v>501</v>
      </c>
      <c r="E11" s="868"/>
      <c r="F11" s="1906">
        <f>'Expenditures 15-22'!K210</f>
        <v>62875</v>
      </c>
      <c r="G11" s="872"/>
    </row>
    <row r="12" spans="1:7" x14ac:dyDescent="0.2">
      <c r="A12" s="869" t="s">
        <v>462</v>
      </c>
      <c r="B12" s="870" t="s">
        <v>1879</v>
      </c>
      <c r="C12" s="871"/>
      <c r="D12" s="869" t="s">
        <v>501</v>
      </c>
      <c r="E12" s="868"/>
      <c r="F12" s="1906">
        <f>'Expenditures 15-22'!K295</f>
        <v>89686</v>
      </c>
      <c r="G12" s="872"/>
    </row>
    <row r="13" spans="1:7" x14ac:dyDescent="0.2">
      <c r="A13" s="869" t="s">
        <v>106</v>
      </c>
      <c r="B13" s="870" t="s">
        <v>1880</v>
      </c>
      <c r="C13" s="871"/>
      <c r="D13" s="869" t="s">
        <v>501</v>
      </c>
      <c r="E13" s="868"/>
      <c r="F13" s="1906">
        <f>'Expenditures 15-22'!K342</f>
        <v>13712</v>
      </c>
      <c r="G13" s="873"/>
    </row>
    <row r="14" spans="1:7" ht="12" customHeight="1" thickBot="1" x14ac:dyDescent="0.25">
      <c r="A14" s="1768"/>
      <c r="B14" s="1769"/>
      <c r="C14" s="1770"/>
      <c r="D14" s="1771" t="s">
        <v>501</v>
      </c>
      <c r="E14" s="1772" t="s">
        <v>958</v>
      </c>
      <c r="F14" s="1773">
        <f>SUM(F8:F13)</f>
        <v>2696681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6437</v>
      </c>
      <c r="G52" s="865"/>
    </row>
    <row r="53" spans="1:7" x14ac:dyDescent="0.2">
      <c r="A53" s="869" t="s">
        <v>459</v>
      </c>
      <c r="B53" s="869" t="s">
        <v>1475</v>
      </c>
      <c r="C53" s="889">
        <f>'Expenditures 15-22'!B102</f>
        <v>4000</v>
      </c>
      <c r="D53" s="888" t="str">
        <f>'Expenditures 15-22'!A102</f>
        <v>Total Payments to Other Govt Units</v>
      </c>
      <c r="E53" s="868"/>
      <c r="F53" s="1910">
        <f>'Expenditures 15-22'!K102</f>
        <v>124580</v>
      </c>
      <c r="G53" s="865"/>
    </row>
    <row r="54" spans="1:7" x14ac:dyDescent="0.2">
      <c r="A54" s="869" t="s">
        <v>459</v>
      </c>
      <c r="B54" s="869" t="s">
        <v>1476</v>
      </c>
      <c r="C54" s="889" t="s">
        <v>982</v>
      </c>
      <c r="D54" s="885" t="s">
        <v>1095</v>
      </c>
      <c r="E54" s="868"/>
      <c r="F54" s="1910">
        <f>'Expenditures 15-22'!G114</f>
        <v>9831</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173890</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70000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4481</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389219</v>
      </c>
      <c r="G76" s="865"/>
    </row>
    <row r="77" spans="1:8" s="893" customFormat="1" ht="12" customHeight="1" thickTop="1" thickBot="1" x14ac:dyDescent="0.25">
      <c r="A77" s="1777"/>
      <c r="B77" s="1774"/>
      <c r="C77" s="1770"/>
      <c r="D77" s="1775" t="s">
        <v>1899</v>
      </c>
      <c r="E77" s="1772"/>
      <c r="F77" s="1778">
        <f>(F14-F76)</f>
        <v>2307462</v>
      </c>
      <c r="G77" s="869"/>
    </row>
    <row r="78" spans="1:8" s="893" customFormat="1" ht="12" customHeight="1" thickTop="1" x14ac:dyDescent="0.2">
      <c r="A78" s="1779"/>
      <c r="B78" s="1774"/>
      <c r="C78" s="1770"/>
      <c r="D78" s="1775" t="s">
        <v>2060</v>
      </c>
      <c r="E78" s="1772"/>
      <c r="F78" s="898">
        <v>322.39999999999998</v>
      </c>
      <c r="G78" s="899"/>
      <c r="H78" s="869"/>
    </row>
    <row r="79" spans="1:8" s="893" customFormat="1" ht="12" customHeight="1" thickBot="1" x14ac:dyDescent="0.25">
      <c r="A79" s="1780"/>
      <c r="B79" s="1774"/>
      <c r="C79" s="1770"/>
      <c r="D79" s="1775" t="s">
        <v>1900</v>
      </c>
      <c r="E79" s="1772" t="s">
        <v>958</v>
      </c>
      <c r="F79" s="1781">
        <f>IF(F78&gt;0,F77/F78," Complete Line 78")</f>
        <v>7157.140198511167</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34095</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3146</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16152</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4861</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26407</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17222</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2020</v>
      </c>
      <c r="C124" s="932">
        <v>4100</v>
      </c>
      <c r="D124" s="933" t="str">
        <f>'Revenues 9-14'!A188</f>
        <v>Total Title V</v>
      </c>
      <c r="E124" s="906"/>
      <c r="F124" s="1787">
        <f>SUM('Revenues 9-14'!C188,'Revenues 9-14'!D188,'Revenues 9-14'!F188,'Revenues 9-14'!G188)</f>
        <v>6810</v>
      </c>
      <c r="G124" s="930"/>
    </row>
    <row r="125" spans="1:7" x14ac:dyDescent="0.2">
      <c r="A125" s="927" t="s">
        <v>664</v>
      </c>
      <c r="B125" s="927" t="s">
        <v>2021</v>
      </c>
      <c r="C125" s="932">
        <v>4200</v>
      </c>
      <c r="D125" s="929" t="str">
        <f>'Revenues 9-14'!A198</f>
        <v>Total Food Service</v>
      </c>
      <c r="E125" s="906"/>
      <c r="F125" s="1787">
        <f>SUM('Revenues 9-14'!C198,'Revenues 9-14'!G198)</f>
        <v>239255</v>
      </c>
      <c r="G125" s="930"/>
    </row>
    <row r="126" spans="1:7" x14ac:dyDescent="0.2">
      <c r="A126" s="927" t="s">
        <v>668</v>
      </c>
      <c r="B126" s="927" t="s">
        <v>2022</v>
      </c>
      <c r="C126" s="932">
        <v>4300</v>
      </c>
      <c r="D126" s="933" t="str">
        <f>'Revenues 9-14'!A204</f>
        <v>Total Title I</v>
      </c>
      <c r="E126" s="906"/>
      <c r="F126" s="1787">
        <f>SUM('Revenues 9-14'!C204,'Revenues 9-14'!D204,'Revenues 9-14'!F204,'Revenues 9-14'!G204)</f>
        <v>89736</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15967</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5874</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22625</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5414</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8792</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77208</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573564</v>
      </c>
    </row>
    <row r="175" spans="1:7" ht="12" customHeight="1" x14ac:dyDescent="0.2">
      <c r="A175" s="1768"/>
      <c r="B175" s="1782"/>
      <c r="C175" s="1783"/>
      <c r="D175" s="1784" t="s">
        <v>2055</v>
      </c>
      <c r="E175" s="1785"/>
      <c r="F175" s="1787">
        <f>'PCTC-OEPP 27-28'!F77-F174</f>
        <v>1733898</v>
      </c>
    </row>
    <row r="176" spans="1:7" ht="12" customHeight="1" x14ac:dyDescent="0.2">
      <c r="A176" s="1768"/>
      <c r="B176" s="1782"/>
      <c r="C176" s="1783"/>
      <c r="D176" s="1784" t="s">
        <v>1817</v>
      </c>
      <c r="E176" s="1785"/>
      <c r="F176" s="1787">
        <f>'Cap Outlay Deprec 26'!I18</f>
        <v>132497</v>
      </c>
    </row>
    <row r="177" spans="1:7" ht="12" customHeight="1" x14ac:dyDescent="0.2">
      <c r="A177" s="1768"/>
      <c r="B177" s="1782"/>
      <c r="C177" s="1783"/>
      <c r="D177" s="1784" t="s">
        <v>2056</v>
      </c>
      <c r="E177" s="1785"/>
      <c r="F177" s="1787">
        <f>F175+F176</f>
        <v>1866395</v>
      </c>
    </row>
    <row r="178" spans="1:7" ht="12" customHeight="1" x14ac:dyDescent="0.2">
      <c r="A178" s="1768"/>
      <c r="B178" s="1788"/>
      <c r="C178" s="1783"/>
      <c r="D178" s="1784" t="str">
        <f>D78</f>
        <v>9 Month ADA from District Average Daily Attendance/Prior General State Aid Inquiry 2018-2019</v>
      </c>
      <c r="E178" s="1785"/>
      <c r="F178" s="1789">
        <f>'PCTC-OEPP 27-28'!F78</f>
        <v>322.39999999999998</v>
      </c>
      <c r="G178" s="930"/>
    </row>
    <row r="179" spans="1:7" ht="12" customHeight="1" thickBot="1" x14ac:dyDescent="0.25">
      <c r="A179" s="1768"/>
      <c r="B179" s="1788"/>
      <c r="C179" s="1783"/>
      <c r="D179" s="1784" t="s">
        <v>2057</v>
      </c>
      <c r="E179" s="1785" t="s">
        <v>1545</v>
      </c>
      <c r="F179" s="1790">
        <f>F177/F178</f>
        <v>5789.0663771712161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17" zoomScaleNormal="100" workbookViewId="0">
      <selection activeCell="H54" sqref="H54"/>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5" t="s">
        <v>1931</v>
      </c>
      <c r="B8" s="2276"/>
      <c r="C8" s="2276"/>
      <c r="D8" s="2276"/>
      <c r="E8" s="2276"/>
      <c r="F8" s="2276"/>
      <c r="G8" s="2277"/>
    </row>
    <row r="9" spans="1:7" ht="15.75" customHeight="1" x14ac:dyDescent="0.25">
      <c r="A9" s="2278" t="s">
        <v>1906</v>
      </c>
      <c r="B9" s="2279"/>
      <c r="C9" s="2279"/>
      <c r="D9" s="2279"/>
      <c r="E9" s="2279"/>
      <c r="F9" s="2279"/>
      <c r="G9" s="2280"/>
    </row>
    <row r="10" spans="1:7" ht="35.25" customHeight="1" x14ac:dyDescent="0.25">
      <c r="A10" s="2275" t="s">
        <v>2063</v>
      </c>
      <c r="B10" s="2276"/>
      <c r="C10" s="2276"/>
      <c r="D10" s="2276"/>
      <c r="E10" s="2276"/>
      <c r="F10" s="2276"/>
      <c r="G10" s="2277"/>
    </row>
    <row r="11" spans="1:7" ht="15" customHeight="1" x14ac:dyDescent="0.25">
      <c r="A11" s="1537" t="s">
        <v>1820</v>
      </c>
      <c r="B11" s="1538"/>
      <c r="C11" s="1538"/>
      <c r="D11" s="1538"/>
      <c r="E11" s="1538"/>
      <c r="F11" s="1538"/>
      <c r="G11" s="1539"/>
    </row>
    <row r="12" spans="1:7" ht="17.25" customHeight="1" x14ac:dyDescent="0.25">
      <c r="A12" s="2275" t="s">
        <v>1933</v>
      </c>
      <c r="B12" s="2276"/>
      <c r="C12" s="2276"/>
      <c r="D12" s="2276"/>
      <c r="E12" s="2276"/>
      <c r="F12" s="2276"/>
      <c r="G12" s="2277"/>
    </row>
    <row r="13" spans="1:7" ht="15" customHeight="1" x14ac:dyDescent="0.25">
      <c r="A13" s="1537" t="s">
        <v>1825</v>
      </c>
      <c r="B13" s="1538"/>
      <c r="C13" s="1538"/>
      <c r="D13" s="1538"/>
      <c r="E13" s="1538"/>
      <c r="F13" s="1538"/>
      <c r="G13" s="1539"/>
    </row>
    <row r="14" spans="1:7" ht="32.25" customHeight="1" x14ac:dyDescent="0.25">
      <c r="A14" s="2266" t="s">
        <v>1974</v>
      </c>
      <c r="B14" s="2267"/>
      <c r="C14" s="2267"/>
      <c r="D14" s="2267"/>
      <c r="E14" s="2267"/>
      <c r="F14" s="2267"/>
      <c r="G14" s="2268"/>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2095</v>
      </c>
      <c r="B18" s="1937" t="s">
        <v>2096</v>
      </c>
      <c r="C18" s="1938" t="s">
        <v>2097</v>
      </c>
      <c r="D18" s="1841">
        <v>4304</v>
      </c>
      <c r="E18" s="1540">
        <f t="shared" ref="E18:E37" si="0">IF(D18&lt;=25000,D18,IF(D18&gt;25000,25000,0))</f>
        <v>4304</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4304</v>
      </c>
      <c r="G18" s="1791">
        <f>IF(F18=0,0,D18-F18)</f>
        <v>0</v>
      </c>
      <c r="H18" s="1647"/>
    </row>
    <row r="19" spans="1:8" x14ac:dyDescent="0.25">
      <c r="A19" s="1936" t="s">
        <v>2095</v>
      </c>
      <c r="B19" s="1937" t="s">
        <v>2096</v>
      </c>
      <c r="C19" s="1938" t="s">
        <v>2098</v>
      </c>
      <c r="D19" s="1841">
        <v>2276</v>
      </c>
      <c r="E19" s="1540">
        <f t="shared" ref="E19:E36" si="2">IF(D19&lt;=25000,D19,IF(D19&gt;25000,25000,0))</f>
        <v>2276</v>
      </c>
      <c r="F19" s="1931">
        <f t="shared" si="1"/>
        <v>2276</v>
      </c>
      <c r="G19" s="1791">
        <f t="shared" ref="G19:G36" si="3">IF(F19=0,0,D19-F19)</f>
        <v>0</v>
      </c>
    </row>
    <row r="20" spans="1:8" x14ac:dyDescent="0.25">
      <c r="A20" s="1936" t="s">
        <v>2095</v>
      </c>
      <c r="B20" s="1939" t="s">
        <v>2096</v>
      </c>
      <c r="C20" s="1938" t="s">
        <v>2099</v>
      </c>
      <c r="D20" s="1841">
        <v>1125</v>
      </c>
      <c r="E20" s="1540">
        <f t="shared" si="2"/>
        <v>1125</v>
      </c>
      <c r="F20" s="1931">
        <f t="shared" si="1"/>
        <v>1125</v>
      </c>
      <c r="G20" s="1791">
        <f t="shared" si="3"/>
        <v>0</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7705</v>
      </c>
      <c r="E37" s="1541">
        <f t="shared" si="0"/>
        <v>7705</v>
      </c>
      <c r="F37" s="1929">
        <f>SUM(F18:F36)</f>
        <v>7705</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H54" sqref="H5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116758</v>
      </c>
      <c r="F10" s="974"/>
      <c r="G10" s="975"/>
      <c r="H10" s="162"/>
      <c r="I10" s="162"/>
    </row>
    <row r="11" spans="1:9" s="668" customFormat="1" ht="22.5" customHeight="1" x14ac:dyDescent="0.2">
      <c r="A11" s="2286" t="s">
        <v>1975</v>
      </c>
      <c r="B11" s="2287"/>
      <c r="C11" s="2287"/>
      <c r="D11" s="2288"/>
      <c r="E11" s="977">
        <v>13256</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1402632</v>
      </c>
      <c r="F19" s="1797"/>
      <c r="G19" s="1799">
        <f>'Expenditures 15-22'!K33-SUM('Expenditures 15-22'!G33,'Expenditures 15-22'!I33)+'Expenditures 15-22'!D229</f>
        <v>1402632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84696</v>
      </c>
      <c r="F21" s="1800"/>
      <c r="G21" s="1803">
        <f>'Expenditures 15-22'!K42-SUM('Expenditures 15-22'!G42,'Expenditures 15-22'!I42)+'Expenditures 15-22'!K120-SUM('Expenditures 15-22'!G120,'Expenditures 15-22'!I120)+'Expenditures 15-22'!K180-SUM('Expenditures 15-22'!G180,'Expenditures 15-22'!I180)+'Expenditures 15-22'!D238</f>
        <v>84696</v>
      </c>
      <c r="H21" s="987"/>
      <c r="I21" s="162"/>
    </row>
    <row r="22" spans="1:9" s="668" customFormat="1" ht="12" customHeight="1" x14ac:dyDescent="0.2">
      <c r="A22" s="994" t="s">
        <v>564</v>
      </c>
      <c r="B22" s="995"/>
      <c r="C22" s="993">
        <v>2200</v>
      </c>
      <c r="D22" s="1800"/>
      <c r="E22" s="1802">
        <f>'Expenditures 15-22'!K47-SUM('Expenditures 15-22'!G47,'Expenditures 15-22'!I47)+'Expenditures 15-22'!D243</f>
        <v>8381</v>
      </c>
      <c r="F22" s="1800"/>
      <c r="G22" s="1803">
        <f>'Expenditures 15-22'!K47-SUM('Expenditures 15-22'!G47,'Expenditures 15-22'!I47)+'Expenditures 15-22'!D243</f>
        <v>8381</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192899</v>
      </c>
      <c r="F23" s="1800"/>
      <c r="G23" s="1802">
        <f>'Expenditures 15-22'!K53-SUM('Expenditures 15-22'!G53,'Expenditures 15-22'!I53)+'Expenditures 15-22'!D257+'Expenditures 15-22'!K330-SUM('Expenditures 15-22'!G330,'Expenditures 15-22'!I330)</f>
        <v>192899</v>
      </c>
      <c r="H23" s="987"/>
      <c r="I23" s="162"/>
    </row>
    <row r="24" spans="1:9" s="668" customFormat="1" ht="12" customHeight="1" x14ac:dyDescent="0.2">
      <c r="A24" s="994" t="s">
        <v>566</v>
      </c>
      <c r="B24" s="995"/>
      <c r="C24" s="993">
        <v>2400</v>
      </c>
      <c r="D24" s="1800"/>
      <c r="E24" s="1802">
        <f>'Expenditures 15-22'!K57-SUM('Expenditures 15-22'!G57,'Expenditures 15-22'!I57)+'Expenditures 15-22'!D261</f>
        <v>0</v>
      </c>
      <c r="F24" s="1800"/>
      <c r="G24" s="1803">
        <f>'Expenditures 15-22'!K57-SUM('Expenditures 15-22'!G57,'Expenditures 15-22'!I57)+'Expenditures 15-22'!D261</f>
        <v>0</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73602</v>
      </c>
      <c r="E27" s="1802">
        <f>E8</f>
        <v>0</v>
      </c>
      <c r="F27" s="1802">
        <f>'Expenditures 15-22'!K60-SUM('Expenditures 15-22'!G60,'Expenditures 15-22'!I60)+'Expenditures 15-22'!D264-E8</f>
        <v>73602</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252399</v>
      </c>
      <c r="F28" s="1804">
        <f>'Expenditures 15-22'!K61-SUM('Expenditures 15-22'!G61,'Expenditures 15-22'!I61)+'Expenditures 15-22'!K124-SUM('Expenditures 15-22'!G124,'Expenditures 15-22'!I124)+'Expenditures 15-22'!D266-E9</f>
        <v>252399</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64140</v>
      </c>
      <c r="F29" s="1800"/>
      <c r="G29" s="1803">
        <f>'Expenditures 15-22'!K62-SUM('Expenditures 15-22'!G62,'Expenditures 15-22'!I62)+'Expenditures 15-22'!K125-SUM('Expenditures 15-22'!G125,'Expenditures 15-22'!I125)+'Expenditures 15-22'!K182-SUM('Expenditures 15-22'!G182,'Expenditures 15-22'!I182)+'Expenditures 15-22'!D267</f>
        <v>64140</v>
      </c>
      <c r="H29" s="985"/>
    </row>
    <row r="30" spans="1:9" ht="12" customHeight="1" x14ac:dyDescent="0.2">
      <c r="A30" s="994" t="s">
        <v>100</v>
      </c>
      <c r="B30" s="997"/>
      <c r="C30" s="993">
        <v>2560</v>
      </c>
      <c r="D30" s="1800"/>
      <c r="E30" s="1802">
        <f>'Expenditures 15-22'!K63-SUM('Expenditures 15-22'!G63,'Expenditures 15-22'!I63)+'Expenditures 15-22'!D268-E10</f>
        <v>84883</v>
      </c>
      <c r="F30" s="1800"/>
      <c r="G30" s="1802">
        <f>'Expenditures 15-22'!K63-SUM('Expenditures 15-22'!G63,'Expenditures 15-22'!I63)+'Expenditures 15-22'!D268-E10</f>
        <v>84883</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5615</v>
      </c>
      <c r="F38" s="1800"/>
      <c r="G38" s="1802">
        <f>'Expenditures 15-22'!K73-SUM('Expenditures 15-22'!G73,'Expenditures 15-22'!I73)+'Expenditures 15-22'!K128-SUM('Expenditures 15-22'!G128,'Expenditures 15-22'!I128)+'Expenditures 15-22'!K183-SUM('Expenditures 15-22'!G183,'Expenditures 15-22'!I183)+'Expenditures 15-22'!D278</f>
        <v>5615</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6437</v>
      </c>
      <c r="F39" s="1800"/>
      <c r="G39" s="1802">
        <f>'Expenditures 15-22'!K75-SUM('Expenditures 15-22'!G75,'Expenditures 15-22'!I75)+'Expenditures 15-22'!K130-SUM('Expenditures 15-22'!G130,'Expenditures 15-22'!I130)+'Expenditures 15-22'!K185-SUM('Expenditures 15-22'!G185,'Expenditures 15-22'!I185)+'Expenditures 15-22'!D280</f>
        <v>6437</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73602</v>
      </c>
      <c r="E41" s="1804">
        <f>SUM(E19:E40)</f>
        <v>2102082</v>
      </c>
      <c r="F41" s="1804">
        <f>SUM(F19:F39)</f>
        <v>326001</v>
      </c>
      <c r="G41" s="1804">
        <f>SUM(G19:G40)</f>
        <v>1849683</v>
      </c>
    </row>
    <row r="42" spans="1:7" x14ac:dyDescent="0.2">
      <c r="A42" s="987"/>
      <c r="B42" s="162"/>
      <c r="C42" s="1001"/>
      <c r="D42" s="2284" t="s">
        <v>522</v>
      </c>
      <c r="E42" s="2285"/>
      <c r="F42" s="1002" t="s">
        <v>523</v>
      </c>
      <c r="G42" s="1003"/>
    </row>
    <row r="43" spans="1:7" ht="12" customHeight="1" x14ac:dyDescent="0.2">
      <c r="A43" s="987"/>
      <c r="B43" s="162"/>
      <c r="C43" s="1001"/>
      <c r="D43" s="1805" t="s">
        <v>473</v>
      </c>
      <c r="E43" s="1806">
        <f>D41</f>
        <v>73602</v>
      </c>
      <c r="F43" s="1805" t="s">
        <v>473</v>
      </c>
      <c r="G43" s="1806">
        <f>F41</f>
        <v>326001</v>
      </c>
    </row>
    <row r="44" spans="1:7" ht="12" customHeight="1" x14ac:dyDescent="0.2">
      <c r="A44" s="987"/>
      <c r="B44" s="162"/>
      <c r="C44" s="1001"/>
      <c r="D44" s="1805" t="s">
        <v>474</v>
      </c>
      <c r="E44" s="1806">
        <f>E41</f>
        <v>2102082</v>
      </c>
      <c r="F44" s="1805" t="s">
        <v>474</v>
      </c>
      <c r="G44" s="1806">
        <f>G41</f>
        <v>1849683</v>
      </c>
    </row>
    <row r="45" spans="1:7" ht="12" customHeight="1" x14ac:dyDescent="0.2">
      <c r="A45" s="987"/>
      <c r="B45" s="162"/>
      <c r="C45" s="162"/>
      <c r="D45" s="1807" t="s">
        <v>1006</v>
      </c>
      <c r="E45" s="1808">
        <f>(E43/E44)</f>
        <v>3.5013857689661962E-2</v>
      </c>
      <c r="F45" s="1807" t="s">
        <v>1006</v>
      </c>
      <c r="G45" s="1808">
        <f>(G43/G44)</f>
        <v>0.17624695691099501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H54" sqref="H54"/>
      <selection pane="bottomLeft" activeCell="H54" sqref="H54"/>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3" t="s">
        <v>1379</v>
      </c>
      <c r="B1" s="2303"/>
      <c r="C1" s="2303"/>
      <c r="D1" s="2303"/>
      <c r="E1" s="2303"/>
      <c r="F1" s="2303"/>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304" t="s">
        <v>1546</v>
      </c>
      <c r="B5" s="2305"/>
      <c r="C5" s="2306"/>
      <c r="D5" s="2306"/>
      <c r="E5" s="2306"/>
      <c r="F5" s="2306"/>
    </row>
    <row r="6" spans="1:10" ht="12" customHeight="1" x14ac:dyDescent="0.25">
      <c r="A6" s="1847"/>
      <c r="B6" s="1848"/>
      <c r="C6" s="2307" t="str">
        <f>COVER!A17</f>
        <v>Central City SD 133</v>
      </c>
      <c r="D6" s="2307"/>
      <c r="E6" s="2307"/>
      <c r="F6" s="1849"/>
    </row>
    <row r="7" spans="1:10" ht="11.25" customHeight="1" thickBot="1" x14ac:dyDescent="0.3">
      <c r="A7" s="1847"/>
      <c r="B7" s="1848"/>
      <c r="C7" s="2308">
        <f>COVER!A13</f>
        <v>13058133002</v>
      </c>
      <c r="D7" s="2308"/>
      <c r="E7" s="2308"/>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2083</v>
      </c>
      <c r="D11" s="1862" t="s">
        <v>2083</v>
      </c>
      <c r="E11" s="1863" t="s">
        <v>2083</v>
      </c>
      <c r="F11" s="1864" t="s">
        <v>2105</v>
      </c>
      <c r="H11" s="1875">
        <f>IF(C11="X",5,0)</f>
        <v>5</v>
      </c>
      <c r="I11" s="1875">
        <f>IF(D11="X",5,0)</f>
        <v>5</v>
      </c>
      <c r="J11" s="1875">
        <f>IF(E11="X",5,0)</f>
        <v>5</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2083</v>
      </c>
      <c r="D13" s="1862" t="s">
        <v>2083</v>
      </c>
      <c r="E13" s="1865" t="s">
        <v>2083</v>
      </c>
      <c r="F13" s="1864" t="s">
        <v>2100</v>
      </c>
      <c r="H13" s="1875">
        <f t="shared" si="0"/>
        <v>5</v>
      </c>
      <c r="I13" s="1875">
        <f t="shared" si="1"/>
        <v>5</v>
      </c>
      <c r="J13" s="1875">
        <f t="shared" si="2"/>
        <v>5</v>
      </c>
    </row>
    <row r="14" spans="1:10" ht="12" customHeight="1" x14ac:dyDescent="0.2">
      <c r="A14" s="1860" t="s">
        <v>1386</v>
      </c>
      <c r="B14" s="1861"/>
      <c r="C14" s="1862" t="s">
        <v>2083</v>
      </c>
      <c r="D14" s="1862" t="s">
        <v>2083</v>
      </c>
      <c r="E14" s="1865" t="s">
        <v>2083</v>
      </c>
      <c r="F14" s="1864" t="s">
        <v>2101</v>
      </c>
      <c r="H14" s="1875">
        <f t="shared" si="0"/>
        <v>5</v>
      </c>
      <c r="I14" s="1875">
        <f t="shared" si="1"/>
        <v>5</v>
      </c>
      <c r="J14" s="1875">
        <f t="shared" si="2"/>
        <v>5</v>
      </c>
    </row>
    <row r="15" spans="1:10" ht="12" customHeight="1" x14ac:dyDescent="0.2">
      <c r="A15" s="1860" t="s">
        <v>1387</v>
      </c>
      <c r="B15" s="1861"/>
      <c r="C15" s="1862" t="s">
        <v>2083</v>
      </c>
      <c r="D15" s="1862" t="s">
        <v>2083</v>
      </c>
      <c r="E15" s="1865" t="s">
        <v>2083</v>
      </c>
      <c r="F15" s="1864" t="s">
        <v>2102</v>
      </c>
      <c r="H15" s="1875">
        <f t="shared" si="0"/>
        <v>5</v>
      </c>
      <c r="I15" s="1875">
        <f t="shared" si="1"/>
        <v>5</v>
      </c>
      <c r="J15" s="1875">
        <f t="shared" si="2"/>
        <v>5</v>
      </c>
    </row>
    <row r="16" spans="1:10" ht="12" customHeight="1" x14ac:dyDescent="0.2">
      <c r="A16" s="1860" t="s">
        <v>1388</v>
      </c>
      <c r="B16" s="1861"/>
      <c r="C16" s="1862" t="s">
        <v>2083</v>
      </c>
      <c r="D16" s="1862" t="s">
        <v>2083</v>
      </c>
      <c r="E16" s="1865" t="s">
        <v>2083</v>
      </c>
      <c r="F16" s="1864" t="s">
        <v>2103</v>
      </c>
      <c r="H16" s="1875">
        <f t="shared" si="0"/>
        <v>5</v>
      </c>
      <c r="I16" s="1875">
        <f t="shared" si="1"/>
        <v>5</v>
      </c>
      <c r="J16" s="1875">
        <f t="shared" si="2"/>
        <v>5</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2083</v>
      </c>
      <c r="D19" s="1862" t="s">
        <v>2083</v>
      </c>
      <c r="E19" s="1865" t="s">
        <v>2083</v>
      </c>
      <c r="F19" s="1864" t="s">
        <v>2104</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2083</v>
      </c>
      <c r="D23" s="1862" t="s">
        <v>2083</v>
      </c>
      <c r="E23" s="1865" t="s">
        <v>2083</v>
      </c>
      <c r="F23" s="1864" t="s">
        <v>2105</v>
      </c>
      <c r="H23" s="1875">
        <f t="shared" si="0"/>
        <v>5</v>
      </c>
      <c r="I23" s="1875">
        <f t="shared" si="1"/>
        <v>5</v>
      </c>
      <c r="J23" s="1875">
        <f t="shared" si="2"/>
        <v>5</v>
      </c>
    </row>
    <row r="24" spans="1:12" ht="12" customHeight="1" x14ac:dyDescent="0.2">
      <c r="A24" s="1860" t="s">
        <v>1532</v>
      </c>
      <c r="B24" s="1861"/>
      <c r="C24" s="1862" t="s">
        <v>2083</v>
      </c>
      <c r="D24" s="1862" t="s">
        <v>2083</v>
      </c>
      <c r="E24" s="1865" t="s">
        <v>2083</v>
      </c>
      <c r="F24" s="1864" t="s">
        <v>2106</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2083</v>
      </c>
      <c r="D26" s="1862" t="s">
        <v>2083</v>
      </c>
      <c r="E26" s="1865" t="s">
        <v>2083</v>
      </c>
      <c r="F26" s="1864" t="s">
        <v>2107</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45</v>
      </c>
      <c r="J34" s="1875">
        <f>SUM(J11:J32)</f>
        <v>45</v>
      </c>
      <c r="K34" s="1875">
        <f>SUM(H34:J34)</f>
        <v>135</v>
      </c>
    </row>
    <row r="35" spans="1:11" ht="12" customHeight="1" x14ac:dyDescent="0.2">
      <c r="A35" s="1868" t="s">
        <v>1392</v>
      </c>
      <c r="B35" s="1869"/>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0"/>
      <c r="B39" s="1870"/>
      <c r="C39" s="1870"/>
      <c r="D39" s="1870"/>
      <c r="E39" s="1870"/>
      <c r="F39" s="1870"/>
    </row>
    <row r="40" spans="1:11" s="1867" customFormat="1" ht="12" customHeight="1" x14ac:dyDescent="0.25">
      <c r="A40" s="1871" t="s">
        <v>1391</v>
      </c>
      <c r="B40" s="1872"/>
      <c r="C40" s="2298"/>
      <c r="D40" s="2298"/>
      <c r="E40" s="2298"/>
      <c r="F40" s="2299"/>
      <c r="H40" s="1876"/>
      <c r="I40" s="1876"/>
      <c r="J40" s="1876"/>
      <c r="K40" s="1876"/>
    </row>
    <row r="41" spans="1:11" s="1867" customFormat="1" ht="12" customHeight="1" x14ac:dyDescent="0.25">
      <c r="A41" s="2300"/>
      <c r="B41" s="2301"/>
      <c r="C41" s="2301"/>
      <c r="D41" s="2301"/>
      <c r="E41" s="2301"/>
      <c r="F41" s="2302"/>
      <c r="H41" s="1876"/>
      <c r="I41" s="1876"/>
      <c r="J41" s="1876"/>
      <c r="K41" s="1876"/>
    </row>
    <row r="42" spans="1:11" s="1867" customFormat="1" ht="12" customHeight="1" x14ac:dyDescent="0.25">
      <c r="A42" s="2300"/>
      <c r="B42" s="2301"/>
      <c r="C42" s="2301"/>
      <c r="D42" s="2301"/>
      <c r="E42" s="2301"/>
      <c r="F42" s="2302"/>
      <c r="H42" s="1876"/>
      <c r="I42" s="1876"/>
      <c r="J42" s="1876"/>
      <c r="K42" s="1876"/>
    </row>
    <row r="43" spans="1:11" s="1867" customFormat="1" ht="15" x14ac:dyDescent="0.25">
      <c r="A43" s="2289"/>
      <c r="B43" s="2290"/>
      <c r="C43" s="2290"/>
      <c r="D43" s="2290"/>
      <c r="E43" s="2290"/>
      <c r="F43" s="2291"/>
      <c r="H43" s="1876"/>
      <c r="I43" s="1876"/>
      <c r="J43" s="1876"/>
      <c r="K43" s="1876"/>
    </row>
    <row r="44" spans="1:11" s="1867" customFormat="1" ht="12" hidden="1" customHeight="1" x14ac:dyDescent="0.25">
      <c r="A44" s="2289"/>
      <c r="B44" s="2290"/>
      <c r="C44" s="2290"/>
      <c r="D44" s="2290"/>
      <c r="E44" s="2290"/>
      <c r="F44" s="229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54" sqref="H5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6" t="str">
        <f>COVER!A17</f>
        <v>Central City SD 133</v>
      </c>
      <c r="J6" s="2317"/>
      <c r="Q6" s="1662"/>
    </row>
    <row r="7" spans="1:17" x14ac:dyDescent="0.2">
      <c r="A7" s="2318" t="s">
        <v>869</v>
      </c>
      <c r="B7" s="2319"/>
      <c r="C7" s="2319"/>
      <c r="D7" s="2319"/>
      <c r="E7" s="2320"/>
      <c r="F7" s="1017"/>
      <c r="G7" s="1009"/>
      <c r="H7" s="1016" t="s">
        <v>372</v>
      </c>
      <c r="I7" s="2321">
        <f>COVER!A13</f>
        <v>13058133002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129425</v>
      </c>
      <c r="F12" s="1039"/>
      <c r="G12" s="1809">
        <f t="shared" ref="G12:G18" si="0">SUM(E12:F12)</f>
        <v>129425</v>
      </c>
      <c r="H12" s="1040">
        <v>137250</v>
      </c>
      <c r="I12" s="1039"/>
      <c r="J12" s="1809">
        <f t="shared" ref="J12:J18" si="1">SUM(H12:I12)</f>
        <v>137250</v>
      </c>
    </row>
    <row r="13" spans="1:17" ht="15" customHeight="1" x14ac:dyDescent="0.2">
      <c r="A13" s="1035">
        <v>2</v>
      </c>
      <c r="B13" s="1036" t="s">
        <v>42</v>
      </c>
      <c r="C13" s="1037"/>
      <c r="D13" s="1038">
        <v>2330</v>
      </c>
      <c r="E13" s="1809">
        <f>'Expenditures 15-22'!K51</f>
        <v>3963</v>
      </c>
      <c r="F13" s="1039"/>
      <c r="G13" s="1809">
        <f t="shared" si="0"/>
        <v>3963</v>
      </c>
      <c r="H13" s="1040">
        <v>3094</v>
      </c>
      <c r="I13" s="1039"/>
      <c r="J13" s="1809">
        <f t="shared" si="1"/>
        <v>3094</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5" t="s">
        <v>7</v>
      </c>
      <c r="C18" s="2326"/>
      <c r="D18" s="2327"/>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133388</v>
      </c>
      <c r="F19" s="1811">
        <f t="shared" si="2"/>
        <v>0</v>
      </c>
      <c r="G19" s="1811">
        <f t="shared" si="2"/>
        <v>133388</v>
      </c>
      <c r="H19" s="1811">
        <f t="shared" si="2"/>
        <v>140344</v>
      </c>
      <c r="I19" s="1811">
        <f t="shared" si="2"/>
        <v>0</v>
      </c>
      <c r="J19" s="1811">
        <f t="shared" si="2"/>
        <v>140344</v>
      </c>
    </row>
    <row r="20" spans="1:10" ht="13.5" thickTop="1" x14ac:dyDescent="0.2">
      <c r="A20" s="1035">
        <v>9</v>
      </c>
      <c r="B20" s="2328" t="s">
        <v>1979</v>
      </c>
      <c r="C20" s="2328"/>
      <c r="D20" s="2329"/>
      <c r="E20" s="1046"/>
      <c r="F20" s="1046"/>
      <c r="G20" s="1046"/>
      <c r="H20" s="1046"/>
      <c r="I20" s="1046"/>
      <c r="J20" s="1812">
        <f>IF(AND(G19&gt;0,J19&gt;0),(((J19-G19)/G19)),"Enter Budget Data")</f>
        <v>5.2148619066182865E-2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54" sqref="H5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2108</v>
      </c>
    </row>
    <row r="6" spans="1:2" x14ac:dyDescent="0.2">
      <c r="A6" s="1068"/>
    </row>
    <row r="7" spans="1:2" x14ac:dyDescent="0.2">
      <c r="A7" s="1068">
        <v>2</v>
      </c>
      <c r="B7" s="329" t="s">
        <v>2109</v>
      </c>
    </row>
    <row r="8" spans="1:2" x14ac:dyDescent="0.2">
      <c r="A8" s="1068" t="s">
        <v>2110</v>
      </c>
    </row>
    <row r="9" spans="1:2" x14ac:dyDescent="0.2">
      <c r="A9" s="1069"/>
    </row>
    <row r="10" spans="1:2" x14ac:dyDescent="0.2">
      <c r="A10" s="1069">
        <v>3</v>
      </c>
      <c r="B10" s="329" t="s">
        <v>2111</v>
      </c>
    </row>
    <row r="11" spans="1:2" x14ac:dyDescent="0.2">
      <c r="A11" s="1069"/>
    </row>
    <row r="12" spans="1:2" x14ac:dyDescent="0.2">
      <c r="A12" s="1069">
        <v>4</v>
      </c>
      <c r="B12" s="329" t="s">
        <v>2112</v>
      </c>
    </row>
    <row r="13" spans="1:2" x14ac:dyDescent="0.2">
      <c r="A13" s="1069"/>
    </row>
    <row r="14" spans="1:2" x14ac:dyDescent="0.2">
      <c r="A14" s="1069">
        <v>5</v>
      </c>
      <c r="B14" s="329" t="s">
        <v>2113</v>
      </c>
    </row>
    <row r="15" spans="1:2" x14ac:dyDescent="0.2">
      <c r="A15" s="1069"/>
    </row>
    <row r="16" spans="1:2" x14ac:dyDescent="0.2">
      <c r="A16" s="1069">
        <v>6</v>
      </c>
      <c r="B16" s="329" t="s">
        <v>2114</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Central City SD 133</v>
      </c>
    </row>
    <row r="65" spans="2:2" x14ac:dyDescent="0.2">
      <c r="B65" s="1070">
        <f>COVER!A13</f>
        <v>13058133002</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54" sqref="H5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54" sqref="H5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1571625</xdr:colOff>
                <xdr:row>5</xdr:row>
                <xdr:rowOff>0</xdr:rowOff>
              </from>
              <to>
                <xdr:col>1</xdr:col>
                <xdr:colOff>2486025</xdr:colOff>
                <xdr:row>9</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54" sqref="H5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2493868</v>
      </c>
      <c r="C8" s="1813">
        <f>'Acct Summary 7-8'!D8</f>
        <v>118334</v>
      </c>
      <c r="D8" s="1813">
        <f>'Acct Summary 7-8'!F8</f>
        <v>72626</v>
      </c>
      <c r="E8" s="1813">
        <f>'Acct Summary 7-8'!I8</f>
        <v>1940</v>
      </c>
      <c r="F8" s="1813">
        <f>SUM(B8:E8)</f>
        <v>2686768</v>
      </c>
    </row>
    <row r="9" spans="1:8" s="1079" customFormat="1" ht="14.25" customHeight="1" thickBot="1" x14ac:dyDescent="0.25">
      <c r="A9" s="1078" t="s">
        <v>1369</v>
      </c>
      <c r="B9" s="1814">
        <f>'Acct Summary 7-8'!C17</f>
        <v>2237180</v>
      </c>
      <c r="C9" s="1814">
        <f>'Acct Summary 7-8'!D17</f>
        <v>201771</v>
      </c>
      <c r="D9" s="1814">
        <f>'Acct Summary 7-8'!F17</f>
        <v>62875</v>
      </c>
      <c r="E9" s="1813"/>
      <c r="F9" s="1813">
        <f>SUM(B9:E9)</f>
        <v>2501826</v>
      </c>
    </row>
    <row r="10" spans="1:8" s="1079" customFormat="1" ht="14.25" thickTop="1" thickBot="1" x14ac:dyDescent="0.25">
      <c r="A10" s="1080" t="s">
        <v>1370</v>
      </c>
      <c r="B10" s="1815">
        <f>(B8-B9)</f>
        <v>256688</v>
      </c>
      <c r="C10" s="1815">
        <f>(C8-C9)</f>
        <v>-83437</v>
      </c>
      <c r="D10" s="1815">
        <f>(D8-D9)</f>
        <v>9751</v>
      </c>
      <c r="E10" s="1814">
        <f>(E8-E9)</f>
        <v>1940</v>
      </c>
      <c r="F10" s="1816">
        <f>SUM(F8-F9)</f>
        <v>184942</v>
      </c>
    </row>
    <row r="11" spans="1:8" s="1079" customFormat="1" ht="14.25" thickTop="1" thickBot="1" x14ac:dyDescent="0.25">
      <c r="A11" s="1081" t="s">
        <v>1983</v>
      </c>
      <c r="B11" s="1817">
        <f>'Acct Summary 7-8'!C81</f>
        <v>649640</v>
      </c>
      <c r="C11" s="1817">
        <f>'Acct Summary 7-8'!D81</f>
        <v>114476</v>
      </c>
      <c r="D11" s="1817">
        <f>'Acct Summary 7-8'!F81</f>
        <v>37307</v>
      </c>
      <c r="E11" s="1817">
        <f>'Acct Summary 7-8'!I81</f>
        <v>85085</v>
      </c>
      <c r="F11" s="1818">
        <f>SUM(B11:E11)</f>
        <v>886508</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H54" sqref="H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13058133002</v>
      </c>
    </row>
    <row r="3" spans="1:2" x14ac:dyDescent="0.2">
      <c r="A3" t="s">
        <v>956</v>
      </c>
      <c r="B3" s="138" t="str">
        <f>COVER!A15</f>
        <v>MARION</v>
      </c>
    </row>
    <row r="4" spans="1:2" x14ac:dyDescent="0.2">
      <c r="A4" t="s">
        <v>1007</v>
      </c>
      <c r="B4" s="138" t="str">
        <f>COVER!A17</f>
        <v>Central City SD 133</v>
      </c>
    </row>
    <row r="5" spans="1:2" x14ac:dyDescent="0.2">
      <c r="A5" t="s">
        <v>704</v>
      </c>
      <c r="B5" s="138" t="str">
        <f>COVER!A38</f>
        <v>TIM BRANON</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649640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633449</v>
      </c>
      <c r="D92" s="2" t="str">
        <f t="shared" si="0"/>
        <v>Error?</v>
      </c>
    </row>
    <row r="93" spans="1:4" x14ac:dyDescent="0.2">
      <c r="A93" s="5">
        <v>32</v>
      </c>
      <c r="B93" s="138">
        <f>'Assets-Liab 5-6'!C41</f>
        <v>649640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114476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114476</v>
      </c>
      <c r="D123" s="2" t="str">
        <f t="shared" si="0"/>
        <v>Error?</v>
      </c>
    </row>
    <row r="124" spans="1:4" x14ac:dyDescent="0.2">
      <c r="A124" s="5">
        <v>63</v>
      </c>
      <c r="B124" s="138">
        <f>'Assets-Liab 5-6'!D41</f>
        <v>114476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82608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82608</v>
      </c>
      <c r="D140" s="2" t="str">
        <f t="shared" si="1"/>
        <v>Error?</v>
      </c>
    </row>
    <row r="141" spans="1:4" x14ac:dyDescent="0.2">
      <c r="A141" s="5">
        <v>80</v>
      </c>
      <c r="B141" s="138">
        <f>'Assets-Liab 5-6'!E41</f>
        <v>82608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37307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37307</v>
      </c>
      <c r="D170" s="2" t="str">
        <f t="shared" si="1"/>
        <v>Error?</v>
      </c>
    </row>
    <row r="171" spans="1:4" x14ac:dyDescent="0.2">
      <c r="A171" s="5">
        <v>110</v>
      </c>
      <c r="B171" s="138">
        <f>'Assets-Liab 5-6'!F41</f>
        <v>37307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24156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12083</v>
      </c>
      <c r="D189" s="2" t="str">
        <f t="shared" si="1"/>
        <v>Error?</v>
      </c>
    </row>
    <row r="190" spans="1:4" x14ac:dyDescent="0.2">
      <c r="A190" s="5">
        <v>129</v>
      </c>
      <c r="B190" s="138">
        <f>'Assets-Liab 5-6'!G41</f>
        <v>24156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13324</v>
      </c>
      <c r="D273" s="2" t="str">
        <f t="shared" si="3"/>
        <v>Error?</v>
      </c>
    </row>
    <row r="274" spans="1:4" x14ac:dyDescent="0.2">
      <c r="A274" s="5">
        <v>213</v>
      </c>
      <c r="B274" s="138">
        <f>'Assets-Liab 5-6'!M17</f>
        <v>4673095</v>
      </c>
      <c r="D274" s="2" t="str">
        <f t="shared" si="3"/>
        <v>Error?</v>
      </c>
    </row>
    <row r="275" spans="1:4" x14ac:dyDescent="0.2">
      <c r="A275" s="5">
        <v>214</v>
      </c>
      <c r="B275" s="138">
        <f>'Assets-Liab 5-6'!M18</f>
        <v>114361</v>
      </c>
      <c r="D275" s="2" t="str">
        <f t="shared" si="3"/>
        <v>Error?</v>
      </c>
    </row>
    <row r="276" spans="1:4" x14ac:dyDescent="0.2">
      <c r="A276" s="5">
        <v>215</v>
      </c>
      <c r="B276" s="138">
        <f>'Assets-Liab 5-6'!M19</f>
        <v>511862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5312642</v>
      </c>
      <c r="C279" s="2" t="s">
        <v>573</v>
      </c>
      <c r="D279" s="2" t="str">
        <f t="shared" si="3"/>
        <v>Error?</v>
      </c>
    </row>
    <row r="280" spans="1:4" x14ac:dyDescent="0.2">
      <c r="A280" s="5">
        <v>219</v>
      </c>
      <c r="B280" s="138">
        <f>'Assets-Liab 5-6'!M40</f>
        <v>5312642</v>
      </c>
      <c r="D280" s="2" t="str">
        <f t="shared" si="3"/>
        <v>Error?</v>
      </c>
    </row>
    <row r="281" spans="1:4" x14ac:dyDescent="0.2">
      <c r="A281" s="5">
        <v>220</v>
      </c>
      <c r="B281" s="138">
        <f>'Assets-Liab 5-6'!M41</f>
        <v>5312642</v>
      </c>
      <c r="C281" s="2" t="s">
        <v>573</v>
      </c>
      <c r="D281" s="2" t="str">
        <f t="shared" si="3"/>
        <v>Error?</v>
      </c>
    </row>
    <row r="282" spans="1:4" x14ac:dyDescent="0.2">
      <c r="A282" s="5">
        <v>221</v>
      </c>
      <c r="B282" s="138">
        <f>'Assets-Liab 5-6'!N21</f>
        <v>82608</v>
      </c>
      <c r="D282" s="2" t="str">
        <f t="shared" si="3"/>
        <v>Error?</v>
      </c>
    </row>
    <row r="283" spans="1:4" x14ac:dyDescent="0.2">
      <c r="A283" s="5">
        <v>222</v>
      </c>
      <c r="B283" s="138">
        <f>'Assets-Liab 5-6'!N22</f>
        <v>234392</v>
      </c>
      <c r="D283" s="2" t="str">
        <f t="shared" si="3"/>
        <v>Error?</v>
      </c>
    </row>
    <row r="284" spans="1:4" x14ac:dyDescent="0.2">
      <c r="A284" s="5">
        <v>223</v>
      </c>
      <c r="B284" s="138">
        <f>'Assets-Liab 5-6'!N23</f>
        <v>317000</v>
      </c>
      <c r="C284" s="2" t="s">
        <v>573</v>
      </c>
      <c r="D284" s="2" t="str">
        <f t="shared" si="3"/>
        <v>Error?</v>
      </c>
    </row>
    <row r="285" spans="1:4" x14ac:dyDescent="0.2">
      <c r="A285" s="5">
        <v>224</v>
      </c>
      <c r="B285" s="138">
        <f>'Assets-Liab 5-6'!N36</f>
        <v>317000</v>
      </c>
      <c r="D285" s="2" t="str">
        <f t="shared" si="3"/>
        <v>Error?</v>
      </c>
    </row>
    <row r="286" spans="1:4" x14ac:dyDescent="0.2">
      <c r="A286" s="10">
        <v>225</v>
      </c>
      <c r="D286" s="2" t="str">
        <f t="shared" si="3"/>
        <v>OK</v>
      </c>
    </row>
    <row r="287" spans="1:4" x14ac:dyDescent="0.2">
      <c r="A287" s="5">
        <v>226</v>
      </c>
      <c r="B287" s="138">
        <f>'Assets-Liab 5-6'!N37</f>
        <v>317000</v>
      </c>
      <c r="C287" s="2" t="s">
        <v>573</v>
      </c>
      <c r="D287" s="2" t="str">
        <f t="shared" si="3"/>
        <v>Error?</v>
      </c>
    </row>
    <row r="288" spans="1:4" x14ac:dyDescent="0.2">
      <c r="A288" s="5">
        <v>227</v>
      </c>
      <c r="B288" s="138">
        <f>'Assets-Liab 5-6'!N41</f>
        <v>317000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769908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11163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974345</v>
      </c>
      <c r="C720" s="2" t="s">
        <v>573</v>
      </c>
      <c r="D720" s="2" t="str">
        <f t="shared" si="10"/>
        <v>Error?</v>
      </c>
    </row>
    <row r="721" spans="1:4" x14ac:dyDescent="0.2">
      <c r="A721" s="5">
        <v>660</v>
      </c>
      <c r="B721" s="138">
        <f>'Expenditures 15-22'!C36</f>
        <v>30394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26783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57177</v>
      </c>
      <c r="C727" s="2" t="s">
        <v>573</v>
      </c>
      <c r="D727" s="2" t="str">
        <f t="shared" si="10"/>
        <v>Error?</v>
      </c>
    </row>
    <row r="728" spans="1:4" x14ac:dyDescent="0.2">
      <c r="A728" s="5">
        <v>667</v>
      </c>
      <c r="B728" s="138">
        <f>'Expenditures 15-22'!C44</f>
        <v>274</v>
      </c>
      <c r="D728" s="2" t="str">
        <f t="shared" si="10"/>
        <v>Error?</v>
      </c>
    </row>
    <row r="729" spans="1:4" x14ac:dyDescent="0.2">
      <c r="A729" s="5">
        <v>668</v>
      </c>
      <c r="B729" s="138">
        <f>'Expenditures 15-22'!C45</f>
        <v>6284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6558</v>
      </c>
      <c r="C731" s="2" t="s">
        <v>573</v>
      </c>
      <c r="D731" s="2" t="str">
        <f t="shared" si="10"/>
        <v>Error?</v>
      </c>
    </row>
    <row r="732" spans="1:4" x14ac:dyDescent="0.2">
      <c r="A732" s="5">
        <v>671</v>
      </c>
      <c r="B732" s="138">
        <f>'Expenditures 15-22'!C49</f>
        <v>4173</v>
      </c>
      <c r="D732" s="2" t="str">
        <f t="shared" si="10"/>
        <v>Error?</v>
      </c>
    </row>
    <row r="733" spans="1:4" x14ac:dyDescent="0.2">
      <c r="A733" s="5">
        <v>672</v>
      </c>
      <c r="B733" s="138">
        <f>'Expenditures 15-22'!C50</f>
        <v>112628</v>
      </c>
      <c r="D733" s="2" t="str">
        <f t="shared" si="10"/>
        <v>Error?</v>
      </c>
    </row>
    <row r="734" spans="1:4" x14ac:dyDescent="0.2">
      <c r="A734" s="5">
        <v>673</v>
      </c>
      <c r="B734" s="138">
        <f>'Expenditures 15-22'!C53</f>
        <v>120030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53436</v>
      </c>
      <c r="D739" s="2" t="str">
        <f t="shared" si="10"/>
        <v>Error?</v>
      </c>
    </row>
    <row r="740" spans="1:4" x14ac:dyDescent="0.2">
      <c r="A740" s="5">
        <v>679</v>
      </c>
      <c r="B740" s="138">
        <f>'Expenditures 15-22'!C61</f>
        <v>79561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42729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175726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4977</v>
      </c>
      <c r="D754" s="2" t="str">
        <f t="shared" si="10"/>
        <v>Error?</v>
      </c>
    </row>
    <row r="755" spans="1:4" x14ac:dyDescent="0.2">
      <c r="A755" s="5">
        <v>694</v>
      </c>
      <c r="B755" s="138">
        <f>'Expenditures 15-22'!C74</f>
        <v>364468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1338813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186478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748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272466</v>
      </c>
      <c r="C778" s="2" t="s">
        <v>573</v>
      </c>
      <c r="D778" s="2" t="str">
        <f t="shared" si="11"/>
        <v>Error?</v>
      </c>
    </row>
    <row r="779" spans="1:4" x14ac:dyDescent="0.2">
      <c r="A779" s="5">
        <v>718</v>
      </c>
      <c r="B779" s="138">
        <f>'Expenditures 15-22'!D36</f>
        <v>9316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5645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14961</v>
      </c>
      <c r="C785" s="2" t="s">
        <v>573</v>
      </c>
      <c r="D785" s="2" t="str">
        <f t="shared" si="11"/>
        <v>Error?</v>
      </c>
    </row>
    <row r="786" spans="1:4" x14ac:dyDescent="0.2">
      <c r="A786" s="5">
        <v>725</v>
      </c>
      <c r="B786" s="138">
        <f>'Expenditures 15-22'!D44</f>
        <v>31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13186</v>
      </c>
      <c r="D791" s="2" t="str">
        <f t="shared" si="11"/>
        <v>Error?</v>
      </c>
    </row>
    <row r="792" spans="1:4" x14ac:dyDescent="0.2">
      <c r="A792" s="5">
        <v>731</v>
      </c>
      <c r="B792" s="138">
        <f>'Expenditures 15-22'!D53</f>
        <v>13920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19052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19166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38218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67130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339596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7098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16880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v>
      </c>
      <c r="C843" s="2" t="s">
        <v>573</v>
      </c>
      <c r="D843" s="2" t="str">
        <f t="shared" si="12"/>
        <v>Error?</v>
      </c>
    </row>
    <row r="844" spans="1:4" x14ac:dyDescent="0.2">
      <c r="A844" s="5">
        <v>783</v>
      </c>
      <c r="B844" s="138">
        <f>'Expenditures 15-22'!E44</f>
        <v>608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608</v>
      </c>
      <c r="C847" s="2" t="s">
        <v>573</v>
      </c>
      <c r="D847" s="2" t="str">
        <f t="shared" si="12"/>
        <v>Error?</v>
      </c>
    </row>
    <row r="848" spans="1:4" x14ac:dyDescent="0.2">
      <c r="A848" s="5">
        <v>787</v>
      </c>
      <c r="B848" s="138">
        <f>'Expenditures 15-22'!E49</f>
        <v>24335</v>
      </c>
      <c r="D848" s="2" t="str">
        <f t="shared" si="12"/>
        <v>Error?</v>
      </c>
    </row>
    <row r="849" spans="1:4" x14ac:dyDescent="0.2">
      <c r="A849" s="5">
        <v>788</v>
      </c>
      <c r="B849" s="138">
        <f>'Expenditures 15-22'!E50</f>
        <v>2337</v>
      </c>
      <c r="D849" s="2" t="str">
        <f t="shared" si="12"/>
        <v>Error?</v>
      </c>
    </row>
    <row r="850" spans="1:4" x14ac:dyDescent="0.2">
      <c r="A850" s="5">
        <v>789</v>
      </c>
      <c r="B850" s="138">
        <f>'Expenditures 15-22'!E53</f>
        <v>26672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9575</v>
      </c>
      <c r="D855" s="2" t="str">
        <f t="shared" si="12"/>
        <v>Error?</v>
      </c>
    </row>
    <row r="856" spans="1:4" x14ac:dyDescent="0.2">
      <c r="A856" s="5">
        <v>795</v>
      </c>
      <c r="B856" s="138">
        <f>'Expenditures 15-22'!E61</f>
        <v>93787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2806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106168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133515</v>
      </c>
      <c r="C871" s="2" t="s">
        <v>573</v>
      </c>
      <c r="D871" s="2" t="str">
        <f t="shared" si="12"/>
        <v>Error?</v>
      </c>
    </row>
    <row r="872" spans="1:4" x14ac:dyDescent="0.2">
      <c r="A872" s="5">
        <v>811</v>
      </c>
      <c r="B872" s="138">
        <f>'Expenditures 15-22'!E75</f>
        <v>4767</v>
      </c>
      <c r="D872" s="2" t="str">
        <f t="shared" si="12"/>
        <v>Error?</v>
      </c>
    </row>
    <row r="873" spans="1:4" x14ac:dyDescent="0.2">
      <c r="A873" s="5">
        <v>812</v>
      </c>
      <c r="B873" s="138">
        <f>'Expenditures 15-22'!E114</f>
        <v>167168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52394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88402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1328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699</v>
      </c>
      <c r="C905" s="2" t="s">
        <v>573</v>
      </c>
      <c r="D905" s="2" t="str">
        <f t="shared" si="13"/>
        <v>Error?</v>
      </c>
    </row>
    <row r="906" spans="1:4" x14ac:dyDescent="0.2">
      <c r="A906" s="5">
        <v>845</v>
      </c>
      <c r="B906" s="138">
        <f>'Expenditures 15-22'!F49</f>
        <v>1731</v>
      </c>
      <c r="D906" s="2" t="str">
        <f t="shared" si="13"/>
        <v>Error?</v>
      </c>
    </row>
    <row r="907" spans="1:4" x14ac:dyDescent="0.2">
      <c r="A907" s="5">
        <v>846</v>
      </c>
      <c r="B907" s="138">
        <f>'Expenditures 15-22'!F50</f>
        <v>275</v>
      </c>
      <c r="D907" s="2" t="str">
        <f t="shared" si="13"/>
        <v>Error?</v>
      </c>
    </row>
    <row r="908" spans="1:4" x14ac:dyDescent="0.2">
      <c r="A908" s="5">
        <v>847</v>
      </c>
      <c r="B908" s="138">
        <f>'Expenditures 15-22'!F53</f>
        <v>2006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17187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129513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146700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257</v>
      </c>
      <c r="D928" s="2" t="str">
        <f t="shared" si="13"/>
        <v>Error?</v>
      </c>
    </row>
    <row r="929" spans="1:4" x14ac:dyDescent="0.2">
      <c r="A929" s="5">
        <v>868</v>
      </c>
      <c r="B929" s="138">
        <f>'Expenditures 15-22'!F74</f>
        <v>150990</v>
      </c>
      <c r="C929" s="2" t="s">
        <v>573</v>
      </c>
      <c r="D929" s="2" t="str">
        <f t="shared" si="13"/>
        <v>Error?</v>
      </c>
    </row>
    <row r="930" spans="1:4" x14ac:dyDescent="0.2">
      <c r="A930" s="5">
        <v>869</v>
      </c>
      <c r="B930" s="138">
        <f>'Expenditures 15-22'!F75</f>
        <v>1670</v>
      </c>
      <c r="D930" s="2" t="str">
        <f t="shared" si="13"/>
        <v>Error?</v>
      </c>
    </row>
    <row r="931" spans="1:4" x14ac:dyDescent="0.2">
      <c r="A931" s="5">
        <v>870</v>
      </c>
      <c r="B931" s="138">
        <f>'Expenditures 15-22'!F114</f>
        <v>241062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4261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585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4985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5570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5570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9831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13437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13437</v>
      </c>
      <c r="C1010" s="2" t="s">
        <v>573</v>
      </c>
      <c r="D1010" s="2" t="str">
        <f t="shared" si="14"/>
        <v>Error?</v>
      </c>
    </row>
    <row r="1011" spans="1:4" x14ac:dyDescent="0.2">
      <c r="A1011" s="5">
        <v>950</v>
      </c>
      <c r="B1011" s="138">
        <f>'Expenditures 15-22'!H36</f>
        <v>54</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123</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177</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13523</v>
      </c>
      <c r="D1022" s="2" t="str">
        <f t="shared" si="14"/>
        <v>Error?</v>
      </c>
    </row>
    <row r="1023" spans="1:4" x14ac:dyDescent="0.2">
      <c r="A1023" s="5">
        <v>962</v>
      </c>
      <c r="B1023" s="138">
        <f>'Expenditures 15-22'!H50</f>
        <v>999</v>
      </c>
      <c r="D1023" s="2" t="str">
        <f t="shared" ref="D1023:D1086" si="15">IF(ISBLANK(B1023),"OK",IF(A1023-B1023=0,"OK","Error?"))</f>
        <v>Error?</v>
      </c>
    </row>
    <row r="1024" spans="1:4" x14ac:dyDescent="0.2">
      <c r="A1024" s="5">
        <v>963</v>
      </c>
      <c r="B1024" s="138">
        <f>'Expenditures 15-22'!H53</f>
        <v>14522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14699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112574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140710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1030784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11911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1369791</v>
      </c>
      <c r="C1108" s="2" t="s">
        <v>573</v>
      </c>
      <c r="D1108" s="2" t="str">
        <f t="shared" si="16"/>
        <v>Error?</v>
      </c>
    </row>
    <row r="1109" spans="1:4" x14ac:dyDescent="0.2">
      <c r="A1109" s="5">
        <v>1048</v>
      </c>
      <c r="B1109" s="138">
        <f>'Expenditures 15-22'!K36</f>
        <v>39764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33946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73710</v>
      </c>
      <c r="C1115" s="2" t="s">
        <v>573</v>
      </c>
      <c r="D1115" s="2" t="str">
        <f t="shared" si="16"/>
        <v>Error?</v>
      </c>
    </row>
    <row r="1116" spans="1:4" x14ac:dyDescent="0.2">
      <c r="A1116" s="5">
        <v>1055</v>
      </c>
      <c r="B1116" s="138">
        <f>'Expenditures 15-22'!K44</f>
        <v>913</v>
      </c>
      <c r="C1116" s="2" t="s">
        <v>573</v>
      </c>
      <c r="D1116" s="2" t="str">
        <f t="shared" si="16"/>
        <v>Error?</v>
      </c>
    </row>
    <row r="1117" spans="1:4" x14ac:dyDescent="0.2">
      <c r="A1117" s="5">
        <v>1056</v>
      </c>
      <c r="B1117" s="138">
        <f>'Expenditures 15-22'!K45</f>
        <v>6983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7896</v>
      </c>
      <c r="C1119" s="2" t="s">
        <v>573</v>
      </c>
      <c r="D1119" s="2" t="str">
        <f t="shared" si="16"/>
        <v>Error?</v>
      </c>
    </row>
    <row r="1120" spans="1:4" x14ac:dyDescent="0.2">
      <c r="A1120" s="5">
        <v>1059</v>
      </c>
      <c r="B1120" s="138">
        <f>'Expenditures 15-22'!K49</f>
        <v>43762</v>
      </c>
      <c r="C1120" s="2" t="s">
        <v>573</v>
      </c>
      <c r="D1120" s="2" t="str">
        <f t="shared" si="16"/>
        <v>Error?</v>
      </c>
    </row>
    <row r="1121" spans="1:4" x14ac:dyDescent="0.2">
      <c r="A1121" s="5">
        <v>1060</v>
      </c>
      <c r="B1121" s="138">
        <f>'Expenditures 15-22'!K50</f>
        <v>129425</v>
      </c>
      <c r="C1121" s="2" t="s">
        <v>573</v>
      </c>
      <c r="D1121" s="2" t="str">
        <f t="shared" si="16"/>
        <v>Error?</v>
      </c>
    </row>
    <row r="1122" spans="1:4" x14ac:dyDescent="0.2">
      <c r="A1122" s="5">
        <v>1061</v>
      </c>
      <c r="B1122" s="138">
        <f>'Expenditures 15-22'!K53</f>
        <v>177150</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63596</v>
      </c>
      <c r="C1127" s="2" t="s">
        <v>573</v>
      </c>
      <c r="D1127" s="2" t="str">
        <f t="shared" si="16"/>
        <v>Error?</v>
      </c>
    </row>
    <row r="1128" spans="1:4" x14ac:dyDescent="0.2">
      <c r="A1128" s="5">
        <v>1067</v>
      </c>
      <c r="B1128" s="138">
        <f>'Expenditures 15-22'!K61</f>
        <v>209587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199199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472382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5234</v>
      </c>
      <c r="C1142" s="2" t="s">
        <v>573</v>
      </c>
      <c r="D1142" s="2" t="str">
        <f t="shared" si="16"/>
        <v>Error?</v>
      </c>
    </row>
    <row r="1143" spans="1:4" x14ac:dyDescent="0.2">
      <c r="A1143" s="5">
        <v>1082</v>
      </c>
      <c r="B1143" s="138">
        <f>'Expenditures 15-22'!K74</f>
        <v>736372</v>
      </c>
      <c r="C1143" s="2" t="s">
        <v>573</v>
      </c>
      <c r="D1143" s="2" t="str">
        <f t="shared" si="16"/>
        <v>Error?</v>
      </c>
    </row>
    <row r="1144" spans="1:4" x14ac:dyDescent="0.2">
      <c r="A1144" s="5">
        <v>1083</v>
      </c>
      <c r="B1144" s="138">
        <f>'Expenditures 15-22'!K75</f>
        <v>6437</v>
      </c>
      <c r="C1144" s="2" t="s">
        <v>573</v>
      </c>
      <c r="D1144" s="2" t="str">
        <f t="shared" si="16"/>
        <v>Error?</v>
      </c>
    </row>
    <row r="1145" spans="1:4" x14ac:dyDescent="0.2">
      <c r="A1145" s="5">
        <v>1084</v>
      </c>
      <c r="B1145" s="138">
        <f>'Expenditures 15-22'!K102</f>
        <v>124580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2237180</v>
      </c>
      <c r="C1152" s="2" t="s">
        <v>573</v>
      </c>
      <c r="D1152" s="2" t="str">
        <f t="shared" si="17"/>
        <v>Error?</v>
      </c>
    </row>
    <row r="1153" spans="1:4" x14ac:dyDescent="0.2">
      <c r="A1153" s="5">
        <v>1092</v>
      </c>
      <c r="B1153" s="138">
        <f>'Expenditures 15-22'!K115</f>
        <v>256688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24990</v>
      </c>
      <c r="D1237" s="2" t="str">
        <f t="shared" si="18"/>
        <v>Error?</v>
      </c>
    </row>
    <row r="1238" spans="1:4" x14ac:dyDescent="0.2">
      <c r="A1238" s="10">
        <v>1177</v>
      </c>
      <c r="D1238" s="2" t="str">
        <f t="shared" si="18"/>
        <v>OK</v>
      </c>
    </row>
    <row r="1239" spans="1:4" x14ac:dyDescent="0.2">
      <c r="A1239" s="5">
        <v>1178</v>
      </c>
      <c r="B1239" s="138">
        <f>'Expenditures 15-22'!E127</f>
        <v>24990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24990</v>
      </c>
      <c r="C1241" s="2" t="s">
        <v>573</v>
      </c>
      <c r="D1241" s="2" t="str">
        <f t="shared" si="18"/>
        <v>Error?</v>
      </c>
    </row>
    <row r="1242" spans="1:4" x14ac:dyDescent="0.2">
      <c r="A1242" s="5">
        <v>1181</v>
      </c>
      <c r="B1242" s="138">
        <f>'Expenditures 15-22'!E151</f>
        <v>24990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2891</v>
      </c>
      <c r="D1245" s="2" t="str">
        <f t="shared" si="18"/>
        <v>Error?</v>
      </c>
    </row>
    <row r="1246" spans="1:4" x14ac:dyDescent="0.2">
      <c r="A1246" s="10">
        <v>1185</v>
      </c>
      <c r="D1246" s="2" t="str">
        <f t="shared" si="18"/>
        <v>OK</v>
      </c>
    </row>
    <row r="1247" spans="1:4" x14ac:dyDescent="0.2">
      <c r="A1247" s="5">
        <v>1186</v>
      </c>
      <c r="B1247" s="138">
        <f>'Expenditures 15-22'!F127</f>
        <v>2891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2891</v>
      </c>
      <c r="C1249" s="2" t="s">
        <v>573</v>
      </c>
      <c r="D1249" s="2" t="str">
        <f t="shared" si="18"/>
        <v>Error?</v>
      </c>
    </row>
    <row r="1250" spans="1:4" x14ac:dyDescent="0.2">
      <c r="A1250" s="5">
        <v>1189</v>
      </c>
      <c r="B1250" s="138">
        <f>'Expenditures 15-22'!F151</f>
        <v>2891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167195</v>
      </c>
      <c r="D1252" s="2" t="str">
        <f t="shared" si="18"/>
        <v>Error?</v>
      </c>
    </row>
    <row r="1253" spans="1:4" x14ac:dyDescent="0.2">
      <c r="A1253" s="5">
        <v>1192</v>
      </c>
      <c r="B1253" s="138">
        <f>'Expenditures 15-22'!G124</f>
        <v>6695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173890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173890</v>
      </c>
      <c r="C1258" s="2" t="s">
        <v>573</v>
      </c>
      <c r="D1258" s="2" t="str">
        <f t="shared" si="18"/>
        <v>Error?</v>
      </c>
    </row>
    <row r="1259" spans="1:4" x14ac:dyDescent="0.2">
      <c r="A1259" s="5">
        <v>1198</v>
      </c>
      <c r="B1259" s="138">
        <f>'Expenditures 15-22'!G151</f>
        <v>173890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167195</v>
      </c>
      <c r="C1275" s="2" t="s">
        <v>573</v>
      </c>
      <c r="D1275" s="2" t="str">
        <f t="shared" si="18"/>
        <v>Error?</v>
      </c>
    </row>
    <row r="1276" spans="1:4" x14ac:dyDescent="0.2">
      <c r="A1276" s="5">
        <v>1215</v>
      </c>
      <c r="B1276" s="138">
        <f>'Expenditures 15-22'!K124</f>
        <v>34576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201771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201771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201771</v>
      </c>
      <c r="C1288" s="2" t="s">
        <v>573</v>
      </c>
      <c r="D1288" s="2" t="str">
        <f t="shared" si="19"/>
        <v>Error?</v>
      </c>
    </row>
    <row r="1289" spans="1:4" x14ac:dyDescent="0.2">
      <c r="A1289" s="5">
        <v>1228</v>
      </c>
      <c r="B1289" s="138">
        <f>'Expenditures 15-22'!K152</f>
        <v>-83437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20457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91457</v>
      </c>
      <c r="C1317" s="2" t="s">
        <v>573</v>
      </c>
      <c r="D1317" s="2" t="str">
        <f t="shared" si="19"/>
        <v>Error?</v>
      </c>
    </row>
    <row r="1318" spans="1:4" x14ac:dyDescent="0.2">
      <c r="A1318" s="5">
        <v>1257</v>
      </c>
      <c r="B1318" s="138">
        <f>'Expenditures 15-22'!H174</f>
        <v>91457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20457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91457</v>
      </c>
      <c r="C1331" s="2" t="s">
        <v>573</v>
      </c>
      <c r="D1331" s="2" t="str">
        <f t="shared" si="19"/>
        <v>Error?</v>
      </c>
    </row>
    <row r="1332" spans="1:4" x14ac:dyDescent="0.2">
      <c r="A1332" s="5">
        <v>1271</v>
      </c>
      <c r="B1332" s="138">
        <f>'Expenditures 15-22'!K174</f>
        <v>91457</v>
      </c>
      <c r="C1332" s="2" t="s">
        <v>573</v>
      </c>
      <c r="D1332" s="2" t="str">
        <f t="shared" si="19"/>
        <v>Error?</v>
      </c>
    </row>
    <row r="1333" spans="1:4" x14ac:dyDescent="0.2">
      <c r="A1333" s="5">
        <v>1272</v>
      </c>
      <c r="B1333" s="138">
        <f>'Expenditures 15-22'!K175</f>
        <v>-14913</v>
      </c>
      <c r="C1333" s="2" t="s">
        <v>573</v>
      </c>
      <c r="D1333" s="2" t="str">
        <f t="shared" si="19"/>
        <v>Error?</v>
      </c>
    </row>
    <row r="1334" spans="1:4" x14ac:dyDescent="0.2">
      <c r="A1334" s="10">
        <v>1273</v>
      </c>
      <c r="D1334" s="2" t="str">
        <f t="shared" si="19"/>
        <v>OK</v>
      </c>
    </row>
    <row r="1335" spans="1:4" x14ac:dyDescent="0.2">
      <c r="A1335" s="5">
        <v>1274</v>
      </c>
      <c r="B1335" s="138">
        <f>'Expenditures 15-22'!C182</f>
        <v>32064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32064</v>
      </c>
      <c r="C1339" s="2" t="s">
        <v>573</v>
      </c>
      <c r="D1339" s="2" t="str">
        <f t="shared" si="19"/>
        <v>Error?</v>
      </c>
    </row>
    <row r="1340" spans="1:4" x14ac:dyDescent="0.2">
      <c r="A1340" s="5">
        <v>1279</v>
      </c>
      <c r="B1340" s="138">
        <f>'Expenditures 15-22'!C210</f>
        <v>32064</v>
      </c>
      <c r="C1340" s="2" t="s">
        <v>573</v>
      </c>
      <c r="D1340" s="2" t="str">
        <f t="shared" si="19"/>
        <v>Error?</v>
      </c>
    </row>
    <row r="1341" spans="1:4" x14ac:dyDescent="0.2">
      <c r="A1341" s="5">
        <v>1280</v>
      </c>
      <c r="B1341" s="138">
        <f>'Expenditures 15-22'!D182</f>
        <v>8663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8663</v>
      </c>
      <c r="C1345" s="2" t="s">
        <v>573</v>
      </c>
      <c r="D1345" s="2" t="str">
        <f t="shared" si="20"/>
        <v>Error?</v>
      </c>
    </row>
    <row r="1346" spans="1:4" x14ac:dyDescent="0.2">
      <c r="A1346" s="5">
        <v>1285</v>
      </c>
      <c r="B1346" s="138">
        <f>'Expenditures 15-22'!D210</f>
        <v>8663</v>
      </c>
      <c r="C1346" s="2" t="s">
        <v>573</v>
      </c>
      <c r="D1346" s="2" t="str">
        <f t="shared" si="20"/>
        <v>Error?</v>
      </c>
    </row>
    <row r="1347" spans="1:4" x14ac:dyDescent="0.2">
      <c r="A1347" s="5">
        <v>1286</v>
      </c>
      <c r="B1347" s="138">
        <f>'Expenditures 15-22'!E182</f>
        <v>11356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11356</v>
      </c>
      <c r="C1351" s="2" t="s">
        <v>573</v>
      </c>
      <c r="D1351" s="2" t="str">
        <f t="shared" si="20"/>
        <v>Error?</v>
      </c>
    </row>
    <row r="1352" spans="1:4" x14ac:dyDescent="0.2">
      <c r="A1352" s="5">
        <v>1291</v>
      </c>
      <c r="B1352" s="138">
        <f>'Expenditures 15-22'!E196</f>
        <v>4481</v>
      </c>
      <c r="C1352" s="2" t="s">
        <v>573</v>
      </c>
      <c r="D1352" s="2" t="str">
        <f t="shared" si="20"/>
        <v>Error?</v>
      </c>
    </row>
    <row r="1353" spans="1:4" x14ac:dyDescent="0.2">
      <c r="A1353" s="5">
        <v>1292</v>
      </c>
      <c r="B1353" s="138">
        <f>'Expenditures 15-22'!E210</f>
        <v>15837</v>
      </c>
      <c r="C1353" s="2" t="s">
        <v>573</v>
      </c>
      <c r="D1353" s="2" t="str">
        <f t="shared" si="20"/>
        <v>Error?</v>
      </c>
    </row>
    <row r="1354" spans="1:4" x14ac:dyDescent="0.2">
      <c r="A1354" s="5">
        <v>1293</v>
      </c>
      <c r="B1354" s="138">
        <f>'Expenditures 15-22'!F182</f>
        <v>5885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5885</v>
      </c>
      <c r="C1358" s="2" t="s">
        <v>573</v>
      </c>
      <c r="D1358" s="2" t="str">
        <f t="shared" si="20"/>
        <v>Error?</v>
      </c>
    </row>
    <row r="1359" spans="1:4" x14ac:dyDescent="0.2">
      <c r="A1359" s="5">
        <v>1298</v>
      </c>
      <c r="B1359" s="138">
        <f>'Expenditures 15-22'!F210</f>
        <v>5885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426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426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426</v>
      </c>
      <c r="C1376" s="2" t="s">
        <v>573</v>
      </c>
      <c r="D1376" s="2" t="str">
        <f t="shared" si="20"/>
        <v>Error?</v>
      </c>
    </row>
    <row r="1377" spans="1:4" x14ac:dyDescent="0.2">
      <c r="A1377" s="5">
        <v>1316</v>
      </c>
      <c r="B1377" s="138">
        <f>'Expenditures 15-22'!K182</f>
        <v>58394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58394</v>
      </c>
      <c r="C1381" s="2" t="s">
        <v>573</v>
      </c>
      <c r="D1381" s="2" t="str">
        <f t="shared" si="20"/>
        <v>Error?</v>
      </c>
    </row>
    <row r="1382" spans="1:4" x14ac:dyDescent="0.2">
      <c r="A1382" s="5">
        <v>1321</v>
      </c>
      <c r="B1382" s="138">
        <f>'Expenditures 15-22'!K196</f>
        <v>4481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62875</v>
      </c>
      <c r="C1388" s="2" t="s">
        <v>573</v>
      </c>
      <c r="D1388" s="2" t="str">
        <f t="shared" si="20"/>
        <v>Error?</v>
      </c>
    </row>
    <row r="1389" spans="1:4" x14ac:dyDescent="0.2">
      <c r="A1389" s="5">
        <v>1328</v>
      </c>
      <c r="B1389" s="138">
        <f>'Expenditures 15-22'!K211</f>
        <v>9751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37102</v>
      </c>
      <c r="C1410" s="2" t="s">
        <v>573</v>
      </c>
      <c r="D1410" s="2" t="str">
        <f t="shared" si="21"/>
        <v>Error?</v>
      </c>
    </row>
    <row r="1411" spans="1:4" x14ac:dyDescent="0.2">
      <c r="A1411" s="5">
        <v>1350</v>
      </c>
      <c r="B1411" s="138">
        <f>'Expenditures 15-22'!D232</f>
        <v>5892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5094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10986</v>
      </c>
      <c r="C1417" s="2" t="s">
        <v>573</v>
      </c>
      <c r="D1417" s="2" t="str">
        <f t="shared" si="21"/>
        <v>Error?</v>
      </c>
    </row>
    <row r="1418" spans="1:4" x14ac:dyDescent="0.2">
      <c r="A1418" s="5">
        <v>1357</v>
      </c>
      <c r="B1418" s="138">
        <f>'Expenditures 15-22'!D240</f>
        <v>4</v>
      </c>
      <c r="D1418" s="2" t="str">
        <f t="shared" si="21"/>
        <v>Error?</v>
      </c>
    </row>
    <row r="1419" spans="1:4" x14ac:dyDescent="0.2">
      <c r="A1419" s="5">
        <v>1358</v>
      </c>
      <c r="B1419" s="138">
        <f>'Expenditures 15-22'!D241</f>
        <v>481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485</v>
      </c>
      <c r="C1421" s="2" t="s">
        <v>573</v>
      </c>
      <c r="D1421" s="2" t="str">
        <f t="shared" si="21"/>
        <v>Error?</v>
      </c>
    </row>
    <row r="1422" spans="1:4" x14ac:dyDescent="0.2">
      <c r="A1422" s="5">
        <v>1361</v>
      </c>
      <c r="B1422" s="138">
        <f>'Expenditures 15-22'!D245</f>
        <v>356</v>
      </c>
      <c r="D1422" s="2" t="str">
        <f t="shared" si="21"/>
        <v>Error?</v>
      </c>
    </row>
    <row r="1423" spans="1:4" x14ac:dyDescent="0.2">
      <c r="A1423" s="5">
        <v>1362</v>
      </c>
      <c r="B1423" s="138">
        <f>'Expenditures 15-22'!D246</f>
        <v>1651</v>
      </c>
      <c r="D1423" s="2" t="str">
        <f t="shared" si="21"/>
        <v>Error?</v>
      </c>
    </row>
    <row r="1424" spans="1:4" x14ac:dyDescent="0.2">
      <c r="A1424" s="5">
        <v>1363</v>
      </c>
      <c r="B1424" s="138">
        <f>'Expenditures 15-22'!D257</f>
        <v>2037</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10591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14931</v>
      </c>
      <c r="D1431" s="2" t="str">
        <f t="shared" si="21"/>
        <v>Error?</v>
      </c>
    </row>
    <row r="1432" spans="1:4" x14ac:dyDescent="0.2">
      <c r="A1432" s="5">
        <v>1371</v>
      </c>
      <c r="B1432" s="138">
        <f>'Expenditures 15-22'!D267</f>
        <v>5746</v>
      </c>
      <c r="D1432" s="2" t="str">
        <f t="shared" si="21"/>
        <v>Error?</v>
      </c>
    </row>
    <row r="1433" spans="1:4" x14ac:dyDescent="0.2">
      <c r="A1433" s="5">
        <v>1372</v>
      </c>
      <c r="B1433" s="138">
        <f>'Expenditures 15-22'!D268</f>
        <v>7427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38695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381</v>
      </c>
      <c r="D1445" s="2" t="str">
        <f t="shared" si="21"/>
        <v>Error?</v>
      </c>
    </row>
    <row r="1446" spans="1:4" x14ac:dyDescent="0.2">
      <c r="A1446" s="5">
        <v>1385</v>
      </c>
      <c r="B1446" s="138">
        <f>'Expenditures 15-22'!D279</f>
        <v>52584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89686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671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37102</v>
      </c>
      <c r="C1474" s="2" t="s">
        <v>573</v>
      </c>
      <c r="D1474" s="2" t="str">
        <f t="shared" si="22"/>
        <v>Error?</v>
      </c>
    </row>
    <row r="1475" spans="1:4" x14ac:dyDescent="0.2">
      <c r="A1475" s="5">
        <v>1414</v>
      </c>
      <c r="B1475" s="138">
        <f>'Expenditures 15-22'!K232</f>
        <v>5892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5094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10986</v>
      </c>
      <c r="C1481" s="2" t="s">
        <v>573</v>
      </c>
      <c r="D1481" s="2" t="str">
        <f t="shared" si="22"/>
        <v>Error?</v>
      </c>
    </row>
    <row r="1482" spans="1:4" x14ac:dyDescent="0.2">
      <c r="A1482" s="5">
        <v>1421</v>
      </c>
      <c r="B1482" s="138">
        <f>'Expenditures 15-22'!K240</f>
        <v>4</v>
      </c>
      <c r="C1482" s="2" t="s">
        <v>573</v>
      </c>
      <c r="D1482" s="2" t="str">
        <f t="shared" si="22"/>
        <v>Error?</v>
      </c>
    </row>
    <row r="1483" spans="1:4" x14ac:dyDescent="0.2">
      <c r="A1483" s="5">
        <v>1422</v>
      </c>
      <c r="B1483" s="138">
        <f>'Expenditures 15-22'!K241</f>
        <v>481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485</v>
      </c>
      <c r="C1485" s="2" t="s">
        <v>573</v>
      </c>
      <c r="D1485" s="2" t="str">
        <f t="shared" si="22"/>
        <v>Error?</v>
      </c>
    </row>
    <row r="1486" spans="1:4" x14ac:dyDescent="0.2">
      <c r="A1486" s="5">
        <v>1425</v>
      </c>
      <c r="B1486" s="138">
        <f>'Expenditures 15-22'!K245</f>
        <v>356</v>
      </c>
      <c r="C1486" s="2" t="s">
        <v>573</v>
      </c>
      <c r="D1486" s="2" t="str">
        <f t="shared" si="22"/>
        <v>Error?</v>
      </c>
    </row>
    <row r="1487" spans="1:4" x14ac:dyDescent="0.2">
      <c r="A1487" s="5">
        <v>1426</v>
      </c>
      <c r="B1487" s="138">
        <f>'Expenditures 15-22'!K246</f>
        <v>1651</v>
      </c>
      <c r="C1487" s="2" t="s">
        <v>573</v>
      </c>
      <c r="D1487" s="2" t="str">
        <f t="shared" si="22"/>
        <v>Error?</v>
      </c>
    </row>
    <row r="1488" spans="1:4" x14ac:dyDescent="0.2">
      <c r="A1488" s="5">
        <v>1427</v>
      </c>
      <c r="B1488" s="138">
        <f>'Expenditures 15-22'!K257</f>
        <v>2037</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10591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14931</v>
      </c>
      <c r="C1495" s="2" t="s">
        <v>573</v>
      </c>
      <c r="D1495" s="2" t="str">
        <f t="shared" si="22"/>
        <v>Error?</v>
      </c>
    </row>
    <row r="1496" spans="1:4" x14ac:dyDescent="0.2">
      <c r="A1496" s="5">
        <v>1435</v>
      </c>
      <c r="B1496" s="138">
        <f>'Expenditures 15-22'!K267</f>
        <v>5746</v>
      </c>
      <c r="C1496" s="2" t="s">
        <v>573</v>
      </c>
      <c r="D1496" s="2" t="str">
        <f t="shared" si="22"/>
        <v>Error?</v>
      </c>
    </row>
    <row r="1497" spans="1:4" x14ac:dyDescent="0.2">
      <c r="A1497" s="5">
        <v>1436</v>
      </c>
      <c r="B1497" s="138">
        <f>'Expenditures 15-22'!K268</f>
        <v>7427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38695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381</v>
      </c>
      <c r="C1509" s="2" t="s">
        <v>573</v>
      </c>
      <c r="D1509" s="2" t="str">
        <f t="shared" si="22"/>
        <v>Error?</v>
      </c>
    </row>
    <row r="1510" spans="1:4" x14ac:dyDescent="0.2">
      <c r="A1510" s="5">
        <v>1449</v>
      </c>
      <c r="B1510" s="138">
        <f>'Expenditures 15-22'!K279</f>
        <v>52584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89686</v>
      </c>
      <c r="C1517" s="2" t="s">
        <v>573</v>
      </c>
      <c r="D1517" s="2" t="str">
        <f t="shared" si="22"/>
        <v>Error?</v>
      </c>
    </row>
    <row r="1518" spans="1:4" x14ac:dyDescent="0.2">
      <c r="A1518" s="5">
        <v>1457</v>
      </c>
      <c r="B1518" s="138">
        <f>'Expenditures 15-22'!K296</f>
        <v>5617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392952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649640</v>
      </c>
      <c r="C1630" s="2" t="s">
        <v>573</v>
      </c>
      <c r="D1630" s="2" t="str">
        <f t="shared" si="24"/>
        <v>Error?</v>
      </c>
    </row>
    <row r="1631" spans="1:4" x14ac:dyDescent="0.2">
      <c r="A1631" s="5">
        <v>1570</v>
      </c>
      <c r="B1631" s="138">
        <f>'Acct Summary 7-8'!D79</f>
        <v>72913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114476</v>
      </c>
      <c r="C1644" s="2" t="s">
        <v>573</v>
      </c>
      <c r="D1644" s="2" t="str">
        <f t="shared" si="24"/>
        <v>Error?</v>
      </c>
    </row>
    <row r="1645" spans="1:4" x14ac:dyDescent="0.2">
      <c r="A1645" s="5">
        <v>1584</v>
      </c>
      <c r="B1645" s="138">
        <f>'Acct Summary 7-8'!E79</f>
        <v>97521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82608</v>
      </c>
      <c r="C1658" s="2" t="s">
        <v>573</v>
      </c>
      <c r="D1658" s="2" t="str">
        <f t="shared" si="24"/>
        <v>Error?</v>
      </c>
    </row>
    <row r="1659" spans="1:4" x14ac:dyDescent="0.2">
      <c r="A1659" s="5">
        <v>1598</v>
      </c>
      <c r="B1659" s="138">
        <f>'Acct Summary 7-8'!F79</f>
        <v>27556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37307</v>
      </c>
      <c r="C1672" s="2" t="s">
        <v>573</v>
      </c>
      <c r="D1672" s="2" t="str">
        <f t="shared" si="25"/>
        <v>Error?</v>
      </c>
    </row>
    <row r="1673" spans="1:4" x14ac:dyDescent="0.2">
      <c r="A1673" s="5">
        <v>1612</v>
      </c>
      <c r="B1673" s="138">
        <f>'Acct Summary 7-8'!G79</f>
        <v>18539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24156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199364</v>
      </c>
      <c r="C1744" s="2" t="s">
        <v>573</v>
      </c>
      <c r="D1744" s="2" t="str">
        <f t="shared" si="26"/>
        <v>Error?</v>
      </c>
    </row>
    <row r="1745" spans="1:5" x14ac:dyDescent="0.2">
      <c r="A1745" s="5">
        <v>1684</v>
      </c>
      <c r="B1745" s="138">
        <f>'Tax Sched 23'!B5</f>
        <v>29113</v>
      </c>
      <c r="C1745" s="2" t="s">
        <v>573</v>
      </c>
      <c r="D1745" s="2" t="str">
        <f t="shared" si="26"/>
        <v>Error?</v>
      </c>
    </row>
    <row r="1746" spans="1:5" x14ac:dyDescent="0.2">
      <c r="A1746" s="5">
        <v>1685</v>
      </c>
      <c r="B1746" s="138">
        <f>'Tax Sched 23'!B6</f>
        <v>74480</v>
      </c>
      <c r="C1746" s="2" t="s">
        <v>573</v>
      </c>
      <c r="D1746" s="2" t="str">
        <f t="shared" si="26"/>
        <v>Error?</v>
      </c>
    </row>
    <row r="1747" spans="1:5" x14ac:dyDescent="0.2">
      <c r="A1747" s="5">
        <v>1686</v>
      </c>
      <c r="B1747" s="138">
        <f>'Tax Sched 23'!B7</f>
        <v>19154</v>
      </c>
      <c r="C1747" s="2" t="s">
        <v>573</v>
      </c>
      <c r="D1747" s="2" t="str">
        <f t="shared" si="26"/>
        <v>Error?</v>
      </c>
    </row>
    <row r="1748" spans="1:5" x14ac:dyDescent="0.2">
      <c r="A1748" s="5">
        <v>1687</v>
      </c>
      <c r="B1748" s="138">
        <f>'Tax Sched 23'!B8</f>
        <v>39493</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12108</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397377</v>
      </c>
      <c r="C1759" s="2" t="s">
        <v>573</v>
      </c>
      <c r="D1759" s="2" t="str">
        <f t="shared" si="26"/>
        <v>Error?</v>
      </c>
    </row>
    <row r="1760" spans="1:5" x14ac:dyDescent="0.2">
      <c r="A1760" s="5">
        <v>1699</v>
      </c>
      <c r="B1760" s="138">
        <f>'Tax Sched 23'!D4</f>
        <v>199364</v>
      </c>
      <c r="C1760" s="2" t="s">
        <v>573</v>
      </c>
      <c r="D1760" s="2" t="str">
        <f t="shared" si="26"/>
        <v>Error?</v>
      </c>
    </row>
    <row r="1761" spans="1:5" x14ac:dyDescent="0.2">
      <c r="A1761" s="5">
        <v>1700</v>
      </c>
      <c r="B1761" s="138">
        <f>'Tax Sched 23'!D5</f>
        <v>29113</v>
      </c>
      <c r="C1761" s="2" t="s">
        <v>573</v>
      </c>
      <c r="D1761" s="2" t="str">
        <f t="shared" si="26"/>
        <v>Error?</v>
      </c>
    </row>
    <row r="1762" spans="1:5" s="8" customFormat="1" x14ac:dyDescent="0.2">
      <c r="A1762" s="5">
        <v>1701</v>
      </c>
      <c r="B1762" s="138">
        <f>'Tax Sched 23'!D6</f>
        <v>74480</v>
      </c>
      <c r="C1762" s="2" t="s">
        <v>573</v>
      </c>
      <c r="D1762" s="2" t="str">
        <f t="shared" si="26"/>
        <v>Error?</v>
      </c>
      <c r="E1762" s="9"/>
    </row>
    <row r="1763" spans="1:5" x14ac:dyDescent="0.2">
      <c r="A1763" s="5">
        <v>1702</v>
      </c>
      <c r="B1763" s="138">
        <f>'Tax Sched 23'!D7</f>
        <v>19154</v>
      </c>
      <c r="C1763" s="2" t="s">
        <v>573</v>
      </c>
      <c r="D1763" s="2" t="str">
        <f t="shared" si="26"/>
        <v>Error?</v>
      </c>
    </row>
    <row r="1764" spans="1:5" x14ac:dyDescent="0.2">
      <c r="A1764" s="5">
        <v>1703</v>
      </c>
      <c r="B1764" s="138">
        <f>'Tax Sched 23'!D8</f>
        <v>39493</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12108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397377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207724</v>
      </c>
      <c r="C1792" s="2" t="s">
        <v>573</v>
      </c>
      <c r="D1792" s="2" t="str">
        <f t="shared" si="27"/>
        <v>Error?</v>
      </c>
    </row>
    <row r="1793" spans="1:4" x14ac:dyDescent="0.2">
      <c r="A1793" s="5">
        <v>1732</v>
      </c>
      <c r="B1793" s="138">
        <f>'Tax Sched 23'!F5</f>
        <v>30337</v>
      </c>
      <c r="C1793" s="2" t="s">
        <v>573</v>
      </c>
      <c r="D1793" s="2" t="str">
        <f t="shared" si="27"/>
        <v>Error?</v>
      </c>
    </row>
    <row r="1794" spans="1:4" x14ac:dyDescent="0.2">
      <c r="A1794" s="5">
        <v>1733</v>
      </c>
      <c r="B1794" s="138">
        <f>'Tax Sched 23'!F6</f>
        <v>75041</v>
      </c>
      <c r="C1794" s="2" t="s">
        <v>573</v>
      </c>
      <c r="D1794" s="2" t="str">
        <f t="shared" si="27"/>
        <v>Error?</v>
      </c>
    </row>
    <row r="1795" spans="1:4" x14ac:dyDescent="0.2">
      <c r="A1795" s="5">
        <v>1734</v>
      </c>
      <c r="B1795" s="138">
        <f>'Tax Sched 23'!F7</f>
        <v>19959</v>
      </c>
      <c r="C1795" s="2" t="s">
        <v>573</v>
      </c>
      <c r="D1795" s="2" t="str">
        <f t="shared" si="27"/>
        <v>Error?</v>
      </c>
    </row>
    <row r="1796" spans="1:4" x14ac:dyDescent="0.2">
      <c r="A1796" s="5">
        <v>1735</v>
      </c>
      <c r="B1796" s="138">
        <f>'Tax Sched 23'!F8</f>
        <v>41152</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12617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411490</v>
      </c>
      <c r="C1807" s="2" t="s">
        <v>573</v>
      </c>
      <c r="D1807" s="2" t="str">
        <f t="shared" si="27"/>
        <v>Error?</v>
      </c>
    </row>
    <row r="1808" spans="1:4" x14ac:dyDescent="0.2">
      <c r="A1808" s="5">
        <v>1747</v>
      </c>
      <c r="B1808" s="138">
        <f>'Tax Sched 23'!E4</f>
        <v>207724</v>
      </c>
      <c r="D1808" s="2" t="str">
        <f t="shared" si="27"/>
        <v>Error?</v>
      </c>
    </row>
    <row r="1809" spans="1:4" x14ac:dyDescent="0.2">
      <c r="A1809" s="5">
        <v>1748</v>
      </c>
      <c r="B1809" s="138">
        <f>'Tax Sched 23'!E5</f>
        <v>30337</v>
      </c>
      <c r="D1809" s="2" t="str">
        <f t="shared" si="27"/>
        <v>Error?</v>
      </c>
    </row>
    <row r="1810" spans="1:4" x14ac:dyDescent="0.2">
      <c r="A1810" s="5">
        <v>1749</v>
      </c>
      <c r="B1810" s="138">
        <f>'Tax Sched 23'!E6</f>
        <v>75041</v>
      </c>
      <c r="D1810" s="2" t="str">
        <f t="shared" si="27"/>
        <v>Error?</v>
      </c>
    </row>
    <row r="1811" spans="1:4" x14ac:dyDescent="0.2">
      <c r="A1811" s="5">
        <v>1750</v>
      </c>
      <c r="B1811" s="138">
        <f>'Tax Sched 23'!E7</f>
        <v>19959</v>
      </c>
      <c r="D1811" s="2" t="str">
        <f t="shared" si="27"/>
        <v>Error?</v>
      </c>
    </row>
    <row r="1812" spans="1:4" x14ac:dyDescent="0.2">
      <c r="A1812" s="5">
        <v>1751</v>
      </c>
      <c r="B1812" s="138">
        <f>'Tax Sched 23'!E8</f>
        <v>41152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12617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411490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387000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13324</v>
      </c>
      <c r="D2008" s="2" t="str">
        <f t="shared" si="30"/>
        <v>Error?</v>
      </c>
    </row>
    <row r="2009" spans="1:4" x14ac:dyDescent="0.2">
      <c r="A2009" s="5">
        <v>1948</v>
      </c>
      <c r="B2009" s="138">
        <f>'Cap Outlay Deprec 26'!C8</f>
        <v>4827081</v>
      </c>
      <c r="D2009" s="2" t="str">
        <f t="shared" si="30"/>
        <v>Error?</v>
      </c>
    </row>
    <row r="2010" spans="1:4" x14ac:dyDescent="0.2">
      <c r="A2010" s="5">
        <v>1949</v>
      </c>
      <c r="B2010" s="138">
        <f>'Cap Outlay Deprec 26'!C10</f>
        <v>121626</v>
      </c>
      <c r="D2010" s="2" t="str">
        <f t="shared" si="30"/>
        <v>Error?</v>
      </c>
    </row>
    <row r="2011" spans="1:4" x14ac:dyDescent="0.2">
      <c r="A2011" s="5">
        <v>1950</v>
      </c>
      <c r="B2011" s="138">
        <f>'Cap Outlay Deprec 26'!C12</f>
        <v>624971</v>
      </c>
      <c r="D2011" s="2" t="str">
        <f t="shared" si="30"/>
        <v>Error?</v>
      </c>
    </row>
    <row r="2012" spans="1:4" x14ac:dyDescent="0.2">
      <c r="A2012" s="5">
        <v>1951</v>
      </c>
      <c r="B2012" s="138">
        <f>'Cap Outlay Deprec 26'!C13</f>
        <v>91840</v>
      </c>
      <c r="D2012" s="2" t="str">
        <f t="shared" si="30"/>
        <v>Error?</v>
      </c>
    </row>
    <row r="2013" spans="1:4" x14ac:dyDescent="0.2">
      <c r="A2013" s="5">
        <v>1952</v>
      </c>
      <c r="B2013" s="138">
        <f>'Cap Outlay Deprec 26'!C16</f>
        <v>5681989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131284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52437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183721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285270</v>
      </c>
      <c r="D2021" s="2" t="str">
        <f t="shared" si="30"/>
        <v>Error?</v>
      </c>
    </row>
    <row r="2022" spans="1:4" x14ac:dyDescent="0.2">
      <c r="A2022" s="5">
        <v>1961</v>
      </c>
      <c r="B2022" s="138">
        <f>'Cap Outlay Deprec 26'!E10</f>
        <v>7265</v>
      </c>
      <c r="D2022" s="2" t="str">
        <f t="shared" si="30"/>
        <v>Error?</v>
      </c>
    </row>
    <row r="2023" spans="1:4" x14ac:dyDescent="0.2">
      <c r="A2023" s="5">
        <v>1962</v>
      </c>
      <c r="B2023" s="138">
        <f>'Cap Outlay Deprec 26'!E12</f>
        <v>260533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553068</v>
      </c>
      <c r="C2025" s="2" t="s">
        <v>573</v>
      </c>
      <c r="D2025" s="2" t="str">
        <f t="shared" si="30"/>
        <v>Error?</v>
      </c>
    </row>
    <row r="2026" spans="1:4" x14ac:dyDescent="0.2">
      <c r="A2026" s="5">
        <v>1965</v>
      </c>
      <c r="B2026" s="138">
        <f>'Cap Outlay Deprec 26'!F5</f>
        <v>13324</v>
      </c>
      <c r="C2026" s="2" t="s">
        <v>573</v>
      </c>
      <c r="D2026" s="2" t="str">
        <f t="shared" si="30"/>
        <v>Error?</v>
      </c>
    </row>
    <row r="2027" spans="1:4" x14ac:dyDescent="0.2">
      <c r="A2027" s="5">
        <v>1966</v>
      </c>
      <c r="B2027" s="138">
        <f>'Cap Outlay Deprec 26'!F8</f>
        <v>4673095</v>
      </c>
      <c r="C2027" s="2" t="s">
        <v>573</v>
      </c>
      <c r="D2027" s="2" t="str">
        <f t="shared" si="30"/>
        <v>Error?</v>
      </c>
    </row>
    <row r="2028" spans="1:4" x14ac:dyDescent="0.2">
      <c r="A2028" s="5">
        <v>1967</v>
      </c>
      <c r="B2028" s="138">
        <f>'Cap Outlay Deprec 26'!F10</f>
        <v>114361</v>
      </c>
      <c r="C2028" s="2" t="s">
        <v>573</v>
      </c>
      <c r="D2028" s="2" t="str">
        <f t="shared" si="30"/>
        <v>Error?</v>
      </c>
    </row>
    <row r="2029" spans="1:4" x14ac:dyDescent="0.2">
      <c r="A2029" s="5">
        <v>1968</v>
      </c>
      <c r="B2029" s="138">
        <f>'Cap Outlay Deprec 26'!F12</f>
        <v>416875</v>
      </c>
      <c r="C2029" s="2" t="s">
        <v>573</v>
      </c>
      <c r="D2029" s="2" t="str">
        <f t="shared" si="30"/>
        <v>Error?</v>
      </c>
    </row>
    <row r="2030" spans="1:4" x14ac:dyDescent="0.2">
      <c r="A2030" s="5">
        <v>1969</v>
      </c>
      <c r="B2030" s="138">
        <f>'Cap Outlay Deprec 26'!F13</f>
        <v>91840</v>
      </c>
      <c r="C2030" s="2" t="s">
        <v>573</v>
      </c>
      <c r="D2030" s="2" t="str">
        <f t="shared" si="30"/>
        <v>Error?</v>
      </c>
    </row>
    <row r="2031" spans="1:4" x14ac:dyDescent="0.2">
      <c r="A2031" s="5">
        <v>1970</v>
      </c>
      <c r="B2031" s="138">
        <f>'Cap Outlay Deprec 26'!F16</f>
        <v>5312642</v>
      </c>
      <c r="C2031" s="2" t="s">
        <v>573</v>
      </c>
      <c r="D2031" s="2" t="str">
        <f t="shared" si="30"/>
        <v>Error?</v>
      </c>
    </row>
    <row r="2032" spans="1:4" x14ac:dyDescent="0.2">
      <c r="A2032" s="10">
        <v>1971</v>
      </c>
      <c r="D2032" s="2" t="str">
        <f t="shared" si="30"/>
        <v>OK</v>
      </c>
    </row>
    <row r="2033" spans="1:4" x14ac:dyDescent="0.2">
      <c r="A2033" s="5">
        <v>1972</v>
      </c>
      <c r="B2033" s="138">
        <f>'Cap Outlay Deprec 26'!H8</f>
        <v>2387575</v>
      </c>
      <c r="D2033" s="2" t="str">
        <f t="shared" si="30"/>
        <v>Error?</v>
      </c>
    </row>
    <row r="2034" spans="1:4" x14ac:dyDescent="0.2">
      <c r="A2034" s="5">
        <v>1973</v>
      </c>
      <c r="B2034" s="138">
        <f>'Cap Outlay Deprec 26'!H10</f>
        <v>82226</v>
      </c>
      <c r="D2034" s="2" t="str">
        <f t="shared" si="30"/>
        <v>Error?</v>
      </c>
    </row>
    <row r="2035" spans="1:4" x14ac:dyDescent="0.2">
      <c r="A2035" s="5">
        <v>1974</v>
      </c>
      <c r="B2035" s="138">
        <f>'Cap Outlay Deprec 26'!H12</f>
        <v>517200</v>
      </c>
      <c r="D2035" s="2" t="str">
        <f t="shared" si="30"/>
        <v>Error?</v>
      </c>
    </row>
    <row r="2036" spans="1:4" x14ac:dyDescent="0.2">
      <c r="A2036" s="5">
        <v>1975</v>
      </c>
      <c r="B2036" s="138">
        <f>'Cap Outlay Deprec 26'!H13</f>
        <v>91840</v>
      </c>
      <c r="D2036" s="2" t="str">
        <f t="shared" si="30"/>
        <v>Error?</v>
      </c>
    </row>
    <row r="2037" spans="1:4" x14ac:dyDescent="0.2">
      <c r="A2037" s="5">
        <v>1976</v>
      </c>
      <c r="B2037" s="138">
        <f>'Cap Outlay Deprec 26'!H16</f>
        <v>3081988</v>
      </c>
      <c r="C2037" s="2" t="s">
        <v>573</v>
      </c>
      <c r="D2037" s="2" t="str">
        <f t="shared" si="30"/>
        <v>Error?</v>
      </c>
    </row>
    <row r="2038" spans="1:4" x14ac:dyDescent="0.2">
      <c r="A2038" s="10">
        <v>1977</v>
      </c>
      <c r="D2038" s="2" t="str">
        <f t="shared" si="30"/>
        <v>OK</v>
      </c>
    </row>
    <row r="2039" spans="1:4" x14ac:dyDescent="0.2">
      <c r="A2039" s="5">
        <v>1978</v>
      </c>
      <c r="B2039" s="138">
        <f>'Cap Outlay Deprec 26'!I8</f>
        <v>104735</v>
      </c>
      <c r="D2039" s="2" t="str">
        <f t="shared" si="30"/>
        <v>Error?</v>
      </c>
    </row>
    <row r="2040" spans="1:4" x14ac:dyDescent="0.2">
      <c r="A2040" s="5">
        <v>1979</v>
      </c>
      <c r="B2040" s="138">
        <f>'Cap Outlay Deprec 26'!I10</f>
        <v>4648</v>
      </c>
      <c r="D2040" s="2" t="str">
        <f t="shared" si="30"/>
        <v>Error?</v>
      </c>
    </row>
    <row r="2041" spans="1:4" x14ac:dyDescent="0.2">
      <c r="A2041" s="5">
        <v>1980</v>
      </c>
      <c r="B2041" s="138">
        <f>'Cap Outlay Deprec 26'!I12</f>
        <v>23114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132497</v>
      </c>
      <c r="C2043" s="2" t="s">
        <v>573</v>
      </c>
      <c r="D2043" s="2" t="str">
        <f t="shared" si="30"/>
        <v>Error?</v>
      </c>
    </row>
    <row r="2044" spans="1:4" x14ac:dyDescent="0.2">
      <c r="A2044" s="10">
        <v>1983</v>
      </c>
      <c r="D2044" s="2" t="str">
        <f t="shared" si="30"/>
        <v>OK</v>
      </c>
    </row>
    <row r="2045" spans="1:4" x14ac:dyDescent="0.2">
      <c r="A2045" s="5">
        <v>1984</v>
      </c>
      <c r="B2045" s="138">
        <f>'Cap Outlay Deprec 26'!J8</f>
        <v>158189</v>
      </c>
      <c r="D2045" s="2" t="str">
        <f t="shared" si="30"/>
        <v>Error?</v>
      </c>
    </row>
    <row r="2046" spans="1:4" x14ac:dyDescent="0.2">
      <c r="A2046" s="5">
        <v>1985</v>
      </c>
      <c r="B2046" s="138">
        <f>'Cap Outlay Deprec 26'!J10</f>
        <v>4727</v>
      </c>
      <c r="D2046" s="2" t="str">
        <f t="shared" si="30"/>
        <v>Error?</v>
      </c>
    </row>
    <row r="2047" spans="1:4" x14ac:dyDescent="0.2">
      <c r="A2047" s="5">
        <v>1986</v>
      </c>
      <c r="B2047" s="138">
        <f>'Cap Outlay Deprec 26'!J12</f>
        <v>259327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422243</v>
      </c>
      <c r="C2049" s="2" t="s">
        <v>573</v>
      </c>
      <c r="D2049" s="2" t="str">
        <f t="shared" si="31"/>
        <v>Error?</v>
      </c>
    </row>
    <row r="2050" spans="1:4" x14ac:dyDescent="0.2">
      <c r="A2050" s="10">
        <v>1989</v>
      </c>
      <c r="D2050" s="2" t="str">
        <f t="shared" si="31"/>
        <v>OK</v>
      </c>
    </row>
    <row r="2051" spans="1:4" x14ac:dyDescent="0.2">
      <c r="A2051" s="5">
        <v>1990</v>
      </c>
      <c r="B2051" s="138">
        <f>'Cap Outlay Deprec 26'!K8</f>
        <v>2334121</v>
      </c>
      <c r="C2051" s="2" t="s">
        <v>573</v>
      </c>
      <c r="D2051" s="2" t="str">
        <f t="shared" si="31"/>
        <v>Error?</v>
      </c>
    </row>
    <row r="2052" spans="1:4" x14ac:dyDescent="0.2">
      <c r="A2052" s="5">
        <v>1991</v>
      </c>
      <c r="B2052" s="138">
        <f>'Cap Outlay Deprec 26'!K10</f>
        <v>82147</v>
      </c>
      <c r="C2052" s="2" t="s">
        <v>573</v>
      </c>
      <c r="D2052" s="2" t="str">
        <f t="shared" si="31"/>
        <v>Error?</v>
      </c>
    </row>
    <row r="2053" spans="1:4" x14ac:dyDescent="0.2">
      <c r="A2053" s="5">
        <v>1992</v>
      </c>
      <c r="B2053" s="138">
        <f>'Cap Outlay Deprec 26'!K12</f>
        <v>280987</v>
      </c>
      <c r="C2053" s="2" t="s">
        <v>573</v>
      </c>
      <c r="D2053" s="2" t="str">
        <f t="shared" si="31"/>
        <v>Error?</v>
      </c>
    </row>
    <row r="2054" spans="1:4" x14ac:dyDescent="0.2">
      <c r="A2054" s="5">
        <v>1993</v>
      </c>
      <c r="B2054" s="138">
        <f>'Cap Outlay Deprec 26'!K13</f>
        <v>91840</v>
      </c>
      <c r="C2054" s="2" t="s">
        <v>573</v>
      </c>
      <c r="D2054" s="2" t="str">
        <f t="shared" si="31"/>
        <v>Error?</v>
      </c>
    </row>
    <row r="2055" spans="1:4" x14ac:dyDescent="0.2">
      <c r="A2055" s="5">
        <v>1994</v>
      </c>
      <c r="B2055" s="138">
        <f>'Cap Outlay Deprec 26'!K16</f>
        <v>2792242</v>
      </c>
      <c r="C2055" s="2" t="s">
        <v>573</v>
      </c>
      <c r="D2055" s="2" t="str">
        <f t="shared" si="31"/>
        <v>Error?</v>
      </c>
    </row>
    <row r="2056" spans="1:4" x14ac:dyDescent="0.2">
      <c r="A2056" s="5">
        <v>1995</v>
      </c>
      <c r="B2056" s="138">
        <f>'Cap Outlay Deprec 26'!L5</f>
        <v>13324</v>
      </c>
      <c r="C2056" s="2" t="s">
        <v>573</v>
      </c>
      <c r="D2056" s="2" t="str">
        <f t="shared" si="31"/>
        <v>Error?</v>
      </c>
    </row>
    <row r="2057" spans="1:4" x14ac:dyDescent="0.2">
      <c r="A2057" s="5">
        <v>1996</v>
      </c>
      <c r="B2057" s="138">
        <f>'Cap Outlay Deprec 26'!L8</f>
        <v>2338974</v>
      </c>
      <c r="C2057" s="2" t="s">
        <v>573</v>
      </c>
      <c r="D2057" s="2" t="str">
        <f t="shared" si="31"/>
        <v>Error?</v>
      </c>
    </row>
    <row r="2058" spans="1:4" x14ac:dyDescent="0.2">
      <c r="A2058" s="5">
        <v>1997</v>
      </c>
      <c r="B2058" s="138">
        <f>'Cap Outlay Deprec 26'!L10</f>
        <v>32214</v>
      </c>
      <c r="C2058" s="2" t="s">
        <v>573</v>
      </c>
      <c r="D2058" s="2" t="str">
        <f t="shared" si="31"/>
        <v>Error?</v>
      </c>
    </row>
    <row r="2059" spans="1:4" x14ac:dyDescent="0.2">
      <c r="A2059" s="5">
        <v>1998</v>
      </c>
      <c r="B2059" s="138">
        <f>'Cap Outlay Deprec 26'!L12</f>
        <v>135888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2520400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12006</v>
      </c>
      <c r="C2088" s="2" t="s">
        <v>573</v>
      </c>
      <c r="D2088" s="2" t="str">
        <f t="shared" si="31"/>
        <v>Error?</v>
      </c>
    </row>
    <row r="2089" spans="1:4" x14ac:dyDescent="0.2">
      <c r="A2089" s="5">
        <v>2028</v>
      </c>
      <c r="B2089" s="138">
        <f>'Expenditures 15-22'!K92</f>
        <v>112574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16191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12073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337330</v>
      </c>
      <c r="C2551" s="2" t="s">
        <v>573</v>
      </c>
      <c r="D2551" s="2" t="str">
        <f t="shared" si="38"/>
        <v>Error?</v>
      </c>
    </row>
    <row r="2552" spans="1:4" x14ac:dyDescent="0.2">
      <c r="A2552" s="10">
        <v>2491</v>
      </c>
      <c r="D2552" s="2" t="str">
        <f t="shared" si="38"/>
        <v>OK</v>
      </c>
    </row>
    <row r="2553" spans="1:4" x14ac:dyDescent="0.2">
      <c r="A2553" s="5">
        <v>2492</v>
      </c>
      <c r="B2553" s="138">
        <f>'Acct Summary 7-8'!C6</f>
        <v>1759065</v>
      </c>
      <c r="C2553" s="2" t="s">
        <v>573</v>
      </c>
      <c r="D2553" s="2" t="str">
        <f t="shared" si="38"/>
        <v>Error?</v>
      </c>
    </row>
    <row r="2554" spans="1:4" x14ac:dyDescent="0.2">
      <c r="A2554" s="5">
        <v>2493</v>
      </c>
      <c r="B2554" s="138">
        <f>'Acct Summary 7-8'!C7</f>
        <v>397473</v>
      </c>
      <c r="C2554" s="2" t="s">
        <v>573</v>
      </c>
      <c r="D2554" s="2" t="str">
        <f t="shared" si="38"/>
        <v>Error?</v>
      </c>
    </row>
    <row r="2555" spans="1:4" x14ac:dyDescent="0.2">
      <c r="A2555" s="5">
        <v>2494</v>
      </c>
      <c r="B2555" s="138">
        <f>'Acct Summary 7-8'!C8</f>
        <v>2493868</v>
      </c>
      <c r="C2555" s="2" t="s">
        <v>573</v>
      </c>
      <c r="D2555" s="2" t="str">
        <f t="shared" si="38"/>
        <v>Error?</v>
      </c>
    </row>
    <row r="2556" spans="1:4" x14ac:dyDescent="0.2">
      <c r="A2556" s="5">
        <v>2495</v>
      </c>
      <c r="B2556" s="138">
        <f>'Acct Summary 7-8'!C12</f>
        <v>1369791</v>
      </c>
      <c r="C2556" s="2" t="s">
        <v>573</v>
      </c>
      <c r="D2556" s="2" t="str">
        <f t="shared" si="38"/>
        <v>Error?</v>
      </c>
    </row>
    <row r="2557" spans="1:4" x14ac:dyDescent="0.2">
      <c r="A2557" s="5">
        <v>2496</v>
      </c>
      <c r="B2557" s="138">
        <f>'Acct Summary 7-8'!C13</f>
        <v>736372</v>
      </c>
      <c r="C2557" s="2" t="s">
        <v>573</v>
      </c>
      <c r="D2557" s="2" t="str">
        <f t="shared" si="38"/>
        <v>Error?</v>
      </c>
    </row>
    <row r="2558" spans="1:4" x14ac:dyDescent="0.2">
      <c r="A2558" s="5">
        <v>2497</v>
      </c>
      <c r="B2558" s="138">
        <f>'Acct Summary 7-8'!C14</f>
        <v>6437</v>
      </c>
      <c r="C2558" s="2" t="s">
        <v>573</v>
      </c>
      <c r="D2558" s="2" t="str">
        <f t="shared" si="38"/>
        <v>Error?</v>
      </c>
    </row>
    <row r="2559" spans="1:4" x14ac:dyDescent="0.2">
      <c r="A2559" s="5">
        <v>2498</v>
      </c>
      <c r="B2559" s="138">
        <f>'Acct Summary 7-8'!C15</f>
        <v>124580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2237180</v>
      </c>
      <c r="C2561" s="2" t="s">
        <v>573</v>
      </c>
      <c r="D2561" s="2" t="str">
        <f t="shared" si="39"/>
        <v>Error?</v>
      </c>
    </row>
    <row r="2562" spans="1:4" x14ac:dyDescent="0.2">
      <c r="A2562" s="5">
        <v>2501</v>
      </c>
      <c r="B2562" s="138">
        <f>'Acct Summary 7-8'!C20</f>
        <v>256688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38334</v>
      </c>
      <c r="C2564" s="2" t="s">
        <v>573</v>
      </c>
      <c r="D2564" s="2" t="str">
        <f t="shared" si="39"/>
        <v>Error?</v>
      </c>
    </row>
    <row r="2565" spans="1:4" x14ac:dyDescent="0.2">
      <c r="A2565" s="10">
        <v>2504</v>
      </c>
      <c r="D2565" s="2" t="str">
        <f t="shared" si="39"/>
        <v>OK</v>
      </c>
    </row>
    <row r="2566" spans="1:4" x14ac:dyDescent="0.2">
      <c r="A2566" s="5">
        <v>2505</v>
      </c>
      <c r="B2566" s="138">
        <f>'Acct Summary 7-8'!D6</f>
        <v>80000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118334</v>
      </c>
      <c r="C2568" s="2" t="s">
        <v>573</v>
      </c>
      <c r="D2568" s="2" t="str">
        <f t="shared" si="39"/>
        <v>Error?</v>
      </c>
    </row>
    <row r="2569" spans="1:4" x14ac:dyDescent="0.2">
      <c r="A2569" s="5">
        <v>2508</v>
      </c>
      <c r="B2569" s="138">
        <f>'Acct Summary 7-8'!D13</f>
        <v>201771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201771</v>
      </c>
      <c r="C2573" s="2" t="s">
        <v>573</v>
      </c>
      <c r="D2573" s="2" t="str">
        <f t="shared" si="39"/>
        <v>Error?</v>
      </c>
    </row>
    <row r="2574" spans="1:4" x14ac:dyDescent="0.2">
      <c r="A2574" s="5">
        <v>2513</v>
      </c>
      <c r="B2574" s="138">
        <f>'Acct Summary 7-8'!D20</f>
        <v>-83437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21219</v>
      </c>
      <c r="C2591" s="2" t="s">
        <v>573</v>
      </c>
      <c r="D2591" s="2" t="str">
        <f t="shared" si="39"/>
        <v>Error?</v>
      </c>
    </row>
    <row r="2592" spans="1:4" x14ac:dyDescent="0.2">
      <c r="A2592" s="10">
        <v>2531</v>
      </c>
      <c r="D2592" s="2" t="str">
        <f t="shared" si="39"/>
        <v>OK</v>
      </c>
    </row>
    <row r="2593" spans="1:4" x14ac:dyDescent="0.2">
      <c r="A2593" s="5">
        <v>2532</v>
      </c>
      <c r="B2593" s="138">
        <f>'Acct Summary 7-8'!F6</f>
        <v>51407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72626</v>
      </c>
      <c r="C2595" s="2" t="s">
        <v>573</v>
      </c>
      <c r="D2595" s="2" t="str">
        <f t="shared" si="39"/>
        <v>Error?</v>
      </c>
    </row>
    <row r="2596" spans="1:4" x14ac:dyDescent="0.2">
      <c r="A2596" s="5">
        <v>2535</v>
      </c>
      <c r="B2596" s="138">
        <f>'Acct Summary 7-8'!F13</f>
        <v>58394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4481</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62875</v>
      </c>
      <c r="C2600" s="2" t="s">
        <v>573</v>
      </c>
      <c r="D2600" s="2" t="str">
        <f t="shared" si="39"/>
        <v>Error?</v>
      </c>
    </row>
    <row r="2601" spans="1:4" x14ac:dyDescent="0.2">
      <c r="A2601" s="5">
        <v>2540</v>
      </c>
      <c r="B2601" s="138">
        <f>'Acct Summary 7-8'!F20</f>
        <v>9751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79553</v>
      </c>
      <c r="C2603" s="2" t="s">
        <v>573</v>
      </c>
      <c r="D2603" s="2" t="str">
        <f t="shared" si="39"/>
        <v>Error?</v>
      </c>
    </row>
    <row r="2604" spans="1:4" x14ac:dyDescent="0.2">
      <c r="A2604" s="5">
        <v>2543</v>
      </c>
      <c r="B2604" s="138">
        <f>'Acct Summary 7-8'!G6</f>
        <v>15000</v>
      </c>
      <c r="C2604" s="2" t="s">
        <v>573</v>
      </c>
      <c r="D2604" s="2" t="str">
        <f t="shared" si="39"/>
        <v>Error?</v>
      </c>
    </row>
    <row r="2605" spans="1:4" x14ac:dyDescent="0.2">
      <c r="A2605" s="5">
        <v>2544</v>
      </c>
      <c r="B2605" s="138">
        <f>'Acct Summary 7-8'!G7</f>
        <v>750</v>
      </c>
      <c r="C2605" s="2" t="s">
        <v>573</v>
      </c>
      <c r="D2605" s="2" t="str">
        <f t="shared" si="39"/>
        <v>Error?</v>
      </c>
    </row>
    <row r="2606" spans="1:4" x14ac:dyDescent="0.2">
      <c r="A2606" s="5">
        <v>2545</v>
      </c>
      <c r="B2606" s="138">
        <f>'Acct Summary 7-8'!G8</f>
        <v>95303</v>
      </c>
      <c r="C2606" s="2" t="s">
        <v>573</v>
      </c>
      <c r="D2606" s="2" t="str">
        <f t="shared" si="39"/>
        <v>Error?</v>
      </c>
    </row>
    <row r="2607" spans="1:4" x14ac:dyDescent="0.2">
      <c r="A2607" s="5">
        <v>2546</v>
      </c>
      <c r="B2607" s="138">
        <f>'Acct Summary 7-8'!G12</f>
        <v>37102</v>
      </c>
      <c r="C2607" s="2" t="s">
        <v>573</v>
      </c>
      <c r="D2607" s="2" t="str">
        <f t="shared" si="39"/>
        <v>Error?</v>
      </c>
    </row>
    <row r="2608" spans="1:4" x14ac:dyDescent="0.2">
      <c r="A2608" s="5">
        <v>2547</v>
      </c>
      <c r="B2608" s="138">
        <f>'Acct Summary 7-8'!G13</f>
        <v>52584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89686</v>
      </c>
      <c r="C2612" s="2" t="s">
        <v>573</v>
      </c>
      <c r="D2612" s="2" t="str">
        <f t="shared" si="39"/>
        <v>Error?</v>
      </c>
    </row>
    <row r="2613" spans="1:4" x14ac:dyDescent="0.2">
      <c r="A2613" s="5">
        <v>2552</v>
      </c>
      <c r="B2613" s="138">
        <f>'Acct Summary 7-8'!G20</f>
        <v>5617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76544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76544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91457</v>
      </c>
      <c r="C2634" s="2" t="s">
        <v>573</v>
      </c>
      <c r="D2634" s="2" t="str">
        <f t="shared" si="40"/>
        <v>Error?</v>
      </c>
    </row>
    <row r="2635" spans="1:4" x14ac:dyDescent="0.2">
      <c r="A2635" s="5">
        <v>2574</v>
      </c>
      <c r="B2635" s="138">
        <f>'Acct Summary 7-8'!E17</f>
        <v>91457</v>
      </c>
      <c r="C2635" s="2" t="s">
        <v>573</v>
      </c>
      <c r="D2635" s="2" t="str">
        <f t="shared" si="40"/>
        <v>Error?</v>
      </c>
    </row>
    <row r="2636" spans="1:4" x14ac:dyDescent="0.2">
      <c r="A2636" s="5">
        <v>2575</v>
      </c>
      <c r="B2636" s="138">
        <f>'Acct Summary 7-8'!E20</f>
        <v>-14913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3229</v>
      </c>
      <c r="D2718" s="2" t="str">
        <f t="shared" si="41"/>
        <v>Error?</v>
      </c>
    </row>
    <row r="2719" spans="1:4" x14ac:dyDescent="0.2">
      <c r="A2719" s="5">
        <v>2658</v>
      </c>
      <c r="B2719" s="138">
        <f>'Expenditures 15-22'!D51</f>
        <v>734</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3963</v>
      </c>
      <c r="C2724" s="2" t="s">
        <v>573</v>
      </c>
      <c r="D2724" s="2" t="str">
        <f t="shared" si="41"/>
        <v>Error?</v>
      </c>
    </row>
    <row r="2725" spans="1:4" x14ac:dyDescent="0.2">
      <c r="A2725" s="5">
        <v>2664</v>
      </c>
      <c r="B2725" s="138">
        <f>'Expenditures 15-22'!D247</f>
        <v>30</v>
      </c>
      <c r="D2725" s="2" t="str">
        <f t="shared" si="41"/>
        <v>Error?</v>
      </c>
    </row>
    <row r="2726" spans="1:4" x14ac:dyDescent="0.2">
      <c r="A2726" s="5">
        <v>2665</v>
      </c>
      <c r="B2726" s="138">
        <f>'Expenditures 15-22'!K247</f>
        <v>30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12006</v>
      </c>
      <c r="C2789" s="2" t="s">
        <v>573</v>
      </c>
      <c r="D2789" s="2" t="str">
        <f t="shared" si="42"/>
        <v>Error?</v>
      </c>
    </row>
    <row r="2790" spans="1:4" x14ac:dyDescent="0.2">
      <c r="A2790" s="5">
        <v>2729</v>
      </c>
      <c r="B2790" s="138">
        <f>'Expenditures 15-22'!E102</f>
        <v>12006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4481</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4481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85085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38577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85085</v>
      </c>
      <c r="D2912" s="2" t="str">
        <f t="shared" si="44"/>
        <v>Error?</v>
      </c>
    </row>
    <row r="2913" spans="1:4" x14ac:dyDescent="0.2">
      <c r="A2913" s="5">
        <v>2852</v>
      </c>
      <c r="B2913" s="138">
        <f>'Assets-Liab 5-6'!I41</f>
        <v>85085</v>
      </c>
      <c r="C2913" s="2" t="s">
        <v>573</v>
      </c>
      <c r="D2913" s="2" t="str">
        <f t="shared" si="44"/>
        <v>Error?</v>
      </c>
    </row>
    <row r="2914" spans="1:4" x14ac:dyDescent="0.2">
      <c r="A2914" s="5">
        <v>2853</v>
      </c>
      <c r="B2914" s="138">
        <f>'Assets-Liab 5-6'!L33</f>
        <v>38577</v>
      </c>
      <c r="D2914" s="2" t="str">
        <f t="shared" si="44"/>
        <v>Error?</v>
      </c>
    </row>
    <row r="2915" spans="1:4" x14ac:dyDescent="0.2">
      <c r="A2915" s="10">
        <v>2854</v>
      </c>
      <c r="D2915" s="2" t="str">
        <f t="shared" si="44"/>
        <v>OK</v>
      </c>
    </row>
    <row r="2916" spans="1:4" x14ac:dyDescent="0.2">
      <c r="A2916" s="5">
        <v>2855</v>
      </c>
      <c r="B2916" s="138">
        <f>'Assets-Liab 5-6'!L34</f>
        <v>38577</v>
      </c>
      <c r="C2916" s="2" t="s">
        <v>573</v>
      </c>
      <c r="D2916" s="2" t="str">
        <f t="shared" si="44"/>
        <v>Error?</v>
      </c>
    </row>
    <row r="2917" spans="1:4" x14ac:dyDescent="0.2">
      <c r="A2917" s="5">
        <v>2856</v>
      </c>
      <c r="B2917" s="138">
        <f>'Assets-Liab 5-6'!L41</f>
        <v>38577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1650</v>
      </c>
      <c r="D2949" s="2" t="str">
        <f t="shared" si="45"/>
        <v>Error?</v>
      </c>
    </row>
    <row r="2950" spans="1:4" x14ac:dyDescent="0.2">
      <c r="A2950" s="5">
        <v>2889</v>
      </c>
      <c r="B2950" s="138">
        <f>'Expenditures 15-22'!E79</f>
        <v>10356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1650</v>
      </c>
      <c r="C2973" s="2" t="s">
        <v>573</v>
      </c>
      <c r="D2973" s="2" t="str">
        <f t="shared" si="45"/>
        <v>Error?</v>
      </c>
    </row>
    <row r="2974" spans="1:4" x14ac:dyDescent="0.2">
      <c r="A2974" s="5">
        <v>2913</v>
      </c>
      <c r="B2974" s="138">
        <f>'Expenditures 15-22'!K79</f>
        <v>10356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4481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4481</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20328</v>
      </c>
      <c r="D3055" s="2" t="str">
        <f t="shared" si="46"/>
        <v>Error?</v>
      </c>
    </row>
    <row r="3056" spans="1:4" x14ac:dyDescent="0.2">
      <c r="A3056" s="5">
        <v>2995</v>
      </c>
      <c r="B3056" s="138">
        <f>'Expenditures 15-22'!D10</f>
        <v>6290</v>
      </c>
      <c r="D3056" s="2" t="str">
        <f t="shared" si="46"/>
        <v>Error?</v>
      </c>
    </row>
    <row r="3057" spans="1:4" x14ac:dyDescent="0.2">
      <c r="A3057" s="5">
        <v>2996</v>
      </c>
      <c r="B3057" s="138">
        <f>'Expenditures 15-22'!E10</f>
        <v>9782</v>
      </c>
      <c r="D3057" s="2" t="str">
        <f t="shared" si="46"/>
        <v>Error?</v>
      </c>
    </row>
    <row r="3058" spans="1:4" x14ac:dyDescent="0.2">
      <c r="A3058" s="5">
        <v>2997</v>
      </c>
      <c r="B3058" s="138">
        <f>'Expenditures 15-22'!F10</f>
        <v>35442</v>
      </c>
      <c r="D3058" s="2" t="str">
        <f t="shared" si="46"/>
        <v>Error?</v>
      </c>
    </row>
    <row r="3059" spans="1:4" x14ac:dyDescent="0.2">
      <c r="A3059" s="5">
        <v>2998</v>
      </c>
      <c r="B3059" s="138">
        <f>'Expenditures 15-22'!G10</f>
        <v>2792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74634</v>
      </c>
      <c r="C3062" s="2" t="s">
        <v>573</v>
      </c>
      <c r="D3062" s="2" t="str">
        <f t="shared" si="46"/>
        <v>Error?</v>
      </c>
    </row>
    <row r="3063" spans="1:4" x14ac:dyDescent="0.2">
      <c r="A3063" s="10">
        <v>3002</v>
      </c>
      <c r="D3063" s="2" t="str">
        <f t="shared" si="46"/>
        <v>OK</v>
      </c>
    </row>
    <row r="3064" spans="1:4" x14ac:dyDescent="0.2">
      <c r="A3064" s="5">
        <v>3003</v>
      </c>
      <c r="B3064" s="138">
        <f>'Expenditures 15-22'!D219</f>
        <v>1863</v>
      </c>
      <c r="D3064" s="2" t="str">
        <f t="shared" si="46"/>
        <v>Error?</v>
      </c>
    </row>
    <row r="3065" spans="1:4" x14ac:dyDescent="0.2">
      <c r="A3065" s="5">
        <v>3004</v>
      </c>
      <c r="B3065" s="138">
        <f>'Expenditures 15-22'!K219</f>
        <v>1863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1940</v>
      </c>
      <c r="C3225" s="2" t="s">
        <v>573</v>
      </c>
      <c r="D3225" s="2" t="str">
        <f t="shared" si="49"/>
        <v>Error?</v>
      </c>
    </row>
    <row r="3226" spans="1:4" x14ac:dyDescent="0.2">
      <c r="A3226" s="5">
        <v>3165</v>
      </c>
      <c r="B3226" s="138">
        <f>'Acct Summary 7-8'!I8</f>
        <v>1940</v>
      </c>
      <c r="C3226" s="2" t="s">
        <v>573</v>
      </c>
      <c r="D3226" s="2" t="str">
        <f t="shared" si="49"/>
        <v>Error?</v>
      </c>
    </row>
    <row r="3227" spans="1:4" x14ac:dyDescent="0.2">
      <c r="A3227" s="5">
        <v>3166</v>
      </c>
      <c r="B3227" s="138">
        <f>'Acct Summary 7-8'!I20</f>
        <v>1940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256688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125000</v>
      </c>
      <c r="C3238" s="2" t="s">
        <v>573</v>
      </c>
      <c r="D3238" s="2" t="str">
        <f t="shared" si="49"/>
        <v>Error?</v>
      </c>
    </row>
    <row r="3239" spans="1:4" x14ac:dyDescent="0.2">
      <c r="A3239" s="5">
        <v>3178</v>
      </c>
      <c r="B3239" s="138">
        <f>'Acct Summary 7-8'!D78</f>
        <v>41563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9751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5617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-14913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125000</v>
      </c>
      <c r="C3318" s="2" t="s">
        <v>573</v>
      </c>
      <c r="D3318" s="2" t="str">
        <f t="shared" si="50"/>
        <v>Error?</v>
      </c>
    </row>
    <row r="3319" spans="1:4" x14ac:dyDescent="0.2">
      <c r="A3319" s="5">
        <v>3258</v>
      </c>
      <c r="B3319" s="138">
        <f>'Acct Summary 7-8'!I77</f>
        <v>-125000</v>
      </c>
      <c r="C3319" s="2" t="s">
        <v>573</v>
      </c>
      <c r="D3319" s="2" t="str">
        <f t="shared" si="50"/>
        <v>Error?</v>
      </c>
    </row>
    <row r="3320" spans="1:4" x14ac:dyDescent="0.2">
      <c r="A3320" s="5">
        <v>3259</v>
      </c>
      <c r="B3320" s="138">
        <f>'Acct Summary 7-8'!I78</f>
        <v>-123060</v>
      </c>
      <c r="C3320" s="2" t="s">
        <v>573</v>
      </c>
      <c r="D3320" s="2" t="str">
        <f t="shared" si="50"/>
        <v>Error?</v>
      </c>
    </row>
    <row r="3321" spans="1:4" x14ac:dyDescent="0.2">
      <c r="A3321" s="5">
        <v>3260</v>
      </c>
      <c r="B3321" s="138">
        <f>'Acct Summary 7-8'!I79</f>
        <v>208145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85085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172946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78950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252462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18372</v>
      </c>
      <c r="D3387" s="2" t="str">
        <f t="shared" si="51"/>
        <v>Error?</v>
      </c>
    </row>
    <row r="3388" spans="1:4" x14ac:dyDescent="0.2">
      <c r="A3388" s="5">
        <v>3327</v>
      </c>
      <c r="B3388" s="138">
        <f>'Expenditures 15-22'!D217</f>
        <v>16196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18372</v>
      </c>
      <c r="C3390" s="2" t="s">
        <v>573</v>
      </c>
      <c r="D3390" s="2" t="str">
        <f t="shared" si="51"/>
        <v>Error?</v>
      </c>
    </row>
    <row r="3391" spans="1:4" x14ac:dyDescent="0.2">
      <c r="A3391" s="5">
        <v>3330</v>
      </c>
      <c r="B3391" s="138">
        <f>'Expenditures 15-22'!K217</f>
        <v>16196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649640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114476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82608</v>
      </c>
      <c r="D3417" s="2" t="str">
        <f t="shared" si="52"/>
        <v>Error?</v>
      </c>
    </row>
    <row r="3418" spans="1:4" x14ac:dyDescent="0.2">
      <c r="A3418" s="10">
        <v>3357</v>
      </c>
      <c r="D3418" s="2" t="str">
        <f t="shared" si="52"/>
        <v>OK</v>
      </c>
    </row>
    <row r="3419" spans="1:4" x14ac:dyDescent="0.2">
      <c r="A3419" s="5">
        <v>3358</v>
      </c>
      <c r="B3419" s="138">
        <f>'Assets-Liab 5-6'!F4</f>
        <v>37307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24156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85085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38577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23665</v>
      </c>
      <c r="C3446" s="2" t="s">
        <v>573</v>
      </c>
      <c r="D3446" s="2" t="str">
        <f t="shared" si="52"/>
        <v>Error?</v>
      </c>
    </row>
    <row r="3447" spans="1:4" x14ac:dyDescent="0.2">
      <c r="A3447" s="5">
        <v>3386</v>
      </c>
      <c r="B3447" s="138">
        <f>'Tax Sched 23'!D16</f>
        <v>23665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24660</v>
      </c>
      <c r="C3449" s="2" t="s">
        <v>573</v>
      </c>
      <c r="D3449" s="2" t="str">
        <f t="shared" si="52"/>
        <v>Error?</v>
      </c>
    </row>
    <row r="3450" spans="1:4" x14ac:dyDescent="0.2">
      <c r="A3450" s="5">
        <v>3389</v>
      </c>
      <c r="B3450" s="138">
        <f>'Tax Sched 23'!E16</f>
        <v>24660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v>
      </c>
      <c r="C3571" s="2" t="s">
        <v>573</v>
      </c>
      <c r="D3571" s="2" t="str">
        <f t="shared" si="54"/>
        <v>Error?</v>
      </c>
    </row>
    <row r="3572" spans="1:4" x14ac:dyDescent="0.2">
      <c r="A3572" s="5">
        <v>3511</v>
      </c>
      <c r="B3572" s="138">
        <f>'Acct Summary 7-8'!K13</f>
        <v>424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424</v>
      </c>
      <c r="C3575" s="2" t="s">
        <v>573</v>
      </c>
      <c r="D3575" s="2" t="str">
        <f t="shared" si="54"/>
        <v>Error?</v>
      </c>
    </row>
    <row r="3576" spans="1:4" x14ac:dyDescent="0.2">
      <c r="A3576" s="5">
        <v>3515</v>
      </c>
      <c r="B3576" s="138">
        <f>'Acct Summary 7-8'!K20</f>
        <v>-422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-422</v>
      </c>
      <c r="C3588" s="2" t="s">
        <v>573</v>
      </c>
      <c r="D3588" s="2" t="str">
        <f t="shared" si="55"/>
        <v>Error?</v>
      </c>
    </row>
    <row r="3589" spans="1:4" x14ac:dyDescent="0.2">
      <c r="A3589" s="5">
        <v>3528</v>
      </c>
      <c r="B3589" s="138">
        <f>'Acct Summary 7-8'!K79</f>
        <v>422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424</v>
      </c>
      <c r="D3632" s="2" t="str">
        <f t="shared" si="55"/>
        <v>Error?</v>
      </c>
    </row>
    <row r="3633" spans="1:4" x14ac:dyDescent="0.2">
      <c r="A3633" s="5">
        <v>3572</v>
      </c>
      <c r="B3633" s="138">
        <f>'Expenditures 15-22'!E350</f>
        <v>424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424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424</v>
      </c>
      <c r="C3669" s="2" t="s">
        <v>573</v>
      </c>
      <c r="D3669" s="2" t="str">
        <f t="shared" si="56"/>
        <v>Error?</v>
      </c>
    </row>
    <row r="3670" spans="1:4" x14ac:dyDescent="0.2">
      <c r="A3670" s="5">
        <v>3609</v>
      </c>
      <c r="B3670" s="138">
        <f>'Expenditures 15-22'!K350</f>
        <v>424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424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116758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708956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3202824</v>
      </c>
      <c r="C4122" s="2" t="s">
        <v>573</v>
      </c>
      <c r="D4122" s="2" t="str">
        <f t="shared" si="63"/>
        <v>Error?</v>
      </c>
    </row>
    <row r="4123" spans="1:4" x14ac:dyDescent="0.2">
      <c r="A4123" s="5">
        <v>4062</v>
      </c>
      <c r="B4123" s="138">
        <f>'Acct Summary 7-8'!D10</f>
        <v>118334</v>
      </c>
      <c r="C4123" s="2" t="s">
        <v>573</v>
      </c>
      <c r="D4123" s="2" t="str">
        <f t="shared" si="63"/>
        <v>Error?</v>
      </c>
    </row>
    <row r="4124" spans="1:4" x14ac:dyDescent="0.2">
      <c r="A4124" s="5">
        <v>4063</v>
      </c>
      <c r="B4124" s="138">
        <f>'Acct Summary 7-8'!E10</f>
        <v>76544</v>
      </c>
      <c r="C4124" s="2" t="s">
        <v>573</v>
      </c>
      <c r="D4124" s="2" t="str">
        <f t="shared" si="63"/>
        <v>Error?</v>
      </c>
    </row>
    <row r="4125" spans="1:4" x14ac:dyDescent="0.2">
      <c r="A4125" s="5">
        <v>4064</v>
      </c>
      <c r="B4125" s="138">
        <f>'Acct Summary 7-8'!F10</f>
        <v>72626</v>
      </c>
      <c r="C4125" s="2" t="s">
        <v>573</v>
      </c>
      <c r="D4125" s="2" t="str">
        <f t="shared" si="63"/>
        <v>Error?</v>
      </c>
    </row>
    <row r="4126" spans="1:4" x14ac:dyDescent="0.2">
      <c r="A4126" s="5">
        <v>4065</v>
      </c>
      <c r="B4126" s="138">
        <f>'Acct Summary 7-8'!G10</f>
        <v>95303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1940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v>
      </c>
      <c r="C4130" s="2" t="s">
        <v>573</v>
      </c>
      <c r="D4130" s="2" t="str">
        <f t="shared" si="63"/>
        <v>Error?</v>
      </c>
    </row>
    <row r="4131" spans="1:4" x14ac:dyDescent="0.2">
      <c r="A4131" s="5">
        <v>4070</v>
      </c>
      <c r="B4131" s="138">
        <f>'Acct Summary 7-8'!C18</f>
        <v>708956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2946136</v>
      </c>
      <c r="C4136" s="2" t="s">
        <v>573</v>
      </c>
      <c r="D4136" s="2" t="str">
        <f t="shared" si="63"/>
        <v>Error?</v>
      </c>
    </row>
    <row r="4137" spans="1:4" x14ac:dyDescent="0.2">
      <c r="A4137" s="5">
        <v>4076</v>
      </c>
      <c r="B4137" s="138">
        <f>'Acct Summary 7-8'!D19</f>
        <v>201771</v>
      </c>
      <c r="C4137" s="2" t="s">
        <v>573</v>
      </c>
      <c r="D4137" s="2" t="str">
        <f t="shared" si="63"/>
        <v>Error?</v>
      </c>
    </row>
    <row r="4138" spans="1:4" x14ac:dyDescent="0.2">
      <c r="A4138" s="5">
        <v>4077</v>
      </c>
      <c r="B4138" s="138">
        <f>'Acct Summary 7-8'!E19</f>
        <v>91457</v>
      </c>
      <c r="C4138" s="2" t="s">
        <v>573</v>
      </c>
      <c r="D4138" s="2" t="str">
        <f t="shared" si="63"/>
        <v>Error?</v>
      </c>
    </row>
    <row r="4139" spans="1:4" x14ac:dyDescent="0.2">
      <c r="A4139" s="5">
        <v>4078</v>
      </c>
      <c r="B4139" s="138">
        <f>'Acct Summary 7-8'!F19</f>
        <v>62875</v>
      </c>
      <c r="C4139" s="2" t="s">
        <v>573</v>
      </c>
      <c r="D4139" s="2" t="str">
        <f t="shared" si="63"/>
        <v>Error?</v>
      </c>
    </row>
    <row r="4140" spans="1:4" x14ac:dyDescent="0.2">
      <c r="A4140" s="5">
        <v>4079</v>
      </c>
      <c r="B4140" s="138">
        <f>'Acct Summary 7-8'!G19</f>
        <v>89686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424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317000</v>
      </c>
      <c r="C4171" s="2" t="s">
        <v>573</v>
      </c>
      <c r="D4171" s="2" t="str">
        <f t="shared" si="64"/>
        <v>Error?</v>
      </c>
    </row>
    <row r="4172" spans="1:4" x14ac:dyDescent="0.2">
      <c r="A4172" s="5">
        <v>4111</v>
      </c>
      <c r="B4172" s="138">
        <f>'Short-Term Long-Term Debt 24'!J49</f>
        <v>234392</v>
      </c>
      <c r="C4172" s="2" t="s">
        <v>573</v>
      </c>
      <c r="D4172" s="2" t="str">
        <f t="shared" si="64"/>
        <v>Error?</v>
      </c>
    </row>
    <row r="4173" spans="1:4" x14ac:dyDescent="0.2">
      <c r="A4173" s="5">
        <v>4112</v>
      </c>
      <c r="B4173" s="138">
        <f>'Short-Term Long-Term Debt 24'!H49</f>
        <v>70000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1006.1999999999999</v>
      </c>
      <c r="C4265" s="2" t="s">
        <v>573</v>
      </c>
      <c r="D4265" s="2" t="str">
        <f t="shared" si="65"/>
        <v>Error?</v>
      </c>
      <c r="E4265" s="128"/>
    </row>
    <row r="4266" spans="1:5" x14ac:dyDescent="0.2">
      <c r="A4266" s="12">
        <v>4205</v>
      </c>
      <c r="B4266" s="138">
        <f>('FP Info 3'!F10)*100000</f>
        <v>160.73999999999998</v>
      </c>
      <c r="C4266" s="2" t="s">
        <v>573</v>
      </c>
      <c r="D4266" s="2" t="str">
        <f t="shared" si="65"/>
        <v>Error?</v>
      </c>
      <c r="E4266" s="128"/>
    </row>
    <row r="4267" spans="1:5" x14ac:dyDescent="0.2">
      <c r="A4267" s="12">
        <v>4206</v>
      </c>
      <c r="B4267" s="138">
        <f>('FP Info 3'!H10)*100000</f>
        <v>105.75</v>
      </c>
      <c r="C4267" s="2" t="s">
        <v>573</v>
      </c>
      <c r="D4267" s="2" t="str">
        <f t="shared" si="65"/>
        <v>Error?</v>
      </c>
      <c r="E4267" s="128"/>
    </row>
    <row r="4268" spans="1:5" x14ac:dyDescent="0.2">
      <c r="A4268" s="12">
        <v>4207</v>
      </c>
      <c r="B4268" s="138">
        <f>('FP Info 3'!J10)*100000</f>
        <v>1273</v>
      </c>
      <c r="C4268" s="2" t="s">
        <v>573</v>
      </c>
      <c r="D4268" s="2" t="str">
        <f t="shared" si="65"/>
        <v>Error?</v>
      </c>
    </row>
    <row r="4269" spans="1:5" x14ac:dyDescent="0.2">
      <c r="A4269" s="12">
        <v>4208</v>
      </c>
      <c r="B4269" s="138">
        <f>'FP Info 3'!J16</f>
        <v>886508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5414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8792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6810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22625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17222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18873401</v>
      </c>
      <c r="D4995" s="2" t="str">
        <f t="shared" si="77"/>
        <v>Error?</v>
      </c>
    </row>
    <row r="4996" spans="1:4" x14ac:dyDescent="0.2">
      <c r="A4996" s="12">
        <v>4935</v>
      </c>
      <c r="B4996" s="138">
        <f>'FP Info 3'!H31</f>
        <v>1302264.669</v>
      </c>
      <c r="D4996" s="2" t="str">
        <f t="shared" si="77"/>
        <v>Error?</v>
      </c>
    </row>
    <row r="4997" spans="1:4" x14ac:dyDescent="0.2">
      <c r="A4997" s="12">
        <v>4936</v>
      </c>
      <c r="B4997" s="138">
        <f>'FP Info 3'!H37</f>
        <v>317000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199364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199364</v>
      </c>
      <c r="C5066" s="2" t="s">
        <v>573</v>
      </c>
      <c r="D5066" s="2" t="str">
        <f t="shared" si="78"/>
        <v>Error?</v>
      </c>
    </row>
    <row r="5067" spans="1:4" x14ac:dyDescent="0.2">
      <c r="A5067" s="5">
        <v>5006</v>
      </c>
      <c r="B5067" s="138">
        <f>'Revenues 9-14'!C14</f>
        <v>2914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28782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31696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9040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9040</v>
      </c>
      <c r="C5087" s="2" t="s">
        <v>573</v>
      </c>
      <c r="D5087" s="2" t="str">
        <f t="shared" si="78"/>
        <v>Error?</v>
      </c>
    </row>
    <row r="5088" spans="1:4" x14ac:dyDescent="0.2">
      <c r="A5088" s="5">
        <v>5027</v>
      </c>
      <c r="B5088" s="138">
        <f>'Revenues 9-14'!C65</f>
        <v>4217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4217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1901</v>
      </c>
      <c r="D5094" s="2" t="str">
        <f t="shared" si="78"/>
        <v>Error?</v>
      </c>
    </row>
    <row r="5095" spans="1:4" x14ac:dyDescent="0.2">
      <c r="A5095" s="5">
        <v>5034</v>
      </c>
      <c r="B5095" s="138">
        <f>'Revenues 9-14'!C74</f>
        <v>31217</v>
      </c>
      <c r="D5095" s="2" t="str">
        <f t="shared" si="78"/>
        <v>Error?</v>
      </c>
    </row>
    <row r="5096" spans="1:4" x14ac:dyDescent="0.2">
      <c r="A5096" s="5">
        <v>5035</v>
      </c>
      <c r="B5096" s="138">
        <f>'Revenues 9-14'!C75</f>
        <v>34095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3146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3146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26252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21052</v>
      </c>
      <c r="D5119" s="2" t="str">
        <f t="shared" ref="D5119:D5182" si="79">IF(ISBLANK(B5119),"OK",IF(A5119-B5119=0,"OK","Error?"))</f>
        <v>Error?</v>
      </c>
    </row>
    <row r="5120" spans="1:4" x14ac:dyDescent="0.2">
      <c r="A5120" s="5">
        <v>5059</v>
      </c>
      <c r="B5120" s="138">
        <f>'Revenues 9-14'!C108</f>
        <v>55772</v>
      </c>
      <c r="C5120" s="2" t="s">
        <v>573</v>
      </c>
      <c r="D5120" s="2" t="str">
        <f t="shared" si="79"/>
        <v>Error?</v>
      </c>
    </row>
    <row r="5121" spans="1:4" x14ac:dyDescent="0.2">
      <c r="A5121" s="5">
        <v>5060</v>
      </c>
      <c r="B5121" s="138">
        <f>'Revenues 9-14'!C109</f>
        <v>337330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1720830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1720830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16152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16152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4861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38235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1759065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6810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158140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65837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239255</v>
      </c>
      <c r="C5246" s="2" t="s">
        <v>573</v>
      </c>
      <c r="D5246" s="2" t="str">
        <f t="shared" si="80"/>
        <v>Error?</v>
      </c>
    </row>
    <row r="5247" spans="1:4" x14ac:dyDescent="0.2">
      <c r="A5247" s="5">
        <v>5186</v>
      </c>
      <c r="B5247" s="138">
        <f>'Revenues 9-14'!C200</f>
        <v>88986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88986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3750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15967</v>
      </c>
      <c r="D5278" s="2" t="str">
        <f t="shared" si="81"/>
        <v>Error?</v>
      </c>
    </row>
    <row r="5279" spans="1:4" x14ac:dyDescent="0.2">
      <c r="A5279" s="5">
        <v>5218</v>
      </c>
      <c r="B5279" s="138">
        <f>'Revenues 9-14'!C214</f>
        <v>5874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25591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397473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397473</v>
      </c>
      <c r="C5326" s="2" t="s">
        <v>573</v>
      </c>
      <c r="D5326" s="2" t="str">
        <f t="shared" si="82"/>
        <v>Error?</v>
      </c>
    </row>
    <row r="5327" spans="1:5" x14ac:dyDescent="0.2">
      <c r="A5327" s="5">
        <v>5266</v>
      </c>
      <c r="B5327" s="138">
        <f>'Revenues 9-14'!C268</f>
        <v>2493868</v>
      </c>
      <c r="C5327" s="2" t="s">
        <v>573</v>
      </c>
      <c r="D5327" s="2" t="str">
        <f t="shared" si="82"/>
        <v>Error?</v>
      </c>
    </row>
    <row r="5328" spans="1:5" x14ac:dyDescent="0.2">
      <c r="A5328" s="5">
        <v>5267</v>
      </c>
      <c r="B5328" s="138">
        <f>'Revenues 9-14'!D5</f>
        <v>29113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29113</v>
      </c>
      <c r="C5334" s="2" t="s">
        <v>573</v>
      </c>
      <c r="D5334" s="2" t="str">
        <f t="shared" si="82"/>
        <v>Error?</v>
      </c>
    </row>
    <row r="5335" spans="1:4" x14ac:dyDescent="0.2">
      <c r="A5335" s="5">
        <v>5274</v>
      </c>
      <c r="B5335" s="138">
        <f>'Revenues 9-14'!D14</f>
        <v>425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425</v>
      </c>
      <c r="C5339" s="2" t="s">
        <v>573</v>
      </c>
      <c r="D5339" s="2" t="str">
        <f t="shared" si="82"/>
        <v>Error?</v>
      </c>
    </row>
    <row r="5340" spans="1:4" x14ac:dyDescent="0.2">
      <c r="A5340" s="5">
        <v>5279</v>
      </c>
      <c r="B5340" s="138">
        <f>'Revenues 9-14'!D65</f>
        <v>203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8593</v>
      </c>
      <c r="D5354" s="2" t="str">
        <f t="shared" si="82"/>
        <v>Error?</v>
      </c>
    </row>
    <row r="5355" spans="1:4" x14ac:dyDescent="0.2">
      <c r="A5355" s="5">
        <v>5294</v>
      </c>
      <c r="B5355" s="138">
        <f>'Revenues 9-14'!D108</f>
        <v>8593</v>
      </c>
      <c r="C5355" s="2" t="s">
        <v>573</v>
      </c>
      <c r="D5355" s="2" t="str">
        <f t="shared" si="82"/>
        <v>Error?</v>
      </c>
    </row>
    <row r="5356" spans="1:4" x14ac:dyDescent="0.2">
      <c r="A5356" s="5">
        <v>5295</v>
      </c>
      <c r="B5356" s="138">
        <f>'Revenues 9-14'!D109</f>
        <v>38334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118334</v>
      </c>
      <c r="C5508" s="2" t="s">
        <v>573</v>
      </c>
      <c r="D5508" s="2" t="str">
        <f t="shared" si="85"/>
        <v>Error?</v>
      </c>
    </row>
    <row r="5509" spans="1:4" x14ac:dyDescent="0.2">
      <c r="A5509" s="5">
        <v>5448</v>
      </c>
      <c r="B5509" s="138">
        <f>'Revenues 9-14'!E5</f>
        <v>74480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74480</v>
      </c>
      <c r="C5513" s="2" t="s">
        <v>573</v>
      </c>
      <c r="D5513" s="2" t="str">
        <f t="shared" si="85"/>
        <v>Error?</v>
      </c>
    </row>
    <row r="5514" spans="1:4" x14ac:dyDescent="0.2">
      <c r="A5514" s="5">
        <v>5453</v>
      </c>
      <c r="B5514" s="138">
        <f>'Revenues 9-14'!E14</f>
        <v>1089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1089</v>
      </c>
      <c r="C5518" s="2" t="s">
        <v>573</v>
      </c>
      <c r="D5518" s="2" t="str">
        <f t="shared" si="85"/>
        <v>Error?</v>
      </c>
    </row>
    <row r="5519" spans="1:4" x14ac:dyDescent="0.2">
      <c r="A5519" s="5">
        <v>5458</v>
      </c>
      <c r="B5519" s="138">
        <f>'Revenues 9-14'!E65</f>
        <v>975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76544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76544</v>
      </c>
      <c r="C5552" s="2" t="s">
        <v>573</v>
      </c>
      <c r="D5552" s="2" t="str">
        <f t="shared" si="85"/>
        <v>Error?</v>
      </c>
    </row>
    <row r="5553" spans="1:4" x14ac:dyDescent="0.2">
      <c r="A5553" s="5">
        <v>5492</v>
      </c>
      <c r="B5553" s="138">
        <f>'Revenues 9-14'!F5</f>
        <v>19154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19154</v>
      </c>
      <c r="C5557" s="2" t="s">
        <v>573</v>
      </c>
      <c r="D5557" s="2" t="str">
        <f t="shared" si="85"/>
        <v>Error?</v>
      </c>
    </row>
    <row r="5558" spans="1:4" x14ac:dyDescent="0.2">
      <c r="A5558" s="5">
        <v>5497</v>
      </c>
      <c r="B5558" s="138">
        <f>'Revenues 9-14'!F14</f>
        <v>280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280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1329</v>
      </c>
      <c r="D5586" s="2" t="str">
        <f t="shared" si="86"/>
        <v>Error?</v>
      </c>
    </row>
    <row r="5587" spans="1:4" x14ac:dyDescent="0.2">
      <c r="A5587" s="5">
        <v>5526</v>
      </c>
      <c r="B5587" s="138">
        <f>'Revenues 9-14'!F108</f>
        <v>1329</v>
      </c>
      <c r="C5587" s="2" t="s">
        <v>573</v>
      </c>
      <c r="D5587" s="2" t="str">
        <f t="shared" si="86"/>
        <v>Error?</v>
      </c>
    </row>
    <row r="5588" spans="1:4" x14ac:dyDescent="0.2">
      <c r="A5588" s="5">
        <v>5527</v>
      </c>
      <c r="B5588" s="138">
        <f>'Revenues 9-14'!F109</f>
        <v>21219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25000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18874</v>
      </c>
      <c r="D5615" s="2" t="str">
        <f t="shared" si="86"/>
        <v>Error?</v>
      </c>
    </row>
    <row r="5616" spans="1:4" x14ac:dyDescent="0.2">
      <c r="A5616" s="10">
        <v>5555</v>
      </c>
      <c r="D5616" s="2" t="str">
        <f t="shared" si="86"/>
        <v>OK</v>
      </c>
    </row>
    <row r="5617" spans="1:5" x14ac:dyDescent="0.2">
      <c r="A5617" s="5">
        <v>5556</v>
      </c>
      <c r="B5617" s="138">
        <f>'Revenues 9-14'!F153</f>
        <v>7533</v>
      </c>
      <c r="D5617" s="2" t="str">
        <f t="shared" si="86"/>
        <v>Error?</v>
      </c>
    </row>
    <row r="5618" spans="1:5" x14ac:dyDescent="0.2">
      <c r="A5618" s="5">
        <v>5557</v>
      </c>
      <c r="B5618" s="138">
        <f>'Revenues 9-14'!F155</f>
        <v>26407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26407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51407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72626</v>
      </c>
      <c r="C5720" s="2" t="s">
        <v>573</v>
      </c>
      <c r="D5720" s="2" t="str">
        <f t="shared" si="88"/>
        <v>Error?</v>
      </c>
    </row>
    <row r="5721" spans="1:4" x14ac:dyDescent="0.2">
      <c r="A5721" s="5">
        <v>5660</v>
      </c>
      <c r="B5721" s="138">
        <f>'Revenues 9-14'!G5</f>
        <v>39493</v>
      </c>
      <c r="D5721" s="2" t="str">
        <f t="shared" si="88"/>
        <v>Error?</v>
      </c>
    </row>
    <row r="5722" spans="1:4" x14ac:dyDescent="0.2">
      <c r="A5722" s="5">
        <v>5661</v>
      </c>
      <c r="B5722" s="138">
        <f>'Revenues 9-14'!G7</f>
        <v>0</v>
      </c>
      <c r="D5722" s="2" t="str">
        <f t="shared" si="88"/>
        <v>Error?</v>
      </c>
    </row>
    <row r="5723" spans="1:4" x14ac:dyDescent="0.2">
      <c r="A5723" s="5">
        <v>5662</v>
      </c>
      <c r="B5723" s="138">
        <f>'Revenues 9-14'!G8</f>
        <v>23665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63158</v>
      </c>
      <c r="C5725" s="2" t="s">
        <v>573</v>
      </c>
      <c r="D5725" s="2" t="str">
        <f t="shared" si="88"/>
        <v>Error?</v>
      </c>
    </row>
    <row r="5726" spans="1:4" x14ac:dyDescent="0.2">
      <c r="A5726" s="5">
        <v>5665</v>
      </c>
      <c r="B5726" s="138">
        <f>'Revenues 9-14'!G14</f>
        <v>923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15923</v>
      </c>
      <c r="C5730" s="2" t="s">
        <v>573</v>
      </c>
      <c r="D5730" s="2" t="str">
        <f t="shared" si="88"/>
        <v>Error?</v>
      </c>
    </row>
    <row r="5731" spans="1:4" x14ac:dyDescent="0.2">
      <c r="A5731" s="5">
        <v>5670</v>
      </c>
      <c r="B5731" s="138">
        <f>'Revenues 9-14'!G65</f>
        <v>472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15000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15000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15000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750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750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750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750</v>
      </c>
      <c r="C5869" s="2" t="s">
        <v>573</v>
      </c>
      <c r="D5869" s="2" t="str">
        <f t="shared" si="90"/>
        <v>Error?</v>
      </c>
    </row>
    <row r="5870" spans="1:4" x14ac:dyDescent="0.2">
      <c r="A5870" s="5">
        <v>5809</v>
      </c>
      <c r="B5870" s="138">
        <f>'Revenues 9-14'!G268</f>
        <v>95303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1940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1940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1940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v>
      </c>
      <c r="C6023" s="2" t="s">
        <v>573</v>
      </c>
      <c r="D6023" s="2" t="str">
        <f t="shared" si="93"/>
        <v>Error?</v>
      </c>
    </row>
    <row r="6024" spans="1:5" x14ac:dyDescent="0.2">
      <c r="A6024" s="5">
        <v>5963</v>
      </c>
      <c r="B6024" s="138">
        <f>'Revenues 9-14'!G109</f>
        <v>79553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1940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977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13256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322.39999999999998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v>
      </c>
      <c r="D6215" s="2" t="str">
        <f t="shared" si="96"/>
        <v>Error?</v>
      </c>
      <c r="E6215" s="2" t="s">
        <v>190</v>
      </c>
    </row>
    <row r="6216" spans="1:5" x14ac:dyDescent="0.2">
      <c r="A6216">
        <v>6155</v>
      </c>
      <c r="B6216" s="138">
        <f>'Assets-Liab 5-6'!J41</f>
        <v>1</v>
      </c>
      <c r="D6216" s="2" t="str">
        <f t="shared" si="96"/>
        <v>Error?</v>
      </c>
      <c r="E6216" s="2" t="s">
        <v>190</v>
      </c>
    </row>
    <row r="6217" spans="1:5" x14ac:dyDescent="0.2">
      <c r="A6217">
        <v>6156</v>
      </c>
      <c r="B6217" s="138">
        <f>'Assets-Liab 5-6'!J4</f>
        <v>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12329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12329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12329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13712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13712</v>
      </c>
      <c r="D6229" s="2" t="str">
        <f t="shared" si="96"/>
        <v>Error?</v>
      </c>
      <c r="E6229" s="2" t="s">
        <v>190</v>
      </c>
    </row>
    <row r="6230" spans="1:5" x14ac:dyDescent="0.2">
      <c r="A6230">
        <v>6169</v>
      </c>
      <c r="B6230" s="138">
        <f>'Acct Summary 7-8'!J20</f>
        <v>-1383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-1383</v>
      </c>
      <c r="D6263" s="2" t="str">
        <f t="shared" si="96"/>
        <v>Error?</v>
      </c>
      <c r="E6263" s="2" t="s">
        <v>190</v>
      </c>
    </row>
    <row r="6264" spans="1:5" x14ac:dyDescent="0.2">
      <c r="A6264">
        <v>6203</v>
      </c>
      <c r="B6264" s="138">
        <f>'Acct Summary 7-8'!J79</f>
        <v>1384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v>
      </c>
      <c r="D6266" s="2" t="str">
        <f t="shared" si="96"/>
        <v>Error?</v>
      </c>
      <c r="E6266" s="2" t="s">
        <v>190</v>
      </c>
    </row>
    <row r="6267" spans="1:5" x14ac:dyDescent="0.2">
      <c r="A6267">
        <v>6206</v>
      </c>
      <c r="B6267" s="138">
        <f>'Acct Summary 7-8'!C82</f>
        <v>256688</v>
      </c>
      <c r="D6267" s="2" t="str">
        <f t="shared" si="96"/>
        <v>Error?</v>
      </c>
      <c r="E6267" s="2" t="s">
        <v>190</v>
      </c>
    </row>
    <row r="6268" spans="1:5" x14ac:dyDescent="0.2">
      <c r="A6268">
        <v>6207</v>
      </c>
      <c r="B6268" s="138">
        <f>'Acct Summary 7-8'!D82</f>
        <v>41563</v>
      </c>
      <c r="D6268" s="2" t="str">
        <f t="shared" si="96"/>
        <v>Error?</v>
      </c>
      <c r="E6268" s="2" t="s">
        <v>190</v>
      </c>
    </row>
    <row r="6269" spans="1:5" x14ac:dyDescent="0.2">
      <c r="A6269">
        <v>6208</v>
      </c>
      <c r="B6269" s="138">
        <f>'Acct Summary 7-8'!E82</f>
        <v>-14913</v>
      </c>
      <c r="D6269" s="2" t="str">
        <f t="shared" si="96"/>
        <v>Error?</v>
      </c>
      <c r="E6269" s="2" t="s">
        <v>190</v>
      </c>
    </row>
    <row r="6270" spans="1:5" x14ac:dyDescent="0.2">
      <c r="A6270">
        <v>6209</v>
      </c>
      <c r="B6270" s="138">
        <f>'Acct Summary 7-8'!F82</f>
        <v>9751</v>
      </c>
      <c r="D6270" s="2" t="str">
        <f t="shared" si="96"/>
        <v>Error?</v>
      </c>
      <c r="E6270" s="2" t="s">
        <v>190</v>
      </c>
    </row>
    <row r="6271" spans="1:5" x14ac:dyDescent="0.2">
      <c r="A6271">
        <v>6210</v>
      </c>
      <c r="B6271" s="138">
        <f>'Acct Summary 7-8'!G82</f>
        <v>5617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-123060</v>
      </c>
      <c r="D6273" s="2" t="str">
        <f t="shared" si="97"/>
        <v>Error?</v>
      </c>
      <c r="E6273" s="2" t="s">
        <v>190</v>
      </c>
    </row>
    <row r="6274" spans="1:5" x14ac:dyDescent="0.2">
      <c r="A6274">
        <v>6213</v>
      </c>
      <c r="B6274" s="138">
        <f>'Acct Summary 7-8'!J82</f>
        <v>-1383</v>
      </c>
      <c r="D6274" s="2" t="str">
        <f t="shared" si="97"/>
        <v>Error?</v>
      </c>
      <c r="E6274" s="2" t="s">
        <v>190</v>
      </c>
    </row>
    <row r="6275" spans="1:5" x14ac:dyDescent="0.2">
      <c r="A6275">
        <v>6214</v>
      </c>
      <c r="B6275" s="138">
        <f>'Acct Summary 7-8'!K82</f>
        <v>-422</v>
      </c>
      <c r="D6275" s="2" t="str">
        <f t="shared" si="97"/>
        <v>Error?</v>
      </c>
      <c r="E6275" s="2" t="s">
        <v>190</v>
      </c>
    </row>
    <row r="6276" spans="1:5" x14ac:dyDescent="0.2">
      <c r="A6276">
        <v>6215</v>
      </c>
      <c r="B6276" s="138">
        <f>'Acct Summary 7-8'!C83</f>
        <v>0.39512345298934792</v>
      </c>
      <c r="D6276" s="2" t="str">
        <f t="shared" si="97"/>
        <v>Error?</v>
      </c>
      <c r="E6276" s="2" t="s">
        <v>190</v>
      </c>
    </row>
    <row r="6277" spans="1:5" x14ac:dyDescent="0.2">
      <c r="A6277">
        <v>6216</v>
      </c>
      <c r="B6277" s="138">
        <f>'Acct Summary 7-8'!D83</f>
        <v>0.3630717355602921</v>
      </c>
      <c r="D6277" s="2" t="str">
        <f t="shared" si="97"/>
        <v>Error?</v>
      </c>
      <c r="E6277" s="2" t="s">
        <v>190</v>
      </c>
    </row>
    <row r="6278" spans="1:5" x14ac:dyDescent="0.2">
      <c r="A6278">
        <v>6217</v>
      </c>
      <c r="B6278" s="138">
        <f>'Acct Summary 7-8'!E83</f>
        <v>-0.18052730970366065</v>
      </c>
      <c r="D6278" s="2" t="str">
        <f t="shared" si="97"/>
        <v>Error?</v>
      </c>
      <c r="E6278" s="2" t="s">
        <v>190</v>
      </c>
    </row>
    <row r="6279" spans="1:5" x14ac:dyDescent="0.2">
      <c r="A6279">
        <v>6218</v>
      </c>
      <c r="B6279" s="138">
        <f>'Acct Summary 7-8'!F83</f>
        <v>0.26137186050875172</v>
      </c>
      <c r="D6279" s="2" t="str">
        <f t="shared" si="97"/>
        <v>Error?</v>
      </c>
      <c r="E6279" s="2" t="s">
        <v>190</v>
      </c>
    </row>
    <row r="6280" spans="1:5" x14ac:dyDescent="0.2">
      <c r="A6280">
        <v>6219</v>
      </c>
      <c r="B6280" s="138">
        <f>'Acct Summary 7-8'!G83</f>
        <v>0.23253022023513828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-1.4463183874948582</v>
      </c>
      <c r="D6282" s="2" t="str">
        <f t="shared" si="97"/>
        <v>Error?</v>
      </c>
      <c r="E6282" s="2" t="s">
        <v>190</v>
      </c>
    </row>
    <row r="6283" spans="1:5" x14ac:dyDescent="0.2">
      <c r="A6283">
        <v>6222</v>
      </c>
      <c r="B6283" s="138">
        <f>'Acct Summary 7-8'!J83</f>
        <v>-1383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12108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12108</v>
      </c>
      <c r="D6301" s="2" t="str">
        <f t="shared" si="97"/>
        <v>Error?</v>
      </c>
      <c r="E6301" s="2" t="s">
        <v>190</v>
      </c>
    </row>
    <row r="6302" spans="1:5" x14ac:dyDescent="0.2">
      <c r="A6302">
        <v>6241</v>
      </c>
      <c r="B6302" s="138">
        <f>'Revenues 9-14'!J14</f>
        <v>177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177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12329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112574</v>
      </c>
      <c r="D6983" s="2" t="str">
        <f t="shared" si="108"/>
        <v>Error?</v>
      </c>
    </row>
    <row r="6984" spans="1:4" x14ac:dyDescent="0.2">
      <c r="A6984">
        <v>6923</v>
      </c>
      <c r="B6984" s="138">
        <f>'Expenditures 15-22'!K86</f>
        <v>112574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112574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13712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12329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13712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13712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13712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13712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13712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13712</v>
      </c>
      <c r="D7224" s="2" t="str">
        <f t="shared" si="111"/>
        <v>Error?</v>
      </c>
    </row>
    <row r="7225" spans="1:4" x14ac:dyDescent="0.2">
      <c r="A7225">
        <v>7164</v>
      </c>
      <c r="B7225" s="138">
        <f>'Expenditures 15-22'!K343</f>
        <v>-1383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3147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3147</v>
      </c>
      <c r="D7618" s="2" t="str">
        <f t="shared" si="124"/>
        <v>Error?</v>
      </c>
      <c r="E7618" s="2" t="s">
        <v>19</v>
      </c>
    </row>
    <row r="7619" spans="1:5" x14ac:dyDescent="0.2">
      <c r="A7619">
        <f t="shared" si="123"/>
        <v>7558</v>
      </c>
      <c r="B7619" s="138">
        <f>'Cap Outlay Deprec 26'!H14</f>
        <v>3147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3147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132497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15278</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125000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7705</v>
      </c>
      <c r="D7797" s="2" t="str">
        <f t="shared" si="127"/>
        <v>Error?</v>
      </c>
      <c r="E7797" s="4" t="s">
        <v>1903</v>
      </c>
    </row>
    <row r="7798" spans="1:5" x14ac:dyDescent="0.2">
      <c r="A7798">
        <v>7737</v>
      </c>
      <c r="B7798" s="138">
        <f>'Contracts Paid in CY 29'!F37</f>
        <v>7705</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1987</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Central City SD 133</v>
      </c>
      <c r="B7" s="2384"/>
      <c r="C7" s="2384"/>
      <c r="D7" s="2421"/>
      <c r="E7" s="2422">
        <f>COVER!A13</f>
        <v>13058133002</v>
      </c>
      <c r="F7" s="2423"/>
      <c r="G7" s="2390" t="str">
        <f>COVER!T23</f>
        <v>066-004957</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SUSAN J. LYONS, CPA, P.C.</v>
      </c>
      <c r="H9" s="2397"/>
      <c r="I9" s="2397"/>
      <c r="J9" s="2397"/>
      <c r="K9" s="2397"/>
      <c r="L9" s="2398"/>
    </row>
    <row r="10" spans="1:29" ht="13.5" customHeight="1" x14ac:dyDescent="0.2">
      <c r="A10" s="2380" t="str">
        <f>COVER!A38</f>
        <v>TIM BRANON</v>
      </c>
      <c r="B10" s="2381"/>
      <c r="C10" s="2381"/>
      <c r="D10" s="2381"/>
      <c r="E10" s="2381"/>
      <c r="F10" s="2382"/>
      <c r="G10" s="2396" t="str">
        <f>COVER!T17</f>
        <v>5859 U.S. HIGHWAY 51</v>
      </c>
      <c r="H10" s="2409"/>
      <c r="I10" s="2409"/>
      <c r="J10" s="2409"/>
      <c r="K10" s="2409"/>
      <c r="L10" s="2410"/>
    </row>
    <row r="11" spans="1:29" ht="13.5" customHeight="1" x14ac:dyDescent="0.2">
      <c r="A11" s="1184" t="s">
        <v>1519</v>
      </c>
      <c r="B11" s="1185"/>
      <c r="C11" s="1186"/>
      <c r="D11" s="1191"/>
      <c r="E11" s="1186"/>
      <c r="F11" s="1190"/>
      <c r="G11" s="2396" t="str">
        <f>COVER!T19</f>
        <v>ODIN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slyons1007@gmail.com</v>
      </c>
      <c r="J13" s="2418"/>
      <c r="K13" s="2418"/>
      <c r="L13" s="2419"/>
    </row>
    <row r="14" spans="1:29" ht="13.5" customHeight="1" x14ac:dyDescent="0.2">
      <c r="A14" s="2396" t="str">
        <f>COVER!A19</f>
        <v>129 N. DOUGLAS</v>
      </c>
      <c r="B14" s="2409"/>
      <c r="C14" s="2409"/>
      <c r="D14" s="2409"/>
      <c r="E14" s="2409"/>
      <c r="F14" s="2410"/>
      <c r="G14" s="1195" t="s">
        <v>1185</v>
      </c>
      <c r="H14" s="1193"/>
      <c r="I14" s="1193"/>
      <c r="J14" s="1193"/>
      <c r="K14" s="1193"/>
      <c r="L14" s="1194"/>
    </row>
    <row r="15" spans="1:29" ht="13.5" customHeight="1" x14ac:dyDescent="0.2">
      <c r="A15" s="2396" t="str">
        <f>COVER!A21</f>
        <v>CENTRALIA</v>
      </c>
      <c r="B15" s="2409"/>
      <c r="C15" s="2409"/>
      <c r="D15" s="2409"/>
      <c r="E15" s="2409"/>
      <c r="F15" s="2410"/>
      <c r="G15" s="2406" t="str">
        <f>COVER!T15</f>
        <v>SUSAN J. LYONS</v>
      </c>
      <c r="H15" s="2407"/>
      <c r="I15" s="2407"/>
      <c r="J15" s="2407"/>
      <c r="K15" s="2407"/>
      <c r="L15" s="2408"/>
    </row>
    <row r="16" spans="1:29" ht="12.2" customHeight="1" x14ac:dyDescent="0.2">
      <c r="A16" s="2386">
        <f>COVER!A25</f>
        <v>62801</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618-267-3213</v>
      </c>
      <c r="H18" s="2384"/>
      <c r="I18" s="2384"/>
      <c r="J18" s="2384"/>
      <c r="K18" s="2383" t="str">
        <f>COVER!X21</f>
        <v>618-247-3208</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Central City SD 133</v>
      </c>
      <c r="B1" s="2420"/>
      <c r="C1" s="2420"/>
      <c r="D1" s="2420"/>
    </row>
    <row r="2" spans="1:11" s="1212" customFormat="1" ht="12.75" x14ac:dyDescent="0.2">
      <c r="A2" s="2425">
        <f>'Single Audit Cover'!E7</f>
        <v>13058133002</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Central City SD 133</v>
      </c>
      <c r="B1" s="2428"/>
      <c r="C1" s="2428"/>
      <c r="D1" s="2428"/>
      <c r="E1" s="2428"/>
    </row>
    <row r="2" spans="1:5" x14ac:dyDescent="0.2">
      <c r="A2" s="2429">
        <f>'Single Audit Cover'!E7</f>
        <v>13058133002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398223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13256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-8792</v>
      </c>
    </row>
    <row r="19" spans="1:4" ht="13.5" thickBot="1" x14ac:dyDescent="0.25">
      <c r="A19" s="1262" t="s">
        <v>1235</v>
      </c>
      <c r="D19" s="1263">
        <f>SUM(D10:D17)</f>
        <v>402687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402687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402687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Central City SD 133</v>
      </c>
      <c r="C1" s="2432"/>
      <c r="D1" s="2432"/>
      <c r="E1" s="2432"/>
      <c r="F1" s="2432"/>
      <c r="G1" s="2432"/>
      <c r="H1" s="2432"/>
      <c r="I1" s="2432"/>
      <c r="J1" s="2432"/>
      <c r="K1" s="2432"/>
      <c r="L1" s="2432"/>
      <c r="M1" s="2432"/>
    </row>
    <row r="2" spans="2:14" ht="15" x14ac:dyDescent="0.2">
      <c r="B2" s="2433">
        <f>'Single Audit Cover'!E7</f>
        <v>13058133002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Central City SD 133</v>
      </c>
      <c r="B1" s="2437"/>
      <c r="C1" s="2437"/>
      <c r="D1" s="2437"/>
      <c r="E1" s="2437"/>
      <c r="F1" s="2437"/>
    </row>
    <row r="2" spans="1:7" ht="13.5" customHeight="1" x14ac:dyDescent="0.2">
      <c r="A2" s="2433">
        <f>'Single Audit Cover'!E7</f>
        <v>13058133002</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3" t="s">
        <v>1270</v>
      </c>
      <c r="D15" s="2441" t="s">
        <v>1269</v>
      </c>
      <c r="E15" s="2441"/>
      <c r="F15" s="2441"/>
    </row>
    <row r="16" spans="1:7" ht="13.5" customHeight="1" x14ac:dyDescent="0.2">
      <c r="A16" s="1279"/>
      <c r="B16" s="1273" t="s">
        <v>1268</v>
      </c>
      <c r="C16" s="1843"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45">
        <f>+C33+C34</f>
        <v>0</v>
      </c>
      <c r="F34" s="2446"/>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2"/>
      <c r="C50" s="1842"/>
      <c r="D50" s="1842"/>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2082</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2066</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2115</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Central City SD 133</v>
      </c>
      <c r="C1" s="2453"/>
      <c r="D1" s="2453"/>
      <c r="E1" s="2453"/>
      <c r="F1" s="2453"/>
      <c r="G1" s="2453"/>
      <c r="H1" s="2453"/>
      <c r="I1" s="2453"/>
      <c r="J1" s="1406"/>
    </row>
    <row r="2" spans="2:10" s="317" customFormat="1" ht="12.75" customHeight="1" x14ac:dyDescent="0.2">
      <c r="B2" s="2454">
        <f>'Single Audit Cover'!E7</f>
        <v>13058133002</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2062</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H54" sqref="H5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Central City SD 133</v>
      </c>
      <c r="C1" s="2452"/>
      <c r="D1" s="2452"/>
      <c r="E1" s="2452"/>
      <c r="F1" s="2452"/>
      <c r="G1" s="2452"/>
      <c r="H1" s="2452"/>
      <c r="I1" s="2452"/>
      <c r="J1" s="2452"/>
      <c r="K1" s="2452"/>
      <c r="L1" s="1371"/>
      <c r="M1" s="1371"/>
    </row>
    <row r="2" spans="1:13" ht="12" customHeight="1" x14ac:dyDescent="0.2">
      <c r="B2" s="2454">
        <f>'Single Audit Cover'!E7</f>
        <v>13058133002</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2075</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4" t="s">
        <v>2076</v>
      </c>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t="s">
        <v>2077</v>
      </c>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t="s">
        <v>2078</v>
      </c>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t="s">
        <v>2079</v>
      </c>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3" t="s">
        <v>2080</v>
      </c>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3" t="s">
        <v>2081</v>
      </c>
      <c r="C32" s="2473"/>
      <c r="D32" s="2474"/>
      <c r="E32" s="2474"/>
      <c r="F32" s="2474"/>
      <c r="G32" s="2474"/>
      <c r="H32" s="2474"/>
      <c r="I32" s="2474"/>
      <c r="J32" s="2474"/>
      <c r="K32" s="2474"/>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Central City SD 133</v>
      </c>
      <c r="C1" s="2452"/>
      <c r="D1" s="2452"/>
      <c r="E1" s="2452"/>
      <c r="F1" s="2452"/>
      <c r="G1" s="2452"/>
      <c r="H1" s="2452"/>
      <c r="I1" s="2452"/>
      <c r="J1" s="2452"/>
      <c r="K1" s="2452"/>
      <c r="L1" s="1371"/>
      <c r="M1" s="1371"/>
    </row>
    <row r="2" spans="1:13" ht="12" customHeight="1" x14ac:dyDescent="0.2">
      <c r="B2" s="2454">
        <f>'Single Audit Cover'!E7</f>
        <v>13058133002</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935"/>
      <c r="M3" s="1935"/>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Central City SD 133</v>
      </c>
      <c r="C1" s="2479"/>
      <c r="D1" s="2479"/>
      <c r="E1" s="2479"/>
      <c r="F1" s="2479"/>
      <c r="G1" s="2479"/>
      <c r="H1" s="2479"/>
      <c r="I1" s="2479"/>
      <c r="J1" s="2479"/>
      <c r="K1" s="2479"/>
      <c r="L1" s="1449"/>
    </row>
    <row r="2" spans="1:12" ht="12.75" customHeight="1" x14ac:dyDescent="0.2">
      <c r="B2" s="2480">
        <f>'Single Audit Cover'!E7</f>
        <v>13058133002</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Central City SD 133</v>
      </c>
      <c r="C1" s="2452"/>
      <c r="D1" s="2452"/>
      <c r="E1" s="1469"/>
    </row>
    <row r="2" spans="2:5" s="1279" customFormat="1" ht="12.75" customHeight="1" x14ac:dyDescent="0.2">
      <c r="B2" s="2454">
        <f>'Single Audit Cover'!E7</f>
        <v>13058133002</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18873401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1.0062E-2</v>
      </c>
      <c r="E10" s="356" t="s">
        <v>1005</v>
      </c>
      <c r="F10" s="355">
        <v>1.6073999999999999E-3</v>
      </c>
      <c r="G10" s="356" t="s">
        <v>1005</v>
      </c>
      <c r="H10" s="355">
        <v>1.0575000000000001E-3</v>
      </c>
      <c r="I10" s="356" t="s">
        <v>1006</v>
      </c>
      <c r="J10" s="1730">
        <f>ROUND(D10+F10+H10,5)</f>
        <v>1.273E-2</v>
      </c>
      <c r="K10" s="222"/>
      <c r="L10" s="355">
        <v>0</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2686768</v>
      </c>
      <c r="E16" s="356"/>
      <c r="F16" s="1731">
        <f>SUM('Acct Summary 7-8'!C17,'Acct Summary 7-8'!D17,'Acct Summary 7-8'!F17)</f>
        <v>2501826</v>
      </c>
      <c r="G16" s="356"/>
      <c r="H16" s="1731">
        <f>SUM(D16-F16)</f>
        <v>184942</v>
      </c>
      <c r="I16" s="222"/>
      <c r="J16" s="1731">
        <f>SUM('Acct Summary 7-8'!C81,'Acct Summary 7-8'!D81,'Acct Summary 7-8'!F81,'Acct Summary 7-8'!I81)</f>
        <v>886508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3">
        <f>IF(B31="X",(J7*0.069),IF(B32="X",(J7*0.138),"Enter x in a.or b."))</f>
        <v>1302264.669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317000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54" sqref="H5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 City SD 133</v>
      </c>
      <c r="E7" s="391"/>
      <c r="G7" s="252"/>
      <c r="H7" s="387"/>
      <c r="I7" s="387"/>
      <c r="J7" s="387"/>
      <c r="K7" s="387"/>
      <c r="L7" s="329"/>
      <c r="M7" s="329"/>
      <c r="N7" s="329"/>
      <c r="O7" s="329"/>
      <c r="P7" s="329"/>
    </row>
    <row r="8" spans="1:18" ht="12.75" x14ac:dyDescent="0.2">
      <c r="A8" s="329"/>
      <c r="B8" s="329"/>
      <c r="C8" s="389" t="s">
        <v>1125</v>
      </c>
      <c r="D8" s="392">
        <f>COVER!A13</f>
        <v>13058133002</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886508</v>
      </c>
      <c r="I12" s="404"/>
      <c r="J12" s="404"/>
      <c r="K12" s="405">
        <f>TRUNC((H12/H13*100000),5)/100000</f>
        <v>0.32995331189999999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2686768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2501826</v>
      </c>
      <c r="I17" s="404"/>
      <c r="J17" s="416"/>
      <c r="K17" s="405">
        <f>TRUNC((H17/H18*100000),5)/100000</f>
        <v>0.93116562349999998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2686768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886508</v>
      </c>
      <c r="I24" s="422"/>
      <c r="J24" s="422"/>
      <c r="K24" s="423">
        <f>TRUNC(((H24/H25*100000)/100000),2)</f>
        <v>127.56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6949.51667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204219.63552000001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317000</v>
      </c>
      <c r="I32" s="420"/>
      <c r="J32" s="420"/>
      <c r="K32" s="423">
        <f>TRUNC(100-((((H32/H33*100))*100)/100),2)</f>
        <v>75.650000000000006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1302264.669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H54" sqref="H54"/>
      <selection pane="bottomLeft" activeCell="H54" sqref="H5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649640</v>
      </c>
      <c r="D4" s="466">
        <v>114476</v>
      </c>
      <c r="E4" s="466">
        <v>82608</v>
      </c>
      <c r="F4" s="466">
        <v>37307</v>
      </c>
      <c r="G4" s="466">
        <v>24156</v>
      </c>
      <c r="H4" s="466"/>
      <c r="I4" s="466">
        <v>85085</v>
      </c>
      <c r="J4" s="467">
        <v>1</v>
      </c>
      <c r="K4" s="466"/>
      <c r="L4" s="466">
        <v>38577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649640</v>
      </c>
      <c r="D13" s="1735">
        <f t="shared" ref="D13:L13" si="0">SUM(D4:D12)</f>
        <v>114476</v>
      </c>
      <c r="E13" s="1735">
        <f t="shared" si="0"/>
        <v>82608</v>
      </c>
      <c r="F13" s="1735">
        <f t="shared" si="0"/>
        <v>37307</v>
      </c>
      <c r="G13" s="1735">
        <f t="shared" si="0"/>
        <v>24156</v>
      </c>
      <c r="H13" s="1735">
        <f t="shared" si="0"/>
        <v>0</v>
      </c>
      <c r="I13" s="1735">
        <f t="shared" si="0"/>
        <v>85085</v>
      </c>
      <c r="J13" s="1735">
        <f t="shared" si="0"/>
        <v>1</v>
      </c>
      <c r="K13" s="1735">
        <f t="shared" si="0"/>
        <v>0</v>
      </c>
      <c r="L13" s="1735">
        <f t="shared" si="0"/>
        <v>38577</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13324</v>
      </c>
      <c r="N16" s="484"/>
    </row>
    <row r="17" spans="1:14" s="485" customFormat="1" ht="12.75" customHeight="1" x14ac:dyDescent="0.2">
      <c r="A17" s="482" t="s">
        <v>1403</v>
      </c>
      <c r="B17" s="483">
        <v>230</v>
      </c>
      <c r="C17" s="477"/>
      <c r="D17" s="477"/>
      <c r="E17" s="477"/>
      <c r="F17" s="477"/>
      <c r="G17" s="477"/>
      <c r="H17" s="477"/>
      <c r="I17" s="477"/>
      <c r="J17" s="477"/>
      <c r="K17" s="477"/>
      <c r="L17" s="477"/>
      <c r="M17" s="467">
        <v>4673095</v>
      </c>
      <c r="N17" s="484"/>
    </row>
    <row r="18" spans="1:14" s="485" customFormat="1" ht="12.75" customHeight="1" x14ac:dyDescent="0.2">
      <c r="A18" s="482" t="s">
        <v>1404</v>
      </c>
      <c r="B18" s="483">
        <v>240</v>
      </c>
      <c r="C18" s="477"/>
      <c r="D18" s="477"/>
      <c r="E18" s="477"/>
      <c r="F18" s="477"/>
      <c r="G18" s="477"/>
      <c r="H18" s="477"/>
      <c r="I18" s="477"/>
      <c r="J18" s="477"/>
      <c r="K18" s="477"/>
      <c r="L18" s="477"/>
      <c r="M18" s="467">
        <v>114361</v>
      </c>
      <c r="N18" s="484"/>
    </row>
    <row r="19" spans="1:14" s="485" customFormat="1" ht="12.75" customHeight="1" x14ac:dyDescent="0.2">
      <c r="A19" s="482" t="s">
        <v>1405</v>
      </c>
      <c r="B19" s="483">
        <v>250</v>
      </c>
      <c r="C19" s="477"/>
      <c r="D19" s="477"/>
      <c r="E19" s="477"/>
      <c r="F19" s="477"/>
      <c r="G19" s="477"/>
      <c r="H19" s="477"/>
      <c r="I19" s="477"/>
      <c r="J19" s="477"/>
      <c r="K19" s="477"/>
      <c r="L19" s="477"/>
      <c r="M19" s="467">
        <v>511862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82608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234392</v>
      </c>
    </row>
    <row r="23" spans="1:14" ht="13.5" customHeight="1" thickBot="1" x14ac:dyDescent="0.25">
      <c r="A23" s="1734" t="s">
        <v>643</v>
      </c>
      <c r="B23" s="1739"/>
      <c r="C23" s="468"/>
      <c r="D23" s="468"/>
      <c r="E23" s="468"/>
      <c r="F23" s="468"/>
      <c r="G23" s="468"/>
      <c r="H23" s="468"/>
      <c r="I23" s="468"/>
      <c r="J23" s="468"/>
      <c r="K23" s="468"/>
      <c r="L23" s="468"/>
      <c r="M23" s="1686">
        <f>SUM(M15:M22)</f>
        <v>5312642</v>
      </c>
      <c r="N23" s="1686">
        <f>SUM(N21:N22)</f>
        <v>317000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38577</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38577</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317000</v>
      </c>
    </row>
    <row r="37" spans="1:14" ht="13.5" thickBot="1" x14ac:dyDescent="0.25">
      <c r="A37" s="1734" t="s">
        <v>653</v>
      </c>
      <c r="B37" s="1739"/>
      <c r="C37" s="477"/>
      <c r="D37" s="477"/>
      <c r="E37" s="477"/>
      <c r="F37" s="477"/>
      <c r="G37" s="477"/>
      <c r="H37" s="477"/>
      <c r="I37" s="477"/>
      <c r="J37" s="477"/>
      <c r="K37" s="477"/>
      <c r="L37" s="480"/>
      <c r="M37" s="468"/>
      <c r="N37" s="1686">
        <f>SUM(N36:N36)</f>
        <v>317000</v>
      </c>
    </row>
    <row r="38" spans="1:14" s="329" customFormat="1" ht="13.5" customHeight="1" thickTop="1" x14ac:dyDescent="0.2">
      <c r="A38" s="496" t="s">
        <v>420</v>
      </c>
      <c r="B38" s="483">
        <v>714</v>
      </c>
      <c r="C38" s="466">
        <v>16191</v>
      </c>
      <c r="D38" s="466"/>
      <c r="E38" s="466"/>
      <c r="F38" s="466"/>
      <c r="G38" s="466">
        <v>12073</v>
      </c>
      <c r="H38" s="466"/>
      <c r="I38" s="466"/>
      <c r="J38" s="467"/>
      <c r="K38" s="466"/>
      <c r="L38" s="481"/>
      <c r="M38" s="497"/>
      <c r="N38" s="497"/>
    </row>
    <row r="39" spans="1:14" s="329" customFormat="1" ht="13.5" customHeight="1" x14ac:dyDescent="0.2">
      <c r="A39" s="496" t="s">
        <v>342</v>
      </c>
      <c r="B39" s="483">
        <v>730</v>
      </c>
      <c r="C39" s="466">
        <v>633449</v>
      </c>
      <c r="D39" s="466">
        <v>114476</v>
      </c>
      <c r="E39" s="466">
        <v>82608</v>
      </c>
      <c r="F39" s="466">
        <v>37307</v>
      </c>
      <c r="G39" s="466">
        <v>12083</v>
      </c>
      <c r="H39" s="466"/>
      <c r="I39" s="466">
        <v>85085</v>
      </c>
      <c r="J39" s="467">
        <v>1</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5312642</v>
      </c>
      <c r="N40" s="497"/>
    </row>
    <row r="41" spans="1:14" ht="13.5" customHeight="1" thickBot="1" x14ac:dyDescent="0.25">
      <c r="A41" s="1734" t="s">
        <v>655</v>
      </c>
      <c r="B41" s="1704"/>
      <c r="C41" s="1686">
        <f>(SUM(C34,C37,C38,C39))</f>
        <v>649640</v>
      </c>
      <c r="D41" s="1686">
        <f t="shared" ref="D41:L41" si="2">SUM(D34,D37,D38:D39)</f>
        <v>114476</v>
      </c>
      <c r="E41" s="1686">
        <f t="shared" si="2"/>
        <v>82608</v>
      </c>
      <c r="F41" s="1686">
        <f t="shared" si="2"/>
        <v>37307</v>
      </c>
      <c r="G41" s="1686">
        <f t="shared" si="2"/>
        <v>24156</v>
      </c>
      <c r="H41" s="1686">
        <f t="shared" si="2"/>
        <v>0</v>
      </c>
      <c r="I41" s="1686">
        <f t="shared" si="2"/>
        <v>85085</v>
      </c>
      <c r="J41" s="1686">
        <f t="shared" si="2"/>
        <v>1</v>
      </c>
      <c r="K41" s="1686">
        <f t="shared" si="2"/>
        <v>0</v>
      </c>
      <c r="L41" s="1686">
        <f t="shared" si="2"/>
        <v>38577</v>
      </c>
      <c r="M41" s="1686">
        <f>SUM(M40)</f>
        <v>5312642</v>
      </c>
      <c r="N41" s="1686">
        <f>SUM(N37)</f>
        <v>317000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H54" sqref="H54"/>
      <selection pane="bottomLeft" activeCell="H54" sqref="H5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5" t="s">
        <v>1499</v>
      </c>
      <c r="B4" s="1926">
        <v>1000</v>
      </c>
      <c r="C4" s="1740">
        <f>'Revenues 9-14'!C109</f>
        <v>337330</v>
      </c>
      <c r="D4" s="1740">
        <f>'Revenues 9-14'!D109</f>
        <v>38334</v>
      </c>
      <c r="E4" s="1740">
        <f>'Revenues 9-14'!E109</f>
        <v>76544</v>
      </c>
      <c r="F4" s="1740">
        <f>'Revenues 9-14'!F109</f>
        <v>21219</v>
      </c>
      <c r="G4" s="1740">
        <f>'Revenues 9-14'!G109</f>
        <v>79553</v>
      </c>
      <c r="H4" s="1740">
        <f>'Revenues 9-14'!H109</f>
        <v>0</v>
      </c>
      <c r="I4" s="1740">
        <f>'Revenues 9-14'!I109</f>
        <v>1940</v>
      </c>
      <c r="J4" s="1740">
        <f>'Revenues 9-14'!J109</f>
        <v>12329</v>
      </c>
      <c r="K4" s="1740">
        <f>'Revenues 9-14'!K109</f>
        <v>2</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1759065</v>
      </c>
      <c r="D6" s="1741">
        <f>'Revenues 9-14'!D170</f>
        <v>80000</v>
      </c>
      <c r="E6" s="1741">
        <f>'Revenues 9-14'!E170</f>
        <v>0</v>
      </c>
      <c r="F6" s="1741">
        <f>'Revenues 9-14'!F170</f>
        <v>51407</v>
      </c>
      <c r="G6" s="1741">
        <f>'Revenues 9-14'!G170</f>
        <v>15000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397473</v>
      </c>
      <c r="D7" s="1741">
        <f>'Revenues 9-14'!D267</f>
        <v>0</v>
      </c>
      <c r="E7" s="1741">
        <f>'Revenues 9-14'!E267</f>
        <v>0</v>
      </c>
      <c r="F7" s="1741">
        <f>'Revenues 9-14'!F267</f>
        <v>0</v>
      </c>
      <c r="G7" s="1741">
        <f>'Revenues 9-14'!G267</f>
        <v>750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2493868</v>
      </c>
      <c r="D8" s="1686">
        <f t="shared" ref="D8:K8" si="0">SUM(D4:D7)</f>
        <v>118334</v>
      </c>
      <c r="E8" s="1686">
        <f t="shared" si="0"/>
        <v>76544</v>
      </c>
      <c r="F8" s="1686">
        <f t="shared" si="0"/>
        <v>72626</v>
      </c>
      <c r="G8" s="1686">
        <f t="shared" si="0"/>
        <v>95303</v>
      </c>
      <c r="H8" s="1686">
        <f t="shared" si="0"/>
        <v>0</v>
      </c>
      <c r="I8" s="1686">
        <f t="shared" si="0"/>
        <v>1940</v>
      </c>
      <c r="J8" s="1686">
        <f t="shared" si="0"/>
        <v>12329</v>
      </c>
      <c r="K8" s="1686">
        <f t="shared" si="0"/>
        <v>2</v>
      </c>
      <c r="L8" s="347"/>
    </row>
    <row r="9" spans="1:13" ht="15.75" thickTop="1" x14ac:dyDescent="0.2">
      <c r="A9" s="514" t="s">
        <v>1653</v>
      </c>
      <c r="B9" s="515">
        <v>3998</v>
      </c>
      <c r="C9" s="481">
        <v>708956</v>
      </c>
      <c r="D9" s="516"/>
      <c r="E9" s="481"/>
      <c r="F9" s="481"/>
      <c r="G9" s="517"/>
      <c r="H9" s="481"/>
      <c r="I9" s="509" t="s">
        <v>1169</v>
      </c>
      <c r="J9" s="478"/>
      <c r="K9" s="481"/>
      <c r="L9" s="347"/>
    </row>
    <row r="10" spans="1:13" s="519" customFormat="1" ht="13.5" thickBot="1" x14ac:dyDescent="0.25">
      <c r="A10" s="1734" t="s">
        <v>1173</v>
      </c>
      <c r="B10" s="1707"/>
      <c r="C10" s="1686">
        <f>SUM(C8:C9)</f>
        <v>3202824</v>
      </c>
      <c r="D10" s="1686">
        <f t="shared" ref="D10:K10" si="1">SUM(D8:D9)</f>
        <v>118334</v>
      </c>
      <c r="E10" s="1686">
        <f t="shared" si="1"/>
        <v>76544</v>
      </c>
      <c r="F10" s="1686">
        <f t="shared" si="1"/>
        <v>72626</v>
      </c>
      <c r="G10" s="1686">
        <f t="shared" si="1"/>
        <v>95303</v>
      </c>
      <c r="H10" s="1686">
        <f t="shared" si="1"/>
        <v>0</v>
      </c>
      <c r="I10" s="1686">
        <f t="shared" si="1"/>
        <v>1940</v>
      </c>
      <c r="J10" s="1686">
        <f t="shared" si="1"/>
        <v>12329</v>
      </c>
      <c r="K10" s="1686">
        <f t="shared" si="1"/>
        <v>2</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0">
        <f>'Expenditures 15-22'!K33</f>
        <v>1369791</v>
      </c>
      <c r="D12" s="520" t="s">
        <v>1169</v>
      </c>
      <c r="E12" s="468" t="s">
        <v>1169</v>
      </c>
      <c r="F12" s="468" t="s">
        <v>1169</v>
      </c>
      <c r="G12" s="1740">
        <f>'Expenditures 15-22'!K229</f>
        <v>37102</v>
      </c>
      <c r="H12" s="521"/>
      <c r="I12" s="468" t="s">
        <v>1169</v>
      </c>
      <c r="J12" s="468" t="s">
        <v>1169</v>
      </c>
      <c r="K12" s="521" t="s">
        <v>1169</v>
      </c>
      <c r="L12" s="347"/>
    </row>
    <row r="13" spans="1:13" ht="15.75" customHeight="1" x14ac:dyDescent="0.2">
      <c r="A13" s="1576" t="s">
        <v>457</v>
      </c>
      <c r="B13" s="1578">
        <v>2000</v>
      </c>
      <c r="C13" s="1741">
        <f>'Expenditures 15-22'!K74</f>
        <v>736372</v>
      </c>
      <c r="D13" s="1741">
        <f>'Expenditures 15-22'!K129</f>
        <v>201771</v>
      </c>
      <c r="E13" s="469" t="s">
        <v>1169</v>
      </c>
      <c r="F13" s="1741">
        <f>'Expenditures 15-22'!K184</f>
        <v>58394</v>
      </c>
      <c r="G13" s="1741">
        <f>'Expenditures 15-22'!K279</f>
        <v>52584</v>
      </c>
      <c r="H13" s="1741">
        <f>'Expenditures 15-22'!K303</f>
        <v>0</v>
      </c>
      <c r="I13" s="468" t="s">
        <v>1169</v>
      </c>
      <c r="J13" s="1741">
        <f>'Expenditures 15-22'!K330</f>
        <v>13712</v>
      </c>
      <c r="K13" s="1745">
        <f>'Expenditures 15-22'!K352</f>
        <v>424</v>
      </c>
      <c r="L13" s="347"/>
    </row>
    <row r="14" spans="1:13" ht="15.75" customHeight="1" x14ac:dyDescent="0.2">
      <c r="A14" s="1576" t="s">
        <v>449</v>
      </c>
      <c r="B14" s="1578">
        <v>3000</v>
      </c>
      <c r="C14" s="1741">
        <f>'Expenditures 15-22'!K75</f>
        <v>6437</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124580</v>
      </c>
      <c r="D15" s="1741">
        <f>'Expenditures 15-22'!K139</f>
        <v>0</v>
      </c>
      <c r="E15" s="1741">
        <f>'Expenditures 15-22'!K160</f>
        <v>0</v>
      </c>
      <c r="F15" s="1741">
        <f>'Expenditures 15-22'!K196</f>
        <v>4481</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91457</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2237180</v>
      </c>
      <c r="D17" s="1686">
        <f t="shared" si="2"/>
        <v>201771</v>
      </c>
      <c r="E17" s="1686">
        <f t="shared" si="2"/>
        <v>91457</v>
      </c>
      <c r="F17" s="1686">
        <f t="shared" si="2"/>
        <v>62875</v>
      </c>
      <c r="G17" s="1686">
        <f t="shared" si="2"/>
        <v>89686</v>
      </c>
      <c r="H17" s="1686">
        <f t="shared" si="2"/>
        <v>0</v>
      </c>
      <c r="I17" s="468"/>
      <c r="J17" s="1686">
        <f>SUM(J12:J16)</f>
        <v>13712</v>
      </c>
      <c r="K17" s="1686">
        <f>SUM(K12:K16)</f>
        <v>424</v>
      </c>
      <c r="L17" s="347"/>
    </row>
    <row r="18" spans="1:12" ht="15" customHeight="1" thickTop="1" x14ac:dyDescent="0.2">
      <c r="A18" s="1742" t="s">
        <v>1654</v>
      </c>
      <c r="B18" s="1743">
        <v>4180</v>
      </c>
      <c r="C18" s="1740">
        <f t="shared" ref="C18:H18" si="3">C9</f>
        <v>708956</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2946136</v>
      </c>
      <c r="D19" s="1686">
        <f t="shared" si="4"/>
        <v>201771</v>
      </c>
      <c r="E19" s="1686">
        <f t="shared" si="4"/>
        <v>91457</v>
      </c>
      <c r="F19" s="1686">
        <f t="shared" si="4"/>
        <v>62875</v>
      </c>
      <c r="G19" s="1686">
        <f t="shared" si="4"/>
        <v>89686</v>
      </c>
      <c r="H19" s="1686">
        <f t="shared" si="4"/>
        <v>0</v>
      </c>
      <c r="I19" s="468"/>
      <c r="J19" s="1686">
        <f>SUM(J17:J18)</f>
        <v>13712</v>
      </c>
      <c r="K19" s="1686">
        <f>SUM(K17:K18)</f>
        <v>424</v>
      </c>
      <c r="L19" s="347"/>
    </row>
    <row r="20" spans="1:12" ht="16.5" thickTop="1" thickBot="1" x14ac:dyDescent="0.25">
      <c r="A20" s="2125" t="s">
        <v>1655</v>
      </c>
      <c r="B20" s="2126"/>
      <c r="C20" s="1744">
        <f>C8-C17</f>
        <v>256688</v>
      </c>
      <c r="D20" s="1744">
        <f t="shared" ref="D20:K20" si="5">D8-D17</f>
        <v>-83437</v>
      </c>
      <c r="E20" s="1744">
        <f t="shared" si="5"/>
        <v>-14913</v>
      </c>
      <c r="F20" s="1744">
        <f t="shared" si="5"/>
        <v>9751</v>
      </c>
      <c r="G20" s="1744">
        <f t="shared" si="5"/>
        <v>5617</v>
      </c>
      <c r="H20" s="1744">
        <f t="shared" si="5"/>
        <v>0</v>
      </c>
      <c r="I20" s="1744">
        <f t="shared" si="5"/>
        <v>1940</v>
      </c>
      <c r="J20" s="1744">
        <f t="shared" si="5"/>
        <v>-1383</v>
      </c>
      <c r="K20" s="1744">
        <f t="shared" si="5"/>
        <v>-422</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125000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1">
        <f>SUM(C24:C43)</f>
        <v>0</v>
      </c>
      <c r="D44" s="1701">
        <f t="shared" ref="D44:K44" si="6">SUM(D24:D43)</f>
        <v>125000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125000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1">
        <f t="shared" ref="C76:K76" si="7">SUM(C47:C75)</f>
        <v>0</v>
      </c>
      <c r="D76" s="1701">
        <f t="shared" si="7"/>
        <v>0</v>
      </c>
      <c r="E76" s="1701">
        <f t="shared" si="7"/>
        <v>0</v>
      </c>
      <c r="F76" s="1701">
        <f t="shared" si="7"/>
        <v>0</v>
      </c>
      <c r="G76" s="1701">
        <f t="shared" si="7"/>
        <v>0</v>
      </c>
      <c r="H76" s="1701">
        <f t="shared" si="7"/>
        <v>0</v>
      </c>
      <c r="I76" s="1701">
        <f t="shared" si="7"/>
        <v>125000</v>
      </c>
      <c r="J76" s="1701">
        <f t="shared" si="7"/>
        <v>0</v>
      </c>
      <c r="K76" s="1701">
        <f t="shared" si="7"/>
        <v>0</v>
      </c>
      <c r="L76" s="524"/>
    </row>
    <row r="77" spans="1:12" ht="14.25" thickTop="1" thickBot="1" x14ac:dyDescent="0.25">
      <c r="A77" s="2117" t="s">
        <v>1177</v>
      </c>
      <c r="B77" s="2118"/>
      <c r="C77" s="1701">
        <f t="shared" ref="C77:K77" si="8">C44-C76</f>
        <v>0</v>
      </c>
      <c r="D77" s="1701">
        <f t="shared" si="8"/>
        <v>125000</v>
      </c>
      <c r="E77" s="1701">
        <f t="shared" si="8"/>
        <v>0</v>
      </c>
      <c r="F77" s="1701">
        <f t="shared" si="8"/>
        <v>0</v>
      </c>
      <c r="G77" s="1701">
        <f t="shared" si="8"/>
        <v>0</v>
      </c>
      <c r="H77" s="1701">
        <f t="shared" si="8"/>
        <v>0</v>
      </c>
      <c r="I77" s="1701">
        <f t="shared" si="8"/>
        <v>-125000</v>
      </c>
      <c r="J77" s="1701">
        <f t="shared" si="8"/>
        <v>0</v>
      </c>
      <c r="K77" s="1701">
        <f t="shared" si="8"/>
        <v>0</v>
      </c>
      <c r="L77" s="347"/>
    </row>
    <row r="78" spans="1:12" ht="21.75" customHeight="1" thickTop="1" thickBot="1" x14ac:dyDescent="0.25">
      <c r="A78" s="2121" t="s">
        <v>597</v>
      </c>
      <c r="B78" s="2122"/>
      <c r="C78" s="1700">
        <f t="shared" ref="C78:K78" si="9">C20+C77</f>
        <v>256688</v>
      </c>
      <c r="D78" s="1700">
        <f t="shared" si="9"/>
        <v>41563</v>
      </c>
      <c r="E78" s="1700">
        <f t="shared" si="9"/>
        <v>-14913</v>
      </c>
      <c r="F78" s="1700">
        <f t="shared" si="9"/>
        <v>9751</v>
      </c>
      <c r="G78" s="1700">
        <f t="shared" si="9"/>
        <v>5617</v>
      </c>
      <c r="H78" s="1700">
        <f t="shared" si="9"/>
        <v>0</v>
      </c>
      <c r="I78" s="1700">
        <f t="shared" si="9"/>
        <v>-123060</v>
      </c>
      <c r="J78" s="1700">
        <f t="shared" si="9"/>
        <v>-1383</v>
      </c>
      <c r="K78" s="1700">
        <f t="shared" si="9"/>
        <v>-422</v>
      </c>
      <c r="L78" s="533"/>
    </row>
    <row r="79" spans="1:12" ht="13.5" thickTop="1" x14ac:dyDescent="0.2">
      <c r="A79" s="1494" t="s">
        <v>1947</v>
      </c>
      <c r="B79" s="534"/>
      <c r="C79" s="478">
        <v>392952</v>
      </c>
      <c r="D79" s="535">
        <v>72913</v>
      </c>
      <c r="E79" s="535">
        <v>97521</v>
      </c>
      <c r="F79" s="535">
        <v>27556</v>
      </c>
      <c r="G79" s="535">
        <v>18539</v>
      </c>
      <c r="H79" s="535"/>
      <c r="I79" s="535">
        <v>208145</v>
      </c>
      <c r="J79" s="535">
        <v>1384</v>
      </c>
      <c r="K79" s="535">
        <v>422</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1948</v>
      </c>
      <c r="B81" s="2120"/>
      <c r="C81" s="1686">
        <f>(SUM(C78:C80))</f>
        <v>649640</v>
      </c>
      <c r="D81" s="1686">
        <f>SUM(D78:D80)</f>
        <v>114476</v>
      </c>
      <c r="E81" s="1686">
        <f t="shared" ref="E81:K81" si="10">SUM(E78:E80)</f>
        <v>82608</v>
      </c>
      <c r="F81" s="1686">
        <f t="shared" si="10"/>
        <v>37307</v>
      </c>
      <c r="G81" s="1686">
        <f t="shared" si="10"/>
        <v>24156</v>
      </c>
      <c r="H81" s="1686">
        <f t="shared" si="10"/>
        <v>0</v>
      </c>
      <c r="I81" s="1686">
        <f t="shared" si="10"/>
        <v>85085</v>
      </c>
      <c r="J81" s="1686">
        <f t="shared" si="10"/>
        <v>1</v>
      </c>
      <c r="K81" s="1686">
        <f t="shared" si="10"/>
        <v>0</v>
      </c>
      <c r="L81" s="347"/>
    </row>
    <row r="82" spans="1:12" ht="0.75" customHeight="1" thickTop="1" thickBot="1" x14ac:dyDescent="0.25">
      <c r="A82" s="536" t="s">
        <v>343</v>
      </c>
      <c r="B82" s="537"/>
      <c r="C82" s="538">
        <f>(C81-C79)</f>
        <v>256688</v>
      </c>
      <c r="D82" s="538">
        <f t="shared" ref="D82:K82" si="11">(D81-D79)</f>
        <v>41563</v>
      </c>
      <c r="E82" s="538">
        <f t="shared" si="11"/>
        <v>-14913</v>
      </c>
      <c r="F82" s="538">
        <f t="shared" si="11"/>
        <v>9751</v>
      </c>
      <c r="G82" s="538">
        <f t="shared" si="11"/>
        <v>5617</v>
      </c>
      <c r="H82" s="538">
        <f t="shared" si="11"/>
        <v>0</v>
      </c>
      <c r="I82" s="538">
        <f t="shared" si="11"/>
        <v>-123060</v>
      </c>
      <c r="J82" s="538">
        <f t="shared" si="11"/>
        <v>-1383</v>
      </c>
      <c r="K82" s="538">
        <f t="shared" si="11"/>
        <v>-422</v>
      </c>
    </row>
    <row r="83" spans="1:12" ht="14.25" hidden="1" thickTop="1" thickBot="1" x14ac:dyDescent="0.25">
      <c r="A83" s="539" t="s">
        <v>344</v>
      </c>
      <c r="B83" s="464"/>
      <c r="C83" s="540">
        <f>C82/C81</f>
        <v>0.39512345298934792</v>
      </c>
      <c r="D83" s="540">
        <f t="shared" ref="D83:K83" si="12">D82/D81</f>
        <v>0.3630717355602921</v>
      </c>
      <c r="E83" s="540">
        <f t="shared" si="12"/>
        <v>-0.18052730970366065</v>
      </c>
      <c r="F83" s="540">
        <f t="shared" si="12"/>
        <v>0.26137186050875172</v>
      </c>
      <c r="G83" s="540">
        <f t="shared" si="12"/>
        <v>0.23253022023513828</v>
      </c>
      <c r="H83" s="540" t="e">
        <f t="shared" si="12"/>
        <v>#DIV/0!</v>
      </c>
      <c r="I83" s="540">
        <f t="shared" si="12"/>
        <v>-1.4463183874948582</v>
      </c>
      <c r="J83" s="540">
        <f t="shared" si="12"/>
        <v>-1383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9" activePane="bottomLeft" state="frozen"/>
      <selection activeCell="H54" sqref="H54"/>
      <selection pane="bottomLeft" activeCell="C74" sqref="C7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199364</v>
      </c>
      <c r="D5" s="481">
        <v>29113</v>
      </c>
      <c r="E5" s="466">
        <v>74480</v>
      </c>
      <c r="F5" s="548">
        <v>19154</v>
      </c>
      <c r="G5" s="466">
        <v>39493</v>
      </c>
      <c r="H5" s="466"/>
      <c r="I5" s="466"/>
      <c r="J5" s="467">
        <v>12108</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23665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199364</v>
      </c>
      <c r="D12" s="1705">
        <f t="shared" si="0"/>
        <v>29113</v>
      </c>
      <c r="E12" s="1705">
        <f t="shared" si="0"/>
        <v>74480</v>
      </c>
      <c r="F12" s="1705">
        <f t="shared" si="0"/>
        <v>19154</v>
      </c>
      <c r="G12" s="1705">
        <f t="shared" si="0"/>
        <v>63158</v>
      </c>
      <c r="H12" s="1705">
        <f t="shared" si="0"/>
        <v>0</v>
      </c>
      <c r="I12" s="1705">
        <f t="shared" si="0"/>
        <v>0</v>
      </c>
      <c r="J12" s="1705">
        <f t="shared" si="0"/>
        <v>12108</v>
      </c>
      <c r="K12" s="1686">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2914</v>
      </c>
      <c r="D14" s="466">
        <v>425</v>
      </c>
      <c r="E14" s="466">
        <v>1089</v>
      </c>
      <c r="F14" s="466">
        <v>280</v>
      </c>
      <c r="G14" s="466">
        <v>923</v>
      </c>
      <c r="H14" s="466"/>
      <c r="I14" s="466"/>
      <c r="J14" s="467">
        <v>177</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28782</v>
      </c>
      <c r="D16" s="466"/>
      <c r="E16" s="466"/>
      <c r="F16" s="466"/>
      <c r="G16" s="466">
        <v>15000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31696</v>
      </c>
      <c r="D18" s="1708">
        <f t="shared" ref="D18:K18" si="1">SUM(D14:D17)</f>
        <v>425</v>
      </c>
      <c r="E18" s="1708">
        <f t="shared" si="1"/>
        <v>1089</v>
      </c>
      <c r="F18" s="1708">
        <f t="shared" si="1"/>
        <v>280</v>
      </c>
      <c r="G18" s="1708">
        <f t="shared" si="1"/>
        <v>15923</v>
      </c>
      <c r="H18" s="1708">
        <f t="shared" si="1"/>
        <v>0</v>
      </c>
      <c r="I18" s="1708">
        <f t="shared" si="1"/>
        <v>0</v>
      </c>
      <c r="J18" s="1708">
        <f t="shared" si="1"/>
        <v>177</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9040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9040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4217</v>
      </c>
      <c r="D65" s="466">
        <v>203</v>
      </c>
      <c r="E65" s="466">
        <v>975</v>
      </c>
      <c r="F65" s="467">
        <v>456</v>
      </c>
      <c r="G65" s="466">
        <v>472</v>
      </c>
      <c r="H65" s="466"/>
      <c r="I65" s="466">
        <v>1940</v>
      </c>
      <c r="J65" s="467">
        <v>44</v>
      </c>
      <c r="K65" s="466">
        <v>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4217</v>
      </c>
      <c r="D67" s="1686">
        <f t="shared" ref="D67:K67" si="2">SUM(D65:D66)</f>
        <v>203</v>
      </c>
      <c r="E67" s="1686">
        <f t="shared" si="2"/>
        <v>975</v>
      </c>
      <c r="F67" s="1686">
        <f t="shared" si="2"/>
        <v>456</v>
      </c>
      <c r="G67" s="1686">
        <f t="shared" si="2"/>
        <v>472</v>
      </c>
      <c r="H67" s="1686">
        <f t="shared" si="2"/>
        <v>0</v>
      </c>
      <c r="I67" s="1686">
        <f t="shared" si="2"/>
        <v>1940</v>
      </c>
      <c r="J67" s="1686">
        <f t="shared" si="2"/>
        <v>44</v>
      </c>
      <c r="K67" s="1686">
        <f t="shared" si="2"/>
        <v>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977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1901</v>
      </c>
      <c r="D73" s="468"/>
      <c r="E73" s="468"/>
      <c r="F73" s="468"/>
      <c r="G73" s="468"/>
      <c r="H73" s="468"/>
      <c r="I73" s="468"/>
      <c r="J73" s="468"/>
      <c r="K73" s="468"/>
    </row>
    <row r="74" spans="1:11" ht="12.75" customHeight="1" x14ac:dyDescent="0.2">
      <c r="A74" s="463" t="s">
        <v>25</v>
      </c>
      <c r="B74" s="470">
        <v>1690</v>
      </c>
      <c r="C74" s="551">
        <v>31217</v>
      </c>
      <c r="D74" s="468"/>
      <c r="E74" s="468"/>
      <c r="F74" s="468"/>
      <c r="G74" s="468"/>
      <c r="H74" s="468"/>
      <c r="I74" s="468"/>
      <c r="J74" s="468"/>
      <c r="K74" s="468"/>
    </row>
    <row r="75" spans="1:11" ht="12.75" customHeight="1" thickBot="1" x14ac:dyDescent="0.25">
      <c r="A75" s="1706" t="s">
        <v>548</v>
      </c>
      <c r="B75" s="1707"/>
      <c r="C75" s="1686">
        <f>SUM(C69:C74)</f>
        <v>34095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3146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3146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26252</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8468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21052</v>
      </c>
      <c r="D107" s="466">
        <v>8593</v>
      </c>
      <c r="E107" s="466"/>
      <c r="F107" s="466">
        <v>1329</v>
      </c>
      <c r="G107" s="466"/>
      <c r="H107" s="466"/>
      <c r="I107" s="466"/>
      <c r="J107" s="467"/>
      <c r="K107" s="466"/>
    </row>
    <row r="108" spans="1:12" ht="12.75" customHeight="1" thickBot="1" x14ac:dyDescent="0.25">
      <c r="A108" s="1706" t="s">
        <v>487</v>
      </c>
      <c r="B108" s="1710"/>
      <c r="C108" s="1705">
        <f>SUM(C95:C107)</f>
        <v>55772</v>
      </c>
      <c r="D108" s="1705">
        <f t="shared" ref="D108:K108" si="3">SUM(D95:D107)</f>
        <v>8593</v>
      </c>
      <c r="E108" s="1705">
        <f t="shared" si="3"/>
        <v>0</v>
      </c>
      <c r="F108" s="1705">
        <f t="shared" si="3"/>
        <v>1329</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337330</v>
      </c>
      <c r="D109" s="1713">
        <f t="shared" si="4"/>
        <v>38334</v>
      </c>
      <c r="E109" s="1713">
        <f t="shared" si="4"/>
        <v>76544</v>
      </c>
      <c r="F109" s="1713">
        <f t="shared" si="4"/>
        <v>21219</v>
      </c>
      <c r="G109" s="1713">
        <f t="shared" si="4"/>
        <v>79553</v>
      </c>
      <c r="H109" s="1713">
        <f t="shared" si="4"/>
        <v>0</v>
      </c>
      <c r="I109" s="1713">
        <f t="shared" si="4"/>
        <v>1940</v>
      </c>
      <c r="J109" s="1713">
        <f t="shared" si="4"/>
        <v>12329</v>
      </c>
      <c r="K109" s="1700">
        <f t="shared" si="4"/>
        <v>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1720830</v>
      </c>
      <c r="D117" s="481">
        <v>80000</v>
      </c>
      <c r="E117" s="466"/>
      <c r="F117" s="481">
        <v>25000</v>
      </c>
      <c r="G117" s="481">
        <v>15000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1720830</v>
      </c>
      <c r="D122" s="1705">
        <f t="shared" si="5"/>
        <v>80000</v>
      </c>
      <c r="E122" s="1705">
        <f t="shared" si="5"/>
        <v>0</v>
      </c>
      <c r="F122" s="1705">
        <f t="shared" si="5"/>
        <v>25000</v>
      </c>
      <c r="G122" s="1705">
        <f t="shared" si="5"/>
        <v>15000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16152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16152</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4861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18874</v>
      </c>
      <c r="G152" s="467"/>
      <c r="H152" s="468"/>
      <c r="I152" s="468"/>
      <c r="J152" s="468"/>
      <c r="K152" s="468"/>
    </row>
    <row r="153" spans="1:11" ht="12.75" customHeight="1" x14ac:dyDescent="0.2">
      <c r="A153" s="463" t="s">
        <v>1057</v>
      </c>
      <c r="B153" s="562">
        <v>3510</v>
      </c>
      <c r="C153" s="551"/>
      <c r="D153" s="466"/>
      <c r="E153" s="561"/>
      <c r="F153" s="466">
        <v>7533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26407</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17222</v>
      </c>
      <c r="D168" s="580"/>
      <c r="E168" s="580"/>
      <c r="F168" s="580"/>
      <c r="G168" s="581"/>
      <c r="H168" s="582"/>
      <c r="I168" s="581"/>
      <c r="J168" s="581"/>
      <c r="K168" s="582"/>
    </row>
    <row r="169" spans="1:11" ht="12.75" customHeight="1" thickTop="1" thickBot="1" x14ac:dyDescent="0.25">
      <c r="A169" s="2143" t="s">
        <v>398</v>
      </c>
      <c r="B169" s="2144"/>
      <c r="C169" s="1720">
        <f t="shared" ref="C169:K169" si="6">SUM(C132,C141,C145,C146:C150,C155,C156:C167,C168)</f>
        <v>38235</v>
      </c>
      <c r="D169" s="1720">
        <f t="shared" si="6"/>
        <v>0</v>
      </c>
      <c r="E169" s="1720">
        <f t="shared" si="6"/>
        <v>0</v>
      </c>
      <c r="F169" s="1720">
        <f t="shared" si="6"/>
        <v>26407</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1759065</v>
      </c>
      <c r="D170" s="1713">
        <f t="shared" si="7"/>
        <v>80000</v>
      </c>
      <c r="E170" s="1713">
        <f t="shared" si="7"/>
        <v>0</v>
      </c>
      <c r="F170" s="1713">
        <f t="shared" si="7"/>
        <v>51407</v>
      </c>
      <c r="G170" s="1713">
        <f t="shared" si="7"/>
        <v>15000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6810</v>
      </c>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6810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158140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65837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15278</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239255</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88986</v>
      </c>
      <c r="D200" s="466"/>
      <c r="E200" s="468"/>
      <c r="F200" s="466"/>
      <c r="G200" s="466">
        <v>750</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88986</v>
      </c>
      <c r="D204" s="1705">
        <f>SUM(D200:D203)</f>
        <v>0</v>
      </c>
      <c r="E204" s="468"/>
      <c r="F204" s="1705">
        <f>SUM(F200:F203)</f>
        <v>0</v>
      </c>
      <c r="G204" s="1705">
        <f>SUM(G200:G203)</f>
        <v>750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3750</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15967</v>
      </c>
      <c r="D213" s="466"/>
      <c r="E213" s="468"/>
      <c r="F213" s="466"/>
      <c r="G213" s="466"/>
      <c r="H213" s="468"/>
      <c r="I213" s="468"/>
      <c r="J213" s="468"/>
      <c r="K213" s="468"/>
    </row>
    <row r="214" spans="1:11" ht="12.75" customHeight="1" x14ac:dyDescent="0.2">
      <c r="A214" s="463" t="s">
        <v>1054</v>
      </c>
      <c r="B214" s="470">
        <v>4625</v>
      </c>
      <c r="C214" s="551">
        <v>5874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25591</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22625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5414</v>
      </c>
      <c r="D263" s="576"/>
      <c r="E263" s="468"/>
      <c r="F263" s="576"/>
      <c r="G263" s="576"/>
      <c r="H263" s="468"/>
      <c r="I263" s="468"/>
      <c r="J263" s="468"/>
      <c r="K263" s="468"/>
    </row>
    <row r="264" spans="1:11" ht="12.75" customHeight="1" thickTop="1" thickBot="1" x14ac:dyDescent="0.25">
      <c r="A264" s="463" t="s">
        <v>377</v>
      </c>
      <c r="B264" s="470">
        <v>4992</v>
      </c>
      <c r="C264" s="575">
        <v>8792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397473</v>
      </c>
      <c r="D266" s="1713">
        <f t="shared" si="10"/>
        <v>0</v>
      </c>
      <c r="E266" s="1713">
        <f t="shared" si="10"/>
        <v>0</v>
      </c>
      <c r="F266" s="1713">
        <f t="shared" si="10"/>
        <v>0</v>
      </c>
      <c r="G266" s="1713">
        <f t="shared" si="10"/>
        <v>750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397473</v>
      </c>
      <c r="D267" s="1713">
        <f>SUM(D175,D181,D266)</f>
        <v>0</v>
      </c>
      <c r="E267" s="1713">
        <f>SUM(E175,E266)</f>
        <v>0</v>
      </c>
      <c r="F267" s="1713">
        <f t="shared" ref="F267:K267" si="11">SUM(F175,F181,F266)</f>
        <v>0</v>
      </c>
      <c r="G267" s="1713">
        <f t="shared" si="11"/>
        <v>750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2493868</v>
      </c>
      <c r="D268" s="1713">
        <f t="shared" si="12"/>
        <v>118334</v>
      </c>
      <c r="E268" s="1713">
        <f t="shared" si="12"/>
        <v>76544</v>
      </c>
      <c r="F268" s="1713">
        <f t="shared" si="12"/>
        <v>72626</v>
      </c>
      <c r="G268" s="1713">
        <f t="shared" si="12"/>
        <v>95303</v>
      </c>
      <c r="H268" s="1713">
        <f t="shared" si="12"/>
        <v>0</v>
      </c>
      <c r="I268" s="1713">
        <f t="shared" si="12"/>
        <v>1940</v>
      </c>
      <c r="J268" s="1713">
        <f t="shared" si="12"/>
        <v>12329</v>
      </c>
      <c r="K268" s="1700">
        <f t="shared" si="12"/>
        <v>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H54" sqref="H54"/>
      <selection pane="bottomLeft" activeCell="H54" sqref="H5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769908</v>
      </c>
      <c r="D5" s="466">
        <v>186478</v>
      </c>
      <c r="E5" s="466">
        <v>7098</v>
      </c>
      <c r="F5" s="466">
        <v>52394</v>
      </c>
      <c r="G5" s="466">
        <v>1469</v>
      </c>
      <c r="H5" s="466">
        <v>13437</v>
      </c>
      <c r="I5" s="467"/>
      <c r="J5" s="467"/>
      <c r="K5" s="1669">
        <f>SUM(C5:J5)</f>
        <v>1030784</v>
      </c>
      <c r="L5" s="466">
        <v>1031600</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172946</v>
      </c>
      <c r="D8" s="466">
        <v>78950</v>
      </c>
      <c r="E8" s="466"/>
      <c r="F8" s="466">
        <v>566</v>
      </c>
      <c r="G8" s="466"/>
      <c r="H8" s="466"/>
      <c r="I8" s="467"/>
      <c r="J8" s="467"/>
      <c r="K8" s="1669">
        <f t="shared" si="0"/>
        <v>252462</v>
      </c>
      <c r="L8" s="466">
        <v>252600</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20328</v>
      </c>
      <c r="D10" s="466">
        <v>6290</v>
      </c>
      <c r="E10" s="466">
        <v>9782</v>
      </c>
      <c r="F10" s="466">
        <v>35442</v>
      </c>
      <c r="G10" s="466">
        <v>2792</v>
      </c>
      <c r="H10" s="466"/>
      <c r="I10" s="467"/>
      <c r="J10" s="467"/>
      <c r="K10" s="1669">
        <f t="shared" si="0"/>
        <v>74634</v>
      </c>
      <c r="L10" s="466">
        <v>73832</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11163</v>
      </c>
      <c r="D14" s="466">
        <v>748</v>
      </c>
      <c r="E14" s="466"/>
      <c r="F14" s="466"/>
      <c r="G14" s="466"/>
      <c r="H14" s="466"/>
      <c r="I14" s="467"/>
      <c r="J14" s="467"/>
      <c r="K14" s="1669">
        <f t="shared" si="0"/>
        <v>11911</v>
      </c>
      <c r="L14" s="466">
        <v>12450</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974345</v>
      </c>
      <c r="D33" s="1668">
        <f t="shared" ref="D33:L33" si="1">SUM(D5:D32)</f>
        <v>272466</v>
      </c>
      <c r="E33" s="1668">
        <f t="shared" si="1"/>
        <v>16880</v>
      </c>
      <c r="F33" s="1668">
        <f t="shared" si="1"/>
        <v>88402</v>
      </c>
      <c r="G33" s="1668">
        <f t="shared" si="1"/>
        <v>4261</v>
      </c>
      <c r="H33" s="1668">
        <f t="shared" si="1"/>
        <v>13437</v>
      </c>
      <c r="I33" s="1668">
        <f t="shared" si="1"/>
        <v>0</v>
      </c>
      <c r="J33" s="1668">
        <f t="shared" si="1"/>
        <v>0</v>
      </c>
      <c r="K33" s="1668">
        <f t="shared" si="1"/>
        <v>1369791</v>
      </c>
      <c r="L33" s="1668">
        <f t="shared" si="1"/>
        <v>1370482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30394</v>
      </c>
      <c r="D36" s="481">
        <v>9316</v>
      </c>
      <c r="E36" s="481"/>
      <c r="F36" s="481"/>
      <c r="G36" s="481"/>
      <c r="H36" s="481">
        <v>54</v>
      </c>
      <c r="I36" s="467"/>
      <c r="J36" s="467"/>
      <c r="K36" s="1669">
        <f t="shared" ref="K36:K41" si="2">SUM(C36:J36)</f>
        <v>39764</v>
      </c>
      <c r="L36" s="466">
        <v>40193</v>
      </c>
    </row>
    <row r="37" spans="1:14" x14ac:dyDescent="0.2">
      <c r="A37" s="1504" t="s">
        <v>1090</v>
      </c>
      <c r="B37" s="614">
        <v>2120</v>
      </c>
      <c r="C37" s="466"/>
      <c r="D37" s="466"/>
      <c r="E37" s="466"/>
      <c r="F37" s="466"/>
      <c r="G37" s="466"/>
      <c r="H37" s="466"/>
      <c r="I37" s="467"/>
      <c r="J37" s="467"/>
      <c r="K37" s="1669">
        <f t="shared" si="2"/>
        <v>0</v>
      </c>
      <c r="L37" s="466"/>
    </row>
    <row r="38" spans="1:14" x14ac:dyDescent="0.2">
      <c r="A38" s="1504" t="s">
        <v>198</v>
      </c>
      <c r="B38" s="614">
        <v>2130</v>
      </c>
      <c r="C38" s="466">
        <v>26783</v>
      </c>
      <c r="D38" s="466">
        <v>5645</v>
      </c>
      <c r="E38" s="466">
        <v>67</v>
      </c>
      <c r="F38" s="466">
        <v>1328</v>
      </c>
      <c r="G38" s="466"/>
      <c r="H38" s="466">
        <v>123</v>
      </c>
      <c r="I38" s="467"/>
      <c r="J38" s="467"/>
      <c r="K38" s="1669">
        <f t="shared" si="2"/>
        <v>33946</v>
      </c>
      <c r="L38" s="466">
        <v>34189</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57177</v>
      </c>
      <c r="D42" s="1668">
        <f t="shared" ref="D42:L42" si="3">SUM(D36:D41)</f>
        <v>14961</v>
      </c>
      <c r="E42" s="1668">
        <f t="shared" si="3"/>
        <v>67</v>
      </c>
      <c r="F42" s="1668">
        <f t="shared" si="3"/>
        <v>1328</v>
      </c>
      <c r="G42" s="1668">
        <f t="shared" si="3"/>
        <v>0</v>
      </c>
      <c r="H42" s="1668">
        <f t="shared" si="3"/>
        <v>177</v>
      </c>
      <c r="I42" s="1668">
        <f t="shared" si="3"/>
        <v>0</v>
      </c>
      <c r="J42" s="1668">
        <f t="shared" si="3"/>
        <v>0</v>
      </c>
      <c r="K42" s="1668">
        <f t="shared" si="3"/>
        <v>73710</v>
      </c>
      <c r="L42" s="1668">
        <f t="shared" si="3"/>
        <v>74382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274</v>
      </c>
      <c r="D44" s="481">
        <v>31</v>
      </c>
      <c r="E44" s="481">
        <v>608</v>
      </c>
      <c r="F44" s="481"/>
      <c r="G44" s="481"/>
      <c r="H44" s="481"/>
      <c r="I44" s="467"/>
      <c r="J44" s="467"/>
      <c r="K44" s="1670">
        <f>SUM(C44:J44)</f>
        <v>913</v>
      </c>
      <c r="L44" s="481">
        <v>3637</v>
      </c>
    </row>
    <row r="45" spans="1:14" x14ac:dyDescent="0.2">
      <c r="A45" s="1504" t="s">
        <v>815</v>
      </c>
      <c r="B45" s="614">
        <v>2220</v>
      </c>
      <c r="C45" s="466">
        <v>6284</v>
      </c>
      <c r="D45" s="466"/>
      <c r="E45" s="466"/>
      <c r="F45" s="466">
        <v>699</v>
      </c>
      <c r="G45" s="466"/>
      <c r="H45" s="466"/>
      <c r="I45" s="467"/>
      <c r="J45" s="467"/>
      <c r="K45" s="1670">
        <f>SUM(C45:J45)</f>
        <v>6983</v>
      </c>
      <c r="L45" s="466">
        <v>8373</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6558</v>
      </c>
      <c r="D47" s="1668">
        <f t="shared" ref="D47:K47" si="4">SUM(D44:D46)</f>
        <v>31</v>
      </c>
      <c r="E47" s="1668">
        <f t="shared" si="4"/>
        <v>608</v>
      </c>
      <c r="F47" s="1668">
        <f t="shared" si="4"/>
        <v>699</v>
      </c>
      <c r="G47" s="1668">
        <f t="shared" si="4"/>
        <v>0</v>
      </c>
      <c r="H47" s="1668">
        <f t="shared" si="4"/>
        <v>0</v>
      </c>
      <c r="I47" s="1668">
        <f t="shared" si="4"/>
        <v>0</v>
      </c>
      <c r="J47" s="1668">
        <f t="shared" si="4"/>
        <v>0</v>
      </c>
      <c r="K47" s="1668">
        <f t="shared" si="4"/>
        <v>7896</v>
      </c>
      <c r="L47" s="1668">
        <f>SUM(L44:L46)</f>
        <v>12010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4173</v>
      </c>
      <c r="D49" s="481"/>
      <c r="E49" s="481">
        <v>24335</v>
      </c>
      <c r="F49" s="481">
        <v>1731</v>
      </c>
      <c r="G49" s="481"/>
      <c r="H49" s="481">
        <v>13523</v>
      </c>
      <c r="I49" s="467"/>
      <c r="J49" s="467"/>
      <c r="K49" s="1670">
        <f>SUM(C49:J49)</f>
        <v>43762</v>
      </c>
      <c r="L49" s="481">
        <v>44275</v>
      </c>
    </row>
    <row r="50" spans="1:14" x14ac:dyDescent="0.2">
      <c r="A50" s="1504" t="s">
        <v>818</v>
      </c>
      <c r="B50" s="614">
        <v>2320</v>
      </c>
      <c r="C50" s="466">
        <v>112628</v>
      </c>
      <c r="D50" s="466">
        <v>13186</v>
      </c>
      <c r="E50" s="466">
        <v>2337</v>
      </c>
      <c r="F50" s="466">
        <v>275</v>
      </c>
      <c r="G50" s="466"/>
      <c r="H50" s="466">
        <v>999</v>
      </c>
      <c r="I50" s="467"/>
      <c r="J50" s="467"/>
      <c r="K50" s="1670">
        <f>SUM(C50:J50)</f>
        <v>129425</v>
      </c>
      <c r="L50" s="466">
        <v>132191</v>
      </c>
    </row>
    <row r="51" spans="1:14" x14ac:dyDescent="0.2">
      <c r="A51" s="1504" t="s">
        <v>42</v>
      </c>
      <c r="B51" s="614">
        <v>2330</v>
      </c>
      <c r="C51" s="466">
        <v>3229</v>
      </c>
      <c r="D51" s="466">
        <v>734</v>
      </c>
      <c r="E51" s="466"/>
      <c r="F51" s="466"/>
      <c r="G51" s="466"/>
      <c r="H51" s="466"/>
      <c r="I51" s="467"/>
      <c r="J51" s="467"/>
      <c r="K51" s="1670">
        <f>SUM(C51:J51)</f>
        <v>3963</v>
      </c>
      <c r="L51" s="466">
        <v>4012</v>
      </c>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120030</v>
      </c>
      <c r="D53" s="1668">
        <f t="shared" ref="D53:L53" si="5">SUM(D49:D52)</f>
        <v>13920</v>
      </c>
      <c r="E53" s="1668">
        <f t="shared" si="5"/>
        <v>26672</v>
      </c>
      <c r="F53" s="1668">
        <f t="shared" si="5"/>
        <v>2006</v>
      </c>
      <c r="G53" s="1668">
        <f t="shared" si="5"/>
        <v>0</v>
      </c>
      <c r="H53" s="1668">
        <f t="shared" si="5"/>
        <v>14522</v>
      </c>
      <c r="I53" s="1668">
        <f t="shared" si="5"/>
        <v>0</v>
      </c>
      <c r="J53" s="1668">
        <f t="shared" si="5"/>
        <v>0</v>
      </c>
      <c r="K53" s="1668">
        <f t="shared" si="5"/>
        <v>177150</v>
      </c>
      <c r="L53" s="1668">
        <f t="shared" si="5"/>
        <v>180478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0">
        <f>SUM(C55:J55)</f>
        <v>0</v>
      </c>
      <c r="L55" s="481"/>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8">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53436</v>
      </c>
      <c r="D60" s="466"/>
      <c r="E60" s="466">
        <v>9575</v>
      </c>
      <c r="F60" s="466"/>
      <c r="G60" s="466">
        <v>585</v>
      </c>
      <c r="H60" s="466"/>
      <c r="I60" s="467"/>
      <c r="J60" s="467"/>
      <c r="K60" s="1670">
        <f t="shared" si="7"/>
        <v>63596</v>
      </c>
      <c r="L60" s="466">
        <v>63965</v>
      </c>
      <c r="M60" s="609"/>
      <c r="N60" s="609"/>
    </row>
    <row r="61" spans="1:14" s="343" customFormat="1" x14ac:dyDescent="0.2">
      <c r="A61" s="1504" t="s">
        <v>197</v>
      </c>
      <c r="B61" s="614">
        <v>2540</v>
      </c>
      <c r="C61" s="466">
        <v>79561</v>
      </c>
      <c r="D61" s="466">
        <v>19052</v>
      </c>
      <c r="E61" s="466">
        <v>93787</v>
      </c>
      <c r="F61" s="466">
        <v>17187</v>
      </c>
      <c r="G61" s="466"/>
      <c r="H61" s="466"/>
      <c r="I61" s="467"/>
      <c r="J61" s="467"/>
      <c r="K61" s="1670">
        <f t="shared" si="7"/>
        <v>209587</v>
      </c>
      <c r="L61" s="466">
        <v>212000</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42729</v>
      </c>
      <c r="D63" s="466">
        <v>19166</v>
      </c>
      <c r="E63" s="466">
        <v>2806</v>
      </c>
      <c r="F63" s="466">
        <v>129513</v>
      </c>
      <c r="G63" s="466">
        <v>4985</v>
      </c>
      <c r="H63" s="466"/>
      <c r="I63" s="467"/>
      <c r="J63" s="467"/>
      <c r="K63" s="1670">
        <f t="shared" si="7"/>
        <v>199199</v>
      </c>
      <c r="L63" s="466">
        <v>202000</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175726</v>
      </c>
      <c r="D65" s="1668">
        <f t="shared" ref="D65:L65" si="8">SUM(D59:D64)</f>
        <v>38218</v>
      </c>
      <c r="E65" s="1668">
        <f t="shared" si="8"/>
        <v>106168</v>
      </c>
      <c r="F65" s="1668">
        <f t="shared" si="8"/>
        <v>146700</v>
      </c>
      <c r="G65" s="1668">
        <f t="shared" si="8"/>
        <v>5570</v>
      </c>
      <c r="H65" s="1668">
        <f t="shared" si="8"/>
        <v>0</v>
      </c>
      <c r="I65" s="1668">
        <f t="shared" si="8"/>
        <v>0</v>
      </c>
      <c r="J65" s="1668">
        <f t="shared" si="8"/>
        <v>0</v>
      </c>
      <c r="K65" s="1668">
        <f t="shared" si="8"/>
        <v>472382</v>
      </c>
      <c r="L65" s="1668">
        <f t="shared" si="8"/>
        <v>477965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v>4977</v>
      </c>
      <c r="D73" s="573"/>
      <c r="E73" s="573"/>
      <c r="F73" s="573">
        <v>257</v>
      </c>
      <c r="G73" s="573"/>
      <c r="H73" s="573"/>
      <c r="I73" s="531"/>
      <c r="J73" s="531"/>
      <c r="K73" s="1668">
        <f>SUM(C73:J73)</f>
        <v>5234</v>
      </c>
      <c r="L73" s="576">
        <v>5258</v>
      </c>
      <c r="M73" s="609"/>
      <c r="N73" s="609"/>
    </row>
    <row r="74" spans="1:14" ht="12.75" customHeight="1" thickTop="1" thickBot="1" x14ac:dyDescent="0.25">
      <c r="A74" s="1666" t="s">
        <v>811</v>
      </c>
      <c r="B74" s="1674">
        <v>2000</v>
      </c>
      <c r="C74" s="1675">
        <f>SUM(C42,C47,C53,C57,C65,C72,C73)</f>
        <v>364468</v>
      </c>
      <c r="D74" s="1675">
        <f t="shared" ref="D74:K74" si="10">SUM(D42,D47,D53,D57,D65,D72,D73)</f>
        <v>67130</v>
      </c>
      <c r="E74" s="1675">
        <f t="shared" si="10"/>
        <v>133515</v>
      </c>
      <c r="F74" s="1675">
        <f t="shared" si="10"/>
        <v>150990</v>
      </c>
      <c r="G74" s="1675">
        <f t="shared" si="10"/>
        <v>5570</v>
      </c>
      <c r="H74" s="1675">
        <f t="shared" si="10"/>
        <v>14699</v>
      </c>
      <c r="I74" s="1675">
        <f t="shared" si="10"/>
        <v>0</v>
      </c>
      <c r="J74" s="1675">
        <f t="shared" si="10"/>
        <v>0</v>
      </c>
      <c r="K74" s="1675">
        <f t="shared" si="10"/>
        <v>736372</v>
      </c>
      <c r="L74" s="1675">
        <f>SUM(L42,L47,L53,L57,L65,L72,L73)</f>
        <v>750093</v>
      </c>
    </row>
    <row r="75" spans="1:14" s="259" customFormat="1" ht="15.75" customHeight="1" thickTop="1" thickBot="1" x14ac:dyDescent="0.25">
      <c r="A75" s="1610" t="s">
        <v>47</v>
      </c>
      <c r="B75" s="1611" t="s">
        <v>575</v>
      </c>
      <c r="C75" s="573"/>
      <c r="D75" s="573"/>
      <c r="E75" s="573">
        <v>4767</v>
      </c>
      <c r="F75" s="573">
        <v>1670</v>
      </c>
      <c r="G75" s="573"/>
      <c r="H75" s="573"/>
      <c r="I75" s="531"/>
      <c r="J75" s="531"/>
      <c r="K75" s="1668">
        <f>SUM(C75:J75)</f>
        <v>6437</v>
      </c>
      <c r="L75" s="576">
        <v>7556</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1650</v>
      </c>
      <c r="F78" s="616"/>
      <c r="G78" s="616"/>
      <c r="H78" s="634"/>
      <c r="I78" s="477"/>
      <c r="J78" s="477"/>
      <c r="K78" s="1669">
        <f t="shared" ref="K78:K83" si="11">SUM(C78:J78)</f>
        <v>1650</v>
      </c>
      <c r="L78" s="481">
        <v>1650</v>
      </c>
    </row>
    <row r="79" spans="1:14" x14ac:dyDescent="0.2">
      <c r="A79" s="1504" t="s">
        <v>304</v>
      </c>
      <c r="B79" s="614">
        <v>4120</v>
      </c>
      <c r="C79" s="616"/>
      <c r="D79" s="616"/>
      <c r="E79" s="466">
        <v>10356</v>
      </c>
      <c r="F79" s="616"/>
      <c r="G79" s="616"/>
      <c r="H79" s="466"/>
      <c r="I79" s="477"/>
      <c r="J79" s="477"/>
      <c r="K79" s="1669">
        <f t="shared" si="11"/>
        <v>10356</v>
      </c>
      <c r="L79" s="466">
        <v>11000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12006</v>
      </c>
      <c r="F84" s="616"/>
      <c r="G84" s="616"/>
      <c r="H84" s="1668">
        <f>SUM(H78:H83)</f>
        <v>0</v>
      </c>
      <c r="I84" s="477"/>
      <c r="J84" s="477"/>
      <c r="K84" s="1668">
        <f>SUM(K78:K83)</f>
        <v>12006</v>
      </c>
      <c r="L84" s="1668">
        <f>SUM(L78:L83)</f>
        <v>12650</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112574</v>
      </c>
      <c r="I86" s="477"/>
      <c r="J86" s="477"/>
      <c r="K86" s="1675">
        <f t="shared" ref="K86:K98" si="12">H86</f>
        <v>112574</v>
      </c>
      <c r="L86" s="530">
        <v>130000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112574</v>
      </c>
      <c r="I92" s="477"/>
      <c r="J92" s="477"/>
      <c r="K92" s="1675">
        <f t="shared" si="12"/>
        <v>112574</v>
      </c>
      <c r="L92" s="1668">
        <f>SUM(L85:L91)</f>
        <v>130000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12006</v>
      </c>
      <c r="F102" s="616"/>
      <c r="G102" s="616"/>
      <c r="H102" s="1675">
        <f>SUM(H84,H92,H100,H101)</f>
        <v>112574</v>
      </c>
      <c r="I102" s="477"/>
      <c r="J102" s="477"/>
      <c r="K102" s="1675">
        <f>SUM(K84,K92,K100,K101)</f>
        <v>124580</v>
      </c>
      <c r="L102" s="1675">
        <f>SUM(L84,L92,L100,L101)</f>
        <v>142650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1338813</v>
      </c>
      <c r="D114" s="1668">
        <f t="shared" ref="D114:K114" si="13">SUM(D33,D74,D75,D102,D112,D113)</f>
        <v>339596</v>
      </c>
      <c r="E114" s="1668">
        <f t="shared" si="13"/>
        <v>167168</v>
      </c>
      <c r="F114" s="1668">
        <f t="shared" si="13"/>
        <v>241062</v>
      </c>
      <c r="G114" s="1668">
        <f t="shared" si="13"/>
        <v>9831</v>
      </c>
      <c r="H114" s="1668">
        <f>SUM(H33,H74,H75,H102,H112,H113)</f>
        <v>140710</v>
      </c>
      <c r="I114" s="1668">
        <f t="shared" si="13"/>
        <v>0</v>
      </c>
      <c r="J114" s="1668">
        <f t="shared" si="13"/>
        <v>0</v>
      </c>
      <c r="K114" s="1668">
        <f t="shared" si="13"/>
        <v>2237180</v>
      </c>
      <c r="L114" s="1668">
        <f>SUM(L33,L74,L75,L102,L112,L113)</f>
        <v>2270781</v>
      </c>
    </row>
    <row r="115" spans="1:14" ht="13.5" thickTop="1" x14ac:dyDescent="0.2">
      <c r="A115" s="2155" t="s">
        <v>996</v>
      </c>
      <c r="B115" s="2156"/>
      <c r="C115" s="618"/>
      <c r="D115" s="618"/>
      <c r="E115" s="618"/>
      <c r="F115" s="618"/>
      <c r="G115" s="618"/>
      <c r="H115" s="618"/>
      <c r="I115" s="618"/>
      <c r="J115" s="618"/>
      <c r="K115" s="1682">
        <f>'Revenues 9-14'!C268-'Expenditures 15-22'!K114</f>
        <v>256688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v>167195</v>
      </c>
      <c r="H123" s="466"/>
      <c r="I123" s="467"/>
      <c r="J123" s="467"/>
      <c r="K123" s="1668">
        <f>SUM(C123:J123)</f>
        <v>167195</v>
      </c>
      <c r="L123" s="466">
        <v>168000</v>
      </c>
    </row>
    <row r="124" spans="1:14" ht="14.25" thickTop="1" thickBot="1" x14ac:dyDescent="0.25">
      <c r="A124" s="1504" t="s">
        <v>197</v>
      </c>
      <c r="B124" s="614">
        <v>2540</v>
      </c>
      <c r="C124" s="466"/>
      <c r="D124" s="466"/>
      <c r="E124" s="466">
        <v>24990</v>
      </c>
      <c r="F124" s="466">
        <v>2891</v>
      </c>
      <c r="G124" s="466">
        <v>6695</v>
      </c>
      <c r="H124" s="466"/>
      <c r="I124" s="467"/>
      <c r="J124" s="467"/>
      <c r="K124" s="1668">
        <f>SUM(C124:J124)</f>
        <v>34576</v>
      </c>
      <c r="L124" s="466">
        <v>38400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24990</v>
      </c>
      <c r="F127" s="1668">
        <f t="shared" si="14"/>
        <v>2891</v>
      </c>
      <c r="G127" s="1668">
        <f t="shared" si="14"/>
        <v>173890</v>
      </c>
      <c r="H127" s="1668">
        <f t="shared" si="14"/>
        <v>0</v>
      </c>
      <c r="I127" s="1668">
        <f t="shared" si="14"/>
        <v>0</v>
      </c>
      <c r="J127" s="1668">
        <f t="shared" si="14"/>
        <v>0</v>
      </c>
      <c r="K127" s="1668">
        <f t="shared" si="14"/>
        <v>201771</v>
      </c>
      <c r="L127" s="1668">
        <f t="shared" si="14"/>
        <v>206400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24990</v>
      </c>
      <c r="F129" s="1675">
        <f t="shared" si="15"/>
        <v>2891</v>
      </c>
      <c r="G129" s="1675">
        <f t="shared" si="15"/>
        <v>173890</v>
      </c>
      <c r="H129" s="1675">
        <f t="shared" si="15"/>
        <v>0</v>
      </c>
      <c r="I129" s="1675">
        <f t="shared" si="15"/>
        <v>0</v>
      </c>
      <c r="J129" s="1675">
        <f t="shared" si="15"/>
        <v>0</v>
      </c>
      <c r="K129" s="1675">
        <f t="shared" si="15"/>
        <v>201771</v>
      </c>
      <c r="L129" s="1675">
        <f t="shared" si="15"/>
        <v>206400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68">
        <f>SUM(C129,C130,C139,C149,C150)</f>
        <v>0</v>
      </c>
      <c r="D151" s="1668">
        <f t="shared" ref="D151:K151" si="16">SUM(D129,D130,D139,D149,D150)</f>
        <v>0</v>
      </c>
      <c r="E151" s="1668">
        <f t="shared" si="16"/>
        <v>24990</v>
      </c>
      <c r="F151" s="1668">
        <f t="shared" si="16"/>
        <v>2891</v>
      </c>
      <c r="G151" s="1668">
        <f t="shared" si="16"/>
        <v>173890</v>
      </c>
      <c r="H151" s="1668">
        <f t="shared" si="16"/>
        <v>0</v>
      </c>
      <c r="I151" s="1668">
        <f t="shared" si="16"/>
        <v>0</v>
      </c>
      <c r="J151" s="1668">
        <f t="shared" si="16"/>
        <v>0</v>
      </c>
      <c r="K151" s="1668">
        <f t="shared" si="16"/>
        <v>201771</v>
      </c>
      <c r="L151" s="1668">
        <f>SUM(L129,L130,L139,L149,L150)</f>
        <v>206400</v>
      </c>
    </row>
    <row r="152" spans="1:14" ht="12.75" customHeight="1" thickTop="1" x14ac:dyDescent="0.2">
      <c r="A152" s="2175" t="s">
        <v>1178</v>
      </c>
      <c r="B152" s="2176"/>
      <c r="C152" s="618"/>
      <c r="D152" s="618"/>
      <c r="E152" s="618"/>
      <c r="F152" s="618"/>
      <c r="G152" s="618"/>
      <c r="H152" s="618"/>
      <c r="I152" s="618"/>
      <c r="J152" s="616"/>
      <c r="K152" s="1682">
        <f>'Revenues 9-14'!D268-'Expenditures 15-22'!K151</f>
        <v>-83437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20457</v>
      </c>
      <c r="I169" s="616"/>
      <c r="J169" s="616"/>
      <c r="K169" s="1669">
        <f>SUM(C169:H169)</f>
        <v>20457</v>
      </c>
      <c r="L169" s="656">
        <v>20458</v>
      </c>
    </row>
    <row r="170" spans="1:14" ht="33.75" customHeight="1" x14ac:dyDescent="0.2">
      <c r="A170" s="669" t="s">
        <v>1670</v>
      </c>
      <c r="B170" s="671" t="s">
        <v>31</v>
      </c>
      <c r="C170" s="616"/>
      <c r="D170" s="616"/>
      <c r="E170" s="616"/>
      <c r="F170" s="616"/>
      <c r="G170" s="616"/>
      <c r="H170" s="569">
        <v>70000</v>
      </c>
      <c r="I170" s="616"/>
      <c r="J170" s="616"/>
      <c r="K170" s="1669">
        <f>SUM(C170:J170)</f>
        <v>70000</v>
      </c>
      <c r="L170" s="569">
        <v>70000</v>
      </c>
    </row>
    <row r="171" spans="1:14" ht="15.75" customHeight="1" x14ac:dyDescent="0.2">
      <c r="A171" s="621" t="s">
        <v>766</v>
      </c>
      <c r="B171" s="672" t="s">
        <v>84</v>
      </c>
      <c r="C171" s="616"/>
      <c r="D171" s="616"/>
      <c r="E171" s="466"/>
      <c r="F171" s="616"/>
      <c r="G171" s="616"/>
      <c r="H171" s="569">
        <v>1000</v>
      </c>
      <c r="I171" s="477"/>
      <c r="J171" s="616"/>
      <c r="K171" s="1669">
        <f>SUM(C171:J171)</f>
        <v>1000</v>
      </c>
      <c r="L171" s="569">
        <v>1000</v>
      </c>
    </row>
    <row r="172" spans="1:14" ht="12.75" customHeight="1" thickBot="1" x14ac:dyDescent="0.25">
      <c r="A172" s="1666" t="s">
        <v>638</v>
      </c>
      <c r="B172" s="1667" t="s">
        <v>492</v>
      </c>
      <c r="C172" s="616"/>
      <c r="D172" s="616"/>
      <c r="E172" s="1675">
        <f>SUM(E168,E169,E170,E171)</f>
        <v>0</v>
      </c>
      <c r="F172" s="616"/>
      <c r="G172" s="616"/>
      <c r="H172" s="1675">
        <f>SUM(H168,H169,H170,H171)</f>
        <v>91457</v>
      </c>
      <c r="I172" s="638"/>
      <c r="J172" s="616"/>
      <c r="K172" s="1675">
        <f>SUM(K168,K169,K170,K171)</f>
        <v>91457</v>
      </c>
      <c r="L172" s="1675">
        <f>SUM(L168,L169,L170,L171)</f>
        <v>91458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91457</v>
      </c>
      <c r="I174" s="638"/>
      <c r="J174" s="616"/>
      <c r="K174" s="1675">
        <f>SUM(K160,K172,K173)</f>
        <v>91457</v>
      </c>
      <c r="L174" s="1675">
        <f>SUM(L160,L172,L173)</f>
        <v>91458</v>
      </c>
    </row>
    <row r="175" spans="1:14" ht="13.5" thickTop="1" x14ac:dyDescent="0.2">
      <c r="A175" s="2155" t="s">
        <v>996</v>
      </c>
      <c r="B175" s="2156"/>
      <c r="C175" s="616"/>
      <c r="D175" s="616"/>
      <c r="E175" s="616"/>
      <c r="F175" s="616"/>
      <c r="G175" s="616"/>
      <c r="H175" s="618"/>
      <c r="I175" s="616"/>
      <c r="J175" s="616"/>
      <c r="K175" s="1682">
        <f>'Revenues 9-14'!E268-'Expenditures 15-22'!K174</f>
        <v>-14913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32064</v>
      </c>
      <c r="D182" s="466">
        <v>8663</v>
      </c>
      <c r="E182" s="466">
        <v>11356</v>
      </c>
      <c r="F182" s="466">
        <v>5885</v>
      </c>
      <c r="G182" s="466"/>
      <c r="H182" s="466">
        <v>426</v>
      </c>
      <c r="I182" s="467"/>
      <c r="J182" s="467"/>
      <c r="K182" s="1669">
        <f>SUM(C182:J182)</f>
        <v>58394</v>
      </c>
      <c r="L182" s="466">
        <v>62343</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32064</v>
      </c>
      <c r="D184" s="1675">
        <f t="shared" ref="D184:J184" si="17">SUM(D180,D182,D183)</f>
        <v>8663</v>
      </c>
      <c r="E184" s="1675">
        <f t="shared" si="17"/>
        <v>11356</v>
      </c>
      <c r="F184" s="1675">
        <f t="shared" si="17"/>
        <v>5885</v>
      </c>
      <c r="G184" s="1675">
        <f t="shared" si="17"/>
        <v>0</v>
      </c>
      <c r="H184" s="1675">
        <f t="shared" si="17"/>
        <v>426</v>
      </c>
      <c r="I184" s="1675">
        <f t="shared" si="17"/>
        <v>0</v>
      </c>
      <c r="J184" s="1675">
        <f t="shared" si="17"/>
        <v>0</v>
      </c>
      <c r="K184" s="1675">
        <f>SUM(K180,K182,K183)</f>
        <v>58394</v>
      </c>
      <c r="L184" s="1675">
        <f>SUM(L180, L182:L183)</f>
        <v>62343</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v>4481</v>
      </c>
      <c r="F189" s="616"/>
      <c r="G189" s="616"/>
      <c r="H189" s="466"/>
      <c r="I189" s="477"/>
      <c r="J189" s="616"/>
      <c r="K189" s="1669">
        <f t="shared" si="18"/>
        <v>4481</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4481</v>
      </c>
      <c r="F194" s="616"/>
      <c r="G194" s="616"/>
      <c r="H194" s="1668">
        <f>SUM(H188:H193)</f>
        <v>0</v>
      </c>
      <c r="I194" s="477"/>
      <c r="J194" s="616"/>
      <c r="K194" s="1668">
        <f>SUM(K188:K193)</f>
        <v>4481</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4481</v>
      </c>
      <c r="F196" s="616"/>
      <c r="G196" s="616"/>
      <c r="H196" s="1675">
        <f>SUM(H194,H195)</f>
        <v>0</v>
      </c>
      <c r="I196" s="477"/>
      <c r="J196" s="616"/>
      <c r="K196" s="1675">
        <f>SUM(K194,K195)</f>
        <v>4481</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32064</v>
      </c>
      <c r="D210" s="1668">
        <f>SUM(D184,D185)</f>
        <v>8663</v>
      </c>
      <c r="E210" s="1668">
        <f>SUM(E184,E185,E196)</f>
        <v>15837</v>
      </c>
      <c r="F210" s="1668">
        <f>SUM(F184,F185)</f>
        <v>5885</v>
      </c>
      <c r="G210" s="1668">
        <f>SUM(G184,G185)</f>
        <v>0</v>
      </c>
      <c r="H210" s="1668">
        <f>SUM(H184,H185,H196,H208,H209)</f>
        <v>426</v>
      </c>
      <c r="I210" s="1668">
        <f>SUM(I184,I185)</f>
        <v>0</v>
      </c>
      <c r="J210" s="1668">
        <f>SUM(J184,J185)</f>
        <v>0</v>
      </c>
      <c r="K210" s="1669">
        <f>SUM(K184,K185,K196,K208,K209)</f>
        <v>62875</v>
      </c>
      <c r="L210" s="1668">
        <f>SUM(L184,L185,L196,L208,L209)</f>
        <v>62343</v>
      </c>
    </row>
    <row r="211" spans="1:14" ht="13.5" thickTop="1" x14ac:dyDescent="0.2">
      <c r="A211" s="2155" t="s">
        <v>996</v>
      </c>
      <c r="B211" s="2156"/>
      <c r="C211" s="618"/>
      <c r="D211" s="618"/>
      <c r="E211" s="618"/>
      <c r="F211" s="618"/>
      <c r="G211" s="618"/>
      <c r="H211" s="618"/>
      <c r="I211" s="616"/>
      <c r="J211" s="616"/>
      <c r="K211" s="1682">
        <f>'Revenues 9-14'!F268-'Expenditures 15-22'!K210</f>
        <v>9751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18372</v>
      </c>
      <c r="E215" s="616"/>
      <c r="F215" s="616"/>
      <c r="G215" s="616"/>
      <c r="H215" s="616"/>
      <c r="I215" s="616"/>
      <c r="J215" s="616"/>
      <c r="K215" s="1669">
        <f>D215</f>
        <v>18372</v>
      </c>
      <c r="L215" s="466">
        <v>18500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16196</v>
      </c>
      <c r="E217" s="616"/>
      <c r="F217" s="616"/>
      <c r="G217" s="616"/>
      <c r="H217" s="616"/>
      <c r="I217" s="616"/>
      <c r="J217" s="616"/>
      <c r="K217" s="1669">
        <f t="shared" si="19"/>
        <v>16196</v>
      </c>
      <c r="L217" s="466">
        <v>17000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1863</v>
      </c>
      <c r="E219" s="616"/>
      <c r="F219" s="616"/>
      <c r="G219" s="616"/>
      <c r="H219" s="616"/>
      <c r="I219" s="616"/>
      <c r="J219" s="616"/>
      <c r="K219" s="1669">
        <f t="shared" si="19"/>
        <v>1863</v>
      </c>
      <c r="L219" s="466">
        <v>2000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671</v>
      </c>
      <c r="E223" s="616"/>
      <c r="F223" s="616"/>
      <c r="G223" s="616"/>
      <c r="H223" s="616"/>
      <c r="I223" s="616"/>
      <c r="J223" s="616"/>
      <c r="K223" s="1669">
        <f t="shared" si="19"/>
        <v>671</v>
      </c>
      <c r="L223" s="466">
        <v>800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37102</v>
      </c>
      <c r="E229" s="616"/>
      <c r="F229" s="616"/>
      <c r="G229" s="616"/>
      <c r="H229" s="616"/>
      <c r="I229" s="616"/>
      <c r="J229" s="616"/>
      <c r="K229" s="1668">
        <f>SUM(K215:K228)</f>
        <v>37102</v>
      </c>
      <c r="L229" s="1668">
        <f>SUM(L215:L228)</f>
        <v>38300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5892</v>
      </c>
      <c r="E232" s="616"/>
      <c r="F232" s="616"/>
      <c r="G232" s="616"/>
      <c r="H232" s="616"/>
      <c r="I232" s="616"/>
      <c r="J232" s="616"/>
      <c r="K232" s="1669">
        <f t="shared" ref="K232:K237" si="20">D232</f>
        <v>5892</v>
      </c>
      <c r="L232" s="466">
        <v>6000</v>
      </c>
    </row>
    <row r="233" spans="1:12" x14ac:dyDescent="0.2">
      <c r="A233" s="1504" t="s">
        <v>1090</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v>5094</v>
      </c>
      <c r="E234" s="616"/>
      <c r="F234" s="616"/>
      <c r="G234" s="616"/>
      <c r="H234" s="616"/>
      <c r="I234" s="616"/>
      <c r="J234" s="616"/>
      <c r="K234" s="1669">
        <f t="shared" si="20"/>
        <v>5094</v>
      </c>
      <c r="L234" s="466">
        <v>5500</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10986</v>
      </c>
      <c r="E238" s="616"/>
      <c r="F238" s="616"/>
      <c r="G238" s="616"/>
      <c r="H238" s="616"/>
      <c r="I238" s="616"/>
      <c r="J238" s="616"/>
      <c r="K238" s="1668">
        <f>SUM(K232:K237)</f>
        <v>10986</v>
      </c>
      <c r="L238" s="1668">
        <f>SUM(L232:L237)</f>
        <v>11500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v>
      </c>
      <c r="E240" s="616"/>
      <c r="F240" s="616"/>
      <c r="G240" s="616"/>
      <c r="H240" s="616"/>
      <c r="I240" s="616"/>
      <c r="J240" s="616"/>
      <c r="K240" s="1670">
        <f>D240</f>
        <v>4</v>
      </c>
      <c r="L240" s="481"/>
    </row>
    <row r="241" spans="1:12" x14ac:dyDescent="0.2">
      <c r="A241" s="1504" t="s">
        <v>815</v>
      </c>
      <c r="B241" s="614">
        <v>2220</v>
      </c>
      <c r="C241" s="616"/>
      <c r="D241" s="466">
        <v>481</v>
      </c>
      <c r="E241" s="616"/>
      <c r="F241" s="616"/>
      <c r="G241" s="616"/>
      <c r="H241" s="616"/>
      <c r="I241" s="616"/>
      <c r="J241" s="616"/>
      <c r="K241" s="1670">
        <f>D241</f>
        <v>481</v>
      </c>
      <c r="L241" s="466">
        <v>500</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485</v>
      </c>
      <c r="E243" s="616"/>
      <c r="F243" s="616"/>
      <c r="G243" s="616"/>
      <c r="H243" s="616"/>
      <c r="I243" s="616"/>
      <c r="J243" s="616"/>
      <c r="K243" s="1668">
        <f>SUM(K240:K242)</f>
        <v>485</v>
      </c>
      <c r="L243" s="1668">
        <f>SUM(L240:L242)</f>
        <v>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356</v>
      </c>
      <c r="E245" s="616"/>
      <c r="F245" s="616"/>
      <c r="G245" s="616"/>
      <c r="H245" s="616"/>
      <c r="I245" s="616"/>
      <c r="J245" s="616"/>
      <c r="K245" s="1670">
        <f>D245</f>
        <v>356</v>
      </c>
      <c r="L245" s="481">
        <v>375</v>
      </c>
    </row>
    <row r="246" spans="1:12" x14ac:dyDescent="0.2">
      <c r="A246" s="1504" t="s">
        <v>818</v>
      </c>
      <c r="B246" s="614">
        <v>2320</v>
      </c>
      <c r="C246" s="616"/>
      <c r="D246" s="466">
        <v>1651</v>
      </c>
      <c r="E246" s="616"/>
      <c r="F246" s="616"/>
      <c r="G246" s="616"/>
      <c r="H246" s="616"/>
      <c r="I246" s="616"/>
      <c r="J246" s="616"/>
      <c r="K246" s="1670">
        <f t="shared" ref="K246:K256" si="21">D246</f>
        <v>1651</v>
      </c>
      <c r="L246" s="466">
        <v>1675</v>
      </c>
    </row>
    <row r="247" spans="1:12" x14ac:dyDescent="0.2">
      <c r="A247" s="1504" t="s">
        <v>819</v>
      </c>
      <c r="B247" s="614">
        <v>2330</v>
      </c>
      <c r="C247" s="616"/>
      <c r="D247" s="466">
        <v>30</v>
      </c>
      <c r="E247" s="616"/>
      <c r="F247" s="616"/>
      <c r="G247" s="616"/>
      <c r="H247" s="616"/>
      <c r="I247" s="616"/>
      <c r="J247" s="616"/>
      <c r="K247" s="1670">
        <f t="shared" si="21"/>
        <v>30</v>
      </c>
      <c r="L247" s="466">
        <v>50</v>
      </c>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2037</v>
      </c>
      <c r="E257" s="616"/>
      <c r="F257" s="616"/>
      <c r="G257" s="616"/>
      <c r="H257" s="616"/>
      <c r="I257" s="616"/>
      <c r="J257" s="616"/>
      <c r="K257" s="1668">
        <f>SUM(K245:K256)</f>
        <v>2037</v>
      </c>
      <c r="L257" s="1668">
        <f>SUM(L245:L256)</f>
        <v>2100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0">
        <f>D259</f>
        <v>0</v>
      </c>
      <c r="L259" s="481"/>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0</v>
      </c>
      <c r="E261" s="616"/>
      <c r="F261" s="616"/>
      <c r="G261" s="616"/>
      <c r="H261" s="616"/>
      <c r="I261" s="616"/>
      <c r="J261" s="616"/>
      <c r="K261" s="1668">
        <f>SUM(K259:K260)</f>
        <v>0</v>
      </c>
      <c r="L261" s="1668">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10591</v>
      </c>
      <c r="E264" s="616"/>
      <c r="F264" s="616"/>
      <c r="G264" s="616"/>
      <c r="H264" s="616"/>
      <c r="I264" s="616"/>
      <c r="J264" s="616"/>
      <c r="K264" s="1670">
        <f t="shared" ref="K264:K269" si="22">D264</f>
        <v>10591</v>
      </c>
      <c r="L264" s="466">
        <v>11000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14931</v>
      </c>
      <c r="E266" s="616"/>
      <c r="F266" s="616"/>
      <c r="G266" s="616"/>
      <c r="H266" s="616"/>
      <c r="I266" s="616"/>
      <c r="J266" s="616"/>
      <c r="K266" s="1670">
        <f t="shared" si="22"/>
        <v>14931</v>
      </c>
      <c r="L266" s="466">
        <v>15000</v>
      </c>
    </row>
    <row r="267" spans="1:14" x14ac:dyDescent="0.2">
      <c r="A267" s="1504" t="s">
        <v>953</v>
      </c>
      <c r="B267" s="614">
        <v>2550</v>
      </c>
      <c r="C267" s="616"/>
      <c r="D267" s="466">
        <v>5746</v>
      </c>
      <c r="E267" s="616"/>
      <c r="F267" s="616"/>
      <c r="G267" s="616"/>
      <c r="H267" s="616"/>
      <c r="I267" s="616"/>
      <c r="J267" s="616"/>
      <c r="K267" s="1670">
        <f t="shared" si="22"/>
        <v>5746</v>
      </c>
      <c r="L267" s="466">
        <v>6000</v>
      </c>
    </row>
    <row r="268" spans="1:14" x14ac:dyDescent="0.2">
      <c r="A268" s="1504" t="s">
        <v>100</v>
      </c>
      <c r="B268" s="614">
        <v>2560</v>
      </c>
      <c r="C268" s="616"/>
      <c r="D268" s="466">
        <v>7427</v>
      </c>
      <c r="E268" s="616"/>
      <c r="F268" s="616"/>
      <c r="G268" s="616"/>
      <c r="H268" s="616"/>
      <c r="I268" s="616"/>
      <c r="J268" s="616"/>
      <c r="K268" s="1670">
        <f t="shared" si="22"/>
        <v>7427</v>
      </c>
      <c r="L268" s="466">
        <v>7500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38695</v>
      </c>
      <c r="E270" s="616"/>
      <c r="F270" s="616"/>
      <c r="G270" s="616"/>
      <c r="H270" s="616"/>
      <c r="I270" s="616"/>
      <c r="J270" s="616"/>
      <c r="K270" s="1668">
        <f>SUM(K263:K269)</f>
        <v>38695</v>
      </c>
      <c r="L270" s="1668">
        <f>SUM(L263:L269)</f>
        <v>39500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v>381</v>
      </c>
      <c r="E278" s="616"/>
      <c r="F278" s="616"/>
      <c r="G278" s="616"/>
      <c r="H278" s="616"/>
      <c r="I278" s="616"/>
      <c r="J278" s="616"/>
      <c r="K278" s="1683">
        <f>D278</f>
        <v>381</v>
      </c>
      <c r="L278" s="656">
        <v>400</v>
      </c>
    </row>
    <row r="279" spans="1:12" ht="12.75" customHeight="1" thickBot="1" x14ac:dyDescent="0.25">
      <c r="A279" s="1696" t="s">
        <v>811</v>
      </c>
      <c r="B279" s="1679">
        <v>2000</v>
      </c>
      <c r="C279" s="616"/>
      <c r="D279" s="1675">
        <f>SUM(D238,D243,D257,D261,D270,D277,D278)</f>
        <v>52584</v>
      </c>
      <c r="E279" s="616"/>
      <c r="F279" s="616"/>
      <c r="G279" s="616"/>
      <c r="H279" s="616"/>
      <c r="I279" s="616"/>
      <c r="J279" s="616"/>
      <c r="K279" s="1675">
        <f>SUM(K238,K243,K257,K261,K270,K277,K278)</f>
        <v>52584</v>
      </c>
      <c r="L279" s="1675">
        <f>SUM(L238,L243,L257,L261,L270,L277,L278)</f>
        <v>54000</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8">
        <f>SUM(D229,D279,D280,D285)</f>
        <v>89686</v>
      </c>
      <c r="E295" s="616"/>
      <c r="F295" s="616"/>
      <c r="G295" s="616"/>
      <c r="H295" s="1668">
        <f>H293</f>
        <v>0</v>
      </c>
      <c r="I295" s="616"/>
      <c r="J295" s="616"/>
      <c r="K295" s="1668">
        <f>SUM(K229,K279,K280,K285,K293,K294)</f>
        <v>89686</v>
      </c>
      <c r="L295" s="1668">
        <f>SUM(L229,L279,L280,L285,L293,L294)</f>
        <v>92300</v>
      </c>
    </row>
    <row r="296" spans="1:14" ht="13.5" thickTop="1" x14ac:dyDescent="0.2">
      <c r="A296" s="2155" t="s">
        <v>996</v>
      </c>
      <c r="B296" s="2156"/>
      <c r="C296" s="616"/>
      <c r="D296" s="618"/>
      <c r="E296" s="616"/>
      <c r="F296" s="616"/>
      <c r="G296" s="616"/>
      <c r="H296" s="687"/>
      <c r="I296" s="616"/>
      <c r="J296" s="616"/>
      <c r="K296" s="1682">
        <f>'Revenues 9-14'!G268-'Expenditures 15-22'!K295</f>
        <v>5617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6" t="s">
        <v>996</v>
      </c>
      <c r="B313" s="2167"/>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13712</v>
      </c>
      <c r="F320" s="467"/>
      <c r="G320" s="467"/>
      <c r="H320" s="467"/>
      <c r="I320" s="467"/>
      <c r="J320" s="467"/>
      <c r="K320" s="1669">
        <f t="shared" ref="K320:K327" si="24">SUM(C320:J320)</f>
        <v>13712</v>
      </c>
      <c r="L320" s="467">
        <v>13712</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13712</v>
      </c>
      <c r="F330" s="1668">
        <f t="shared" si="25"/>
        <v>0</v>
      </c>
      <c r="G330" s="1668">
        <f t="shared" si="25"/>
        <v>0</v>
      </c>
      <c r="H330" s="1668">
        <f t="shared" si="25"/>
        <v>0</v>
      </c>
      <c r="I330" s="1668">
        <f t="shared" si="25"/>
        <v>0</v>
      </c>
      <c r="J330" s="1668">
        <f t="shared" si="25"/>
        <v>0</v>
      </c>
      <c r="K330" s="1668">
        <f>SUM(K319:K329)</f>
        <v>13712</v>
      </c>
      <c r="L330" s="1668">
        <f>SUM(L319:L329)</f>
        <v>13712</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13712</v>
      </c>
      <c r="F342" s="1668">
        <f>SUM(F330)</f>
        <v>0</v>
      </c>
      <c r="G342" s="1668">
        <f>SUM(G330)</f>
        <v>0</v>
      </c>
      <c r="H342" s="1668">
        <f>SUM(H330,H334,H340)</f>
        <v>0</v>
      </c>
      <c r="I342" s="1668">
        <f>SUM(I330)</f>
        <v>0</v>
      </c>
      <c r="J342" s="1668">
        <f>SUM(J330)</f>
        <v>0</v>
      </c>
      <c r="K342" s="1668">
        <f>SUM(K330,K334,K340)</f>
        <v>13712</v>
      </c>
      <c r="L342" s="1675">
        <f>SUM(L330,L334,L340,L341)</f>
        <v>13712</v>
      </c>
    </row>
    <row r="343" spans="1:14" ht="12.75" customHeight="1" thickTop="1" x14ac:dyDescent="0.2">
      <c r="A343" s="2168" t="s">
        <v>996</v>
      </c>
      <c r="B343" s="2169"/>
      <c r="C343" s="616"/>
      <c r="D343" s="616"/>
      <c r="E343" s="616"/>
      <c r="F343" s="616"/>
      <c r="G343" s="616"/>
      <c r="H343" s="616"/>
      <c r="I343" s="616"/>
      <c r="J343" s="616"/>
      <c r="K343" s="1682">
        <f>'Revenues 9-14'!J268-'Expenditures 15-22'!K342</f>
        <v>-1383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row>
    <row r="349" spans="1:14" x14ac:dyDescent="0.2">
      <c r="A349" s="1504" t="s">
        <v>197</v>
      </c>
      <c r="B349" s="614">
        <v>2540</v>
      </c>
      <c r="C349" s="466"/>
      <c r="D349" s="466"/>
      <c r="E349" s="466">
        <v>424</v>
      </c>
      <c r="F349" s="466"/>
      <c r="G349" s="466"/>
      <c r="H349" s="466"/>
      <c r="I349" s="467"/>
      <c r="J349" s="467"/>
      <c r="K349" s="1669">
        <f>SUM(C349:J349)</f>
        <v>424</v>
      </c>
      <c r="L349" s="466">
        <v>424</v>
      </c>
    </row>
    <row r="350" spans="1:14" ht="12.75" customHeight="1" thickBot="1" x14ac:dyDescent="0.25">
      <c r="A350" s="1666" t="s">
        <v>719</v>
      </c>
      <c r="B350" s="1667" t="s">
        <v>35</v>
      </c>
      <c r="C350" s="1668">
        <f>SUM(C348:C349)</f>
        <v>0</v>
      </c>
      <c r="D350" s="1668">
        <f t="shared" ref="D350:L350" si="26">SUM(D348:D349)</f>
        <v>0</v>
      </c>
      <c r="E350" s="1668">
        <f t="shared" si="26"/>
        <v>424</v>
      </c>
      <c r="F350" s="1668">
        <f t="shared" si="26"/>
        <v>0</v>
      </c>
      <c r="G350" s="1668">
        <f t="shared" si="26"/>
        <v>0</v>
      </c>
      <c r="H350" s="1668">
        <f t="shared" si="26"/>
        <v>0</v>
      </c>
      <c r="I350" s="1668">
        <f t="shared" si="26"/>
        <v>0</v>
      </c>
      <c r="J350" s="1668">
        <f t="shared" si="26"/>
        <v>0</v>
      </c>
      <c r="K350" s="1668">
        <f t="shared" si="26"/>
        <v>424</v>
      </c>
      <c r="L350" s="1668">
        <f t="shared" si="26"/>
        <v>424</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424</v>
      </c>
      <c r="F352" s="1668">
        <f t="shared" si="27"/>
        <v>0</v>
      </c>
      <c r="G352" s="1668">
        <f t="shared" si="27"/>
        <v>0</v>
      </c>
      <c r="H352" s="1668">
        <f t="shared" si="27"/>
        <v>0</v>
      </c>
      <c r="I352" s="1668">
        <f t="shared" si="27"/>
        <v>0</v>
      </c>
      <c r="J352" s="1668">
        <f t="shared" si="27"/>
        <v>0</v>
      </c>
      <c r="K352" s="1668">
        <f t="shared" si="27"/>
        <v>424</v>
      </c>
      <c r="L352" s="1668">
        <f t="shared" si="27"/>
        <v>424</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424</v>
      </c>
      <c r="F367" s="1668">
        <f t="shared" si="28"/>
        <v>0</v>
      </c>
      <c r="G367" s="1668">
        <f t="shared" si="28"/>
        <v>0</v>
      </c>
      <c r="H367" s="1668">
        <f t="shared" si="28"/>
        <v>0</v>
      </c>
      <c r="I367" s="1668">
        <f t="shared" si="28"/>
        <v>0</v>
      </c>
      <c r="J367" s="1668">
        <f t="shared" si="28"/>
        <v>0</v>
      </c>
      <c r="K367" s="1668">
        <f t="shared" si="28"/>
        <v>424</v>
      </c>
      <c r="L367" s="1668">
        <f t="shared" si="28"/>
        <v>424</v>
      </c>
    </row>
    <row r="368" spans="1:14" ht="13.5" thickTop="1" x14ac:dyDescent="0.2">
      <c r="A368" s="2155" t="s">
        <v>996</v>
      </c>
      <c r="B368" s="2156"/>
      <c r="C368" s="654"/>
      <c r="D368" s="654"/>
      <c r="E368" s="626"/>
      <c r="F368" s="626"/>
      <c r="G368" s="626"/>
      <c r="H368" s="626"/>
      <c r="I368" s="626"/>
      <c r="J368" s="623"/>
      <c r="K368" s="1669">
        <f>'Revenues 9-14'!K268-'Expenditures 15-22'!K367</f>
        <v>-422</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2019-10-03T22:18:16Z</cp:lastPrinted>
  <dcterms:created xsi:type="dcterms:W3CDTF">2003-10-29T19:06:34Z</dcterms:created>
  <dcterms:modified xsi:type="dcterms:W3CDTF">2019-12-02T15:36:25Z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