
<file path=[Content_Types].xml><?xml version="1.0" encoding="utf-8"?>
<Types xmlns="http://schemas.openxmlformats.org/package/2006/content-types">
  <Default Extension="bin" ContentType="application/vnd.openxmlformats-officedocument.spreadsheetml.printerSettings"/>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C7E02E7-5D46-412C-BE89-B64F252C691A}"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81029"/>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B7001" i="106" s="1"/>
  <c r="D7001" i="106" s="1"/>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F31" i="108"/>
  <c r="F36" i="108"/>
  <c r="G28" i="108"/>
  <c r="G30" i="108"/>
  <c r="D31" i="108"/>
  <c r="D36" i="108"/>
  <c r="E31" i="108"/>
  <c r="G31" i="108"/>
  <c r="E33"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24" i="37"/>
  <c r="B4270" i="106" s="1"/>
  <c r="D4270" i="106" s="1"/>
  <c r="L5" i="11"/>
  <c r="B2056" i="106" s="1"/>
  <c r="D2056" i="106" s="1"/>
  <c r="B5752" i="106"/>
  <c r="D5752" i="106" s="1"/>
  <c r="D7245" i="106" l="1"/>
  <c r="L22" i="37"/>
  <c r="F72" i="34"/>
  <c r="F71" i="34"/>
  <c r="F69" i="34"/>
  <c r="F67" i="34"/>
  <c r="F38" i="34"/>
  <c r="F36" i="34"/>
  <c r="E38" i="108"/>
  <c r="E35" i="108"/>
  <c r="D6103" i="106"/>
  <c r="B1274" i="106"/>
  <c r="D1274" i="106" s="1"/>
  <c r="G15" i="145"/>
  <c r="L13" i="11"/>
  <c r="B2060" i="106" s="1"/>
  <c r="D2060" i="106" s="1"/>
  <c r="D69" i="36"/>
  <c r="F19" i="7"/>
  <c r="B1807" i="106" s="1"/>
  <c r="D1807" i="106" s="1"/>
  <c r="C342" i="29"/>
  <c r="B7216" i="106" s="1"/>
  <c r="D7216" i="106" s="1"/>
  <c r="K184" i="29"/>
  <c r="F13" i="4" s="1"/>
  <c r="B2596" i="106" s="1"/>
  <c r="D2596" i="106" s="1"/>
  <c r="G210" i="29"/>
  <c r="G29" i="108"/>
  <c r="C129" i="29"/>
  <c r="B1225" i="106" s="1"/>
  <c r="D1225" i="106" s="1"/>
  <c r="E29" i="108"/>
  <c r="F28" i="108"/>
  <c r="D27" i="108"/>
  <c r="D54" i="36"/>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K365" i="29" l="1"/>
  <c r="B7243" i="106" s="1"/>
  <c r="D7243" i="106" s="1"/>
  <c r="D7256" i="106"/>
  <c r="D7251" i="106"/>
  <c r="F41" i="108"/>
  <c r="G43" i="108" s="1"/>
  <c r="L16" i="11"/>
  <c r="B2061" i="106" s="1"/>
  <c r="D2061" i="106" s="1"/>
  <c r="B2031" i="106"/>
  <c r="D2031" i="106" s="1"/>
  <c r="N23" i="3"/>
  <c r="B284" i="106" s="1"/>
  <c r="D284" i="106" s="1"/>
  <c r="K342" i="29"/>
  <c r="F13" i="34" s="1"/>
  <c r="B1381" i="106"/>
  <c r="D1381" i="106" s="1"/>
  <c r="B1365" i="106"/>
  <c r="D1365" i="106" s="1"/>
  <c r="F65" i="34"/>
  <c r="C114" i="29"/>
  <c r="B757" i="106" s="1"/>
  <c r="D757" i="106" s="1"/>
  <c r="B5527" i="106"/>
  <c r="D5527" i="106" s="1"/>
  <c r="D44" i="36"/>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J78" i="4" s="1"/>
  <c r="J10" i="4"/>
  <c r="B6225" i="106" s="1"/>
  <c r="D6225" i="106" s="1"/>
  <c r="K17" i="4"/>
  <c r="K20" i="4" s="1"/>
  <c r="F8" i="4"/>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3575" i="106"/>
  <c r="D3575" i="106" s="1"/>
  <c r="K19" i="4"/>
  <c r="B4144" i="106" s="1"/>
  <c r="D4144" i="106" s="1"/>
  <c r="F10" i="4"/>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F8"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7" i="34"/>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<sst xmlns="http://schemas.openxmlformats.org/spreadsheetml/2006/main" count="5063" uniqueCount="2092">
  <si>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</si>
  <si>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</si>
  <si>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</si>
  <si>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</si>
  <si>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</si>
  <si>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</si>
  <si>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</si>
  <si>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</si>
  <si>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</si>
  <si>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</si>
  <si>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</si>
  <si>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</si>
  <si>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</si>
  <si>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</si>
  <si>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</si>
  <si>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</si>
  <si>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</si>
  <si>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</si>
  <si>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</si>
  <si>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</si>
  <si>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</si>
  <si>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</si>
  <si>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</si>
  <si>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</si>
  <si>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</si>
  <si>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</si>
  <si>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</si>
  <si>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</si>
  <si>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</si>
  <si>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</si>
  <si>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</si>
  <si>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</si>
  <si>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</si>
  <si>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</si>
  <si>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</si>
  <si>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</si>
  <si>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</si>
  <si>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</si>
  <si>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</si>
  <si>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</si>
  <si>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</si>
  <si>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</si>
  <si>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</si>
  <si>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</si>
  <si>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</si>
  <si>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</si>
  <si>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</si>
  <si>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</si>
  <si>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</si>
  <si>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</si>
  <si>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</si>
  <si>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</si>
  <si>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</si>
  <si>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</si>
  <si>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</si>
  <si>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</si>
  <si>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</si>
  <si>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</si>
  <si>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</si>
  <si>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</si>
  <si>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</si>
  <si>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</si>
  <si>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</si>
  <si>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</si>
  <si>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</si>
  <si>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</si>
  <si>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</si>
  <si>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</si>
  <si>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</si>
  <si>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</si>
  <si>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</si>
  <si>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</si>
  <si>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</si>
  <si>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</si>
  <si>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</si>
  <si>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</si>
  <si>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</si>
  <si>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</si>
  <si>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</si>
  <si>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</si>
  <si>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</si>
  <si>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</si>
  <si>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</si>
  <si>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</si>
  <si>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</si>
  <si>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</si>
  <si>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</si>
  <si>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</si>
  <si>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</si>
  <si>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</si>
  <si>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</si>
  <si>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</si>
  <si>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</si>
  <si>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</si>
  <si>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</si>
  <si>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</si>
  <si>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</si>
  <si>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</si>
  <si>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</si>
  <si>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</si>
  <si>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</si>
  <si>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</si>
  <si>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</si>
  <si>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</si>
  <si>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</si>
  <si>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</si>
  <si>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</si>
  <si>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</si>
  <si>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</si>
  <si>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</si>
  <si>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</si>
  <si>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</si>
  <si>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</si>
  <si>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</si>
  <si>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</si>
  <si>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</si>
  <si>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</si>
  <si>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</si>
  <si>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</si>
  <si>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</si>
  <si>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</si>
  <si>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</si>
  <si>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</si>
  <si>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</si>
  <si>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</si>
  <si>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</si>
  <si>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</si>
  <si>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</si>
  <si>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</si>
  <si>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</si>
  <si>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</si>
  <si>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</si>
  <si>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</si>
  <si>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</si>
  <si>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</si>
  <si>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</si>
  <si>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</si>
  <si>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</si>
  <si>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</si>
  <si>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</si>
  <si>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</si>
  <si>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</si>
  <si>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</si>
  <si>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</si>
  <si>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</si>
  <si>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</si>
  <si>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</si>
  <si>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</si>
  <si>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</si>
  <si>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</si>
  <si>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</si>
  <si>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</si>
  <si>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</si>
  <si>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</si>
  <si>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</si>
  <si>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</si>
  <si>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</si>
  <si>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</si>
  <si>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</si>
  <si>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</si>
  <si>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</si>
  <si>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</si>
  <si>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</si>
  <si>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</si>
  <si>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</si>
  <si>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</si>
  <si>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</si>
  <si>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</si>
  <si>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</si>
  <si>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</si>
  <si>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</si>
  <si>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</si>
  <si>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</si>
  <si>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</si>
  <si>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</si>
  <si>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</si>
  <si>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</si>
  <si>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</si>
  <si>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</si>
  <si>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</si>
  <si>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</si>
  <si>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</si>
  <si>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</si>
  <si>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</si>
  <si>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</si>
  <si>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</si>
  <si>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</si>
  <si>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</si>
  <si>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</si>
  <si>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</si>
  <si>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</si>
  <si>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</si>
  <si>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</si>
  <si>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</si>
  <si>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</si>
  <si>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</si>
  <si>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</si>
  <si>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</si>
  <si>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</si>
  <si>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</si>
  <si>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</si>
  <si>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</si>
  <si>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</si>
  <si>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</si>
  <si>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</si>
  <si>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</si>
  <si>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</si>
  <si>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</si>
  <si>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</si>
  <si>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</si>
  <si>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</si>
  <si>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</si>
  <si>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</si>
  <si>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</si>
  <si>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</si>
  <si>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</si>
  <si>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</si>
  <si>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</si>
  <si>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</si>
  <si>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</si>
  <si>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</si>
  <si>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</si>
  <si>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</si>
  <si>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</si>
  <si>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</si>
  <si>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</si>
  <si>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</si>
  <si>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</si>
  <si>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</si>
  <si>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</si>
  <si>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</si>
  <si>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</si>
  <si>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</si>
  <si>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</si>
  <si>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</si>
  <si>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</si>
  <si>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</si>
  <si>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</si>
  <si>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</si>
  <si>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</si>
  <si>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</si>
  <si>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</si>
  <si>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</si>
  <si>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</si>
  <si>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</si>
  <si>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</si>
  <si>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</si>
  <si>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</si>
  <si>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</si>
  <si>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</si>
  <si>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</si>
  <si>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</si>
  <si>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</si>
  <si>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</si>
  <si>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</si>
  <si>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</si>
  <si>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</si>
  <si>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</si>
  <si>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</si>
  <si>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</si>
  <si>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</si>
  <si>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</si>
  <si>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</si>
  <si>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</si>
  <si>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</si>
  <si>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</si>
  <si>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</si>
  <si>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</si>
  <si>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</si>
  <si>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</si>
  <si>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</si>
  <si>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</si>
  <si>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</si>
  <si>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</si>
  <si>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</si>
  <si>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</si>
  <si>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</si>
  <si>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</si>
  <si>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</si>
  <si>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</si>
  <si>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</si>
  <si>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</si>
  <si>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</si>
  <si>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</si>
  <si>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</si>
  <si>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</si>
  <si>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</si>
  <si>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</si>
  <si>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</si>
  <si>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</si>
  <si>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</si>
  <si>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</si>
  <si>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</si>
  <si>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</si>
  <si>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</si>
  <si>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</si>
  <si>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</si>
  <si>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</si>
  <si>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</si>
  <si>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</si>
  <si>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</si>
  <si>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</si>
  <si>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</si>
  <si>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</si>
  <si>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</si>
  <si>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</si>
  <si>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</si>
  <si>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</si>
  <si>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</si>
  <si>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</si>
  <si>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</si>
  <si>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</si>
  <si>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</si>
  <si>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</si>
  <si>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</si>
  <si>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</si>
  <si>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</si>
  <si>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</si>
  <si>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</si>
  <si>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</si>
  <si>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</si>
  <si>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</si>
  <si>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</si>
  <si>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</si>
  <si>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</si>
  <si>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</si>
  <si>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</si>
  <si>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</si>
  <si>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</si>
  <si>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</si>
  <si>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</si>
  <si>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</si>
  <si>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</si>
  <si>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</si>
  <si>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</si>
  <si>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</si>
  <si>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</si>
  <si>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</si>
  <si>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</si>
  <si>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</si>
  <si>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</si>
  <si>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</si>
  <si>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</si>
  <si>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</si>
  <si>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</si>
  <si>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</si>
  <si>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</si>
  <si>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</si>
  <si>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</si>
  <si>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</si>
  <si>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</si>
  <si>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</si>
  <si>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</si>
  <si>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</si>
  <si>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</si>
  <si>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</si>
  <si>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</si>
  <si>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</si>
  <si>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</si>
  <si>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</si>
  <si>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</si>
  <si>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</si>
  <si>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</si>
  <si>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</si>
  <si>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</si>
  <si>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</si>
  <si>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</si>
  <si>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</si>
  <si>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</si>
  <si>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</si>
  <si>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</si>
  <si>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</si>
  <si>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</si>
  <si>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</si>
  <si>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</si>
  <si>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</si>
  <si>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</si>
  <si>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</si>
  <si>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</si>
  <si>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</si>
  <si>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</si>
  <si>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</si>
  <si>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</si>
  <si>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</si>
  <si>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</si>
  <si>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</si>
  <si>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</si>
  <si>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</si>
  <si>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</si>
  <si>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</si>
  <si>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</si>
  <si>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</si>
  <si>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</si>
  <si>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</si>
  <si>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</si>
  <si>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</si>
  <si>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</si>
  <si>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</si>
  <si>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</si>
  <si>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</si>
  <si>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</si>
  <si>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</si>
  <si>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</si>
  <si>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</si>
  <si>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</si>
  <si>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</si>
  <si>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</si>
  <si>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</si>
  <si>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</si>
  <si>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</si>
  <si>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</si>
  <si>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</si>
  <si>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</si>
  <si>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</si>
  <si>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</si>
  <si>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</si>
  <si>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</si>
  <si>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</si>
  <si>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</si>
  <si>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</si>
  <si>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</si>
  <si>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</si>
  <si>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</si>
  <si>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</si>
  <si>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</si>
  <si>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</si>
  <si>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</si>
  <si>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</si>
  <si>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</si>
  <si>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</si>
  <si>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</si>
  <si>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</si>
  <si>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</si>
  <si>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</si>
  <si>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</si>
  <si>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</si>
  <si>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</si>
  <si>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</si>
  <si>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</si>
  <si>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</si>
  <si>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</si>
  <si>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</si>
  <si>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</si>
  <si>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</si>
  <si>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</si>
  <si>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</si>
  <si>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</si>
  <si>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</si>
  <si>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</si>
  <si>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</si>
  <si>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</si>
  <si>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</si>
  <si>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</si>
  <si>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</si>
  <si>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</si>
  <si>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</si>
  <si>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</si>
  <si>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</si>
  <si>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</si>
  <si>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</si>
  <si>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</si>
  <si>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</si>
  <si>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</si>
  <si>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</si>
  <si>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</si>
  <si>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</si>
  <si>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</si>
  <si>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</si>
  <si>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</si>
  <si>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</si>
  <si>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</si>
  <si>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</si>
  <si>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</si>
  <si>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</si>
  <si>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</si>
  <si>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</si>
  <si>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</si>
  <si>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</si>
  <si>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</si>
  <si>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</si>
  <si>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</si>
  <si>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</si>
  <si>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</si>
  <si>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</si>
  <si>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</si>
  <si>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</si>
  <si>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</si>
  <si>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</si>
  <si>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</si>
  <si>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</si>
  <si>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</si>
  <si>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</si>
  <si>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</si>
  <si>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</si>
  <si>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</si>
  <si>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</si>
  <si>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</si>
  <si>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</si>
  <si>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</si>
  <si>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</si>
  <si>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</si>
  <si>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</si>
  <si>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</si>
  <si>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</si>
  <si>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</si>
  <si>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</si>
  <si>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</si>
  <si>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</si>
  <si>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</si>
  <si>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</si>
  <si>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</si>
  <si>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</si>
  <si>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</si>
  <si>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</si>
  <si>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</si>
  <si>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</si>
  <si>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</si>
  <si>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</si>
  <si>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</si>
  <si>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</si>
  <si>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</si>
  <si>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</si>
  <si>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</si>
  <si>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</si>
  <si>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</si>
  <si>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</si>
  <si>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</si>
  <si>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</si>
  <si>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</si>
  <si>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</si>
  <si>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</si>
  <si>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</si>
  <si>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</si>
  <si>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</si>
  <si>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</si>
  <si>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</si>
  <si>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</si>
  <si>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</si>
  <si>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</si>
  <si>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</si>
  <si>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</si>
  <si>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</si>
  <si>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</si>
  <si>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</si>
  <si>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</si>
  <si>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</si>
  <si>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</si>
  <si>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</si>
  <si>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</si>
  <si>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</si>
  <si>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</si>
  <si>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</si>
  <si>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</si>
  <si>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</si>
  <si>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</si>
  <si>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</si>
  <si>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</si>
  <si>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</si>
  <si>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</si>
  <si>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</si>
  <si>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</si>
  <si>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</si>
  <si>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</si>
  <si>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</si>
  <si>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</si>
  <si>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</si>
  <si>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</si>
  <si>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</si>
  <si>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</si>
  <si>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</si>
  <si>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</si>
  <si>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</si>
  <si>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</si>
  <si>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</si>
  <si>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</si>
  <si>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</si>
  <si>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</si>
  <si>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</si>
  <si>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</si>
  <si>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</si>
  <si>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</si>
  <si>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</si>
  <si>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</si>
  <si>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</si>
  <si>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</si>
  <si>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</si>
  <si>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</si>
  <si>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</si>
  <si>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</si>
  <si>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</si>
  <si>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</si>
  <si>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</si>
  <si>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</si>
  <si>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</si>
  <si>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</si>
  <si>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</si>
  <si>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</si>
  <si>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</si>
  <si>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</si>
  <si>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</si>
  <si>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</si>
  <si>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</si>
  <si>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</si>
  <si>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</si>
  <si>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</si>
  <si>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</si>
  <si>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</si>
  <si>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</si>
  <si>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</si>
  <si>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</si>
  <si>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</si>
  <si>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</si>
  <si>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</si>
  <si>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</si>
  <si>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</si>
  <si>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</si>
  <si>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</si>
  <si>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</si>
  <si>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</si>
  <si>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</si>
  <si>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</si>
  <si>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</si>
  <si>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</si>
  <si>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</si>
  <si>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</si>
  <si>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</si>
  <si>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</si>
  <si>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</si>
  <si>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</si>
  <si>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</si>
  <si>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</si>
  <si>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</si>
  <si>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</si>
  <si>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</si>
  <si>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</si>
  <si>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</si>
  <si>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</si>
  <si>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</si>
  <si>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</si>
  <si>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</si>
  <si>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</si>
  <si>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</si>
  <si>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</si>
  <si>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</si>
  <si>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</si>
  <si>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</si>
  <si>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</si>
  <si>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</si>
  <si>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</si>
  <si>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</si>
  <si>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</si>
  <si>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</si>
  <si>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</si>
  <si>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</si>
  <si>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</si>
  <si>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</si>
  <si>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</si>
  <si>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</si>
  <si>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</si>
  <si>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</si>
  <si>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</si>
  <si>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</si>
  <si>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</si>
  <si>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</si>
  <si>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</si>
  <si>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</si>
  <si>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</si>
  <si>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</si>
  <si>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</si>
  <si>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</si>
  <si>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</si>
  <si>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</si>
  <si>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</si>
  <si>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</si>
  <si>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</si>
  <si>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</si>
  <si>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</si>
  <si>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</si>
  <si>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</si>
  <si>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</si>
  <si>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</si>
  <si>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</si>
  <si>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</si>
  <si>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</si>
  <si>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</si>
  <si>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</si>
  <si>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</si>
  <si>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</si>
  <si>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</si>
  <si>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</si>
  <si>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</si>
  <si>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</si>
  <si>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</si>
  <si>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</si>
  <si>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</si>
  <si>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</si>
  <si>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</si>
  <si>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</si>
  <si>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</si>
  <si>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</si>
  <si>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</si>
  <si>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</si>
  <si>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</si>
  <si>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</si>
  <si>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</si>
  <si>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</si>
  <si>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</si>
  <si>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</si>
  <si>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</si>
  <si>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</si>
  <si>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</si>
  <si>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</si>
  <si>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</si>
  <si>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</si>
  <si>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</si>
  <si>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</si>
  <si>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</si>
  <si>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</si>
  <si>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</si>
  <si>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</si>
  <si>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</si>
  <si>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</si>
  <si>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</si>
  <si>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</si>
  <si>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</si>
  <si>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</si>
  <si>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</si>
  <si>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</si>
  <si>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</si>
  <si>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</si>
  <si>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</si>
  <si>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</si>
  <si>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</si>
  <si>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</si>
  <si>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</si>
  <si>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</si>
  <si>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</si>
  <si>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</si>
  <si>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</si>
  <si>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</si>
  <si>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</si>
  <si>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</si>
  <si>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</si>
  <si>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</si>
  <si>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</si>
  <si>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</si>
  <si>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</si>
  <si>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</si>
  <si>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</si>
  <si>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</si>
  <si>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</si>
  <si>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</si>
  <si>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</si>
  <si>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</si>
  <si>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</si>
  <si>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</si>
  <si>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</si>
  <si>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</si>
  <si>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</si>
  <si>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</si>
  <si>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</si>
  <si>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</si>
  <si>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</si>
  <si>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</si>
  <si>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</si>
  <si>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</si>
  <si>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</si>
  <si>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</si>
  <si>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</si>
  <si>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</si>
  <si>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</si>
  <si>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</si>
  <si>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</si>
  <si>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</si>
  <si>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</si>
  <si>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</si>
  <si>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</si>
  <si>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</si>
  <si>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</si>
  <si>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</si>
  <si>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</si>
  <si>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</si>
  <si>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</si>
  <si>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</si>
  <si>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</si>
  <si>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</si>
  <si>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</si>
  <si>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</si>
  <si>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</si>
  <si>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</si>
  <si>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</si>
  <si>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</si>
  <si>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</si>
  <si>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</si>
  <si>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</si>
  <si>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</si>
  <si>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</si>
  <si>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</si>
  <si>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</si>
  <si>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</si>
  <si>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</si>
  <si>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</si>
  <si>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</si>
  <si>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</si>
  <si>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</si>
  <si>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</si>
  <si>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</si>
  <si>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</si>
  <si>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</si>
  <si>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</si>
  <si>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</si>
  <si>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</si>
  <si>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</si>
  <si>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</si>
  <si>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</si>
  <si>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</si>
  <si>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</si>
  <si>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</si>
  <si>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</si>
  <si>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</si>
  <si>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</si>
  <si>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</si>
  <si>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</si>
  <si>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</si>
  <si>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</si>
  <si>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</si>
  <si>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</si>
  <si>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</si>
  <si>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</si>
  <si>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</si>
  <si>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</si>
  <si>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</si>
  <si>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</si>
  <si>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</si>
  <si>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</si>
  <si>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</si>
  <si>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</si>
  <si>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</si>
  <si>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</si>
  <si>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</si>
  <si>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</si>
  <si>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</si>
  <si>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</si>
  <si>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</si>
  <si>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</si>
  <si>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</si>
  <si>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</si>
  <si>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</si>
  <si>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</si>
  <si>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</si>
  <si>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</si>
  <si>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</si>
  <si>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</si>
  <si>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</si>
  <si>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</si>
  <si>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</si>
  <si>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</si>
  <si>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</si>
  <si>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</si>
  <si>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</si>
  <si>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</si>
  <si>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</si>
  <si>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</si>
  <si>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</si>
  <si>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</si>
  <si>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</si>
  <si>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</si>
  <si>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</si>
  <si>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</si>
  <si>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</si>
  <si>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</si>
  <si>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</si>
  <si>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</si>
  <si>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</si>
  <si>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</si>
  <si>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</si>
  <si>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</si>
  <si>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</si>
  <si>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</si>
  <si>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</si>
  <si>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</si>
  <si>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</si>
  <si>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</si>
  <si>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</si>
  <si>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</si>
  <si>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</si>
  <si>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</si>
  <si>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</si>
  <si>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</si>
  <si>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</si>
  <si>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</si>
  <si>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</si>
  <si>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</si>
  <si>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</si>
  <si>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</si>
  <si>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</si>
  <si>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</si>
  <si>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</si>
  <si>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</si>
  <si>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</si>
  <si>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</si>
  <si>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</si>
  <si>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</si>
  <si>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</si>
  <si>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</si>
  <si>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</si>
  <si>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</si>
  <si>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</si>
  <si>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</si>
  <si>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</si>
  <si>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</si>
  <si>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</si>
  <si>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</si>
  <si>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</si>
  <si>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</si>
  <si>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</si>
  <si>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</si>
  <si>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</si>
  <si>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</si>
  <si>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</si>
  <si>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</si>
  <si>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</si>
  <si>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</si>
  <si>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</si>
  <si>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</si>
  <si>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</si>
  <si>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</si>
  <si>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</si>
  <si>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</si>
  <si>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</si>
  <si>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</si>
  <si>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</si>
  <si>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</si>
  <si>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</si>
  <si>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</si>
  <si>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</si>
  <si>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</si>
  <si>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</si>
  <si>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</si>
  <si>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</si>
  <si>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</si>
  <si>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</si>
  <si>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</si>
  <si>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</si>
  <si>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</si>
  <si>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</si>
  <si>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</si>
  <si>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</si>
  <si>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</si>
  <si>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</si>
  <si>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</si>
  <si>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</si>
  <si>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</si>
  <si>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</si>
  <si>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</si>
  <si>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</si>
  <si>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</si>
  <si>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</si>
  <si>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</si>
  <si>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</si>
  <si>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</si>
  <si>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</si>
  <si>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</si>
  <si>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</si>
  <si>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</si>
  <si>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</si>
  <si>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</si>
  <si>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</si>
  <si>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</si>
  <si>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</si>
  <si>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</si>
  <si>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</si>
  <si>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</si>
  <si>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</si>
  <si>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</si>
  <si>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</si>
  <si>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</si>
  <si>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</si>
  <si>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</si>
  <si>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</si>
  <si>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</si>
  <si>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</si>
  <si>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</si>
  <si>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</si>
  <si>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</si>
  <si>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</si>
  <si>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</si>
  <si>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</si>
  <si>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</si>
  <si>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</si>
  <si>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</si>
  <si>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</si>
  <si>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</si>
  <si>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</si>
  <si>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</si>
  <si>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</si>
  <si>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</si>
  <si>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</si>
  <si>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</si>
  <si>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</si>
  <si>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</si>
  <si>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</si>
  <si>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</si>
  <si>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</si>
  <si>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</si>
  <si>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</si>
  <si>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</si>
  <si>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</si>
  <si>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</si>
  <si>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</si>
  <si>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</si>
  <si>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</si>
  <si>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</si>
  <si>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</si>
  <si>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</si>
  <si>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</si>
  <si>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</si>
  <si>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</si>
  <si>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</si>
  <si>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</si>
  <si>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</si>
  <si>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</si>
  <si>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</si>
  <si>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</si>
  <si>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</si>
  <si>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</si>
  <si>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</si>
  <si>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</si>
  <si>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</si>
  <si>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</si>
  <si>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</si>
  <si>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</si>
  <si>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</si>
  <si>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</si>
  <si>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</si>
  <si>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</si>
  <si>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</si>
  <si>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</si>
  <si>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</si>
  <si>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</si>
  <si>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</si>
  <si>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</si>
  <si>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</si>
  <si>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</si>
  <si>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</si>
  <si>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</si>
  <si>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</si>
  <si>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</si>
  <si>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</si>
  <si>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</si>
  <si>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</si>
  <si>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</si>
  <si>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</si>
  <si>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</si>
  <si>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</si>
  <si>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</si>
  <si>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</si>
  <si>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</si>
  <si>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</si>
  <si>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</si>
  <si>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</si>
  <si>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</si>
  <si>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</si>
  <si>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</si>
  <si>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</si>
  <si>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</si>
  <si>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</si>
  <si>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</si>
  <si>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</si>
  <si>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</si>
  <si>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</si>
  <si>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</si>
  <si>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</si>
  <si>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</si>
  <si>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</si>
  <si>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</si>
  <si>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</si>
  <si>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</si>
  <si>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</si>
  <si>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</si>
  <si>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</si>
  <si>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</si>
  <si>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</si>
  <si>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</si>
  <si>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</si>
  <si>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</si>
  <si>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</si>
  <si>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</si>
  <si>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</si>
  <si>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</si>
  <si>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</si>
  <si>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</si>
  <si>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</si>
  <si>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</si>
  <si>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</si>
  <si>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</si>
  <si>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</si>
  <si>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</si>
  <si>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</si>
  <si>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</si>
  <si>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</si>
  <si>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</si>
  <si>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</si>
  <si>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</si>
  <si>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</si>
  <si>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</si>
  <si>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</si>
  <si>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</si>
  <si>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</si>
  <si>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</si>
  <si>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</si>
  <si>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</si>
  <si>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</si>
  <si>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</si>
  <si>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</si>
  <si>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</si>
  <si>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</si>
  <si>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</si>
  <si>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</si>
  <si>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</si>
  <si>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</si>
  <si>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</si>
  <si>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</si>
  <si>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</si>
  <si>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</si>
  <si>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</si>
  <si>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</si>
  <si>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</si>
  <si>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</si>
  <si>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</si>
  <si>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</si>
  <si>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</si>
  <si>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</si>
  <si>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</si>
  <si>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</si>
  <si>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</si>
  <si>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</si>
  <si>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</si>
  <si>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</si>
  <si>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</si>
  <si>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</si>
  <si>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</si>
  <si>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</si>
  <si>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</si>
  <si>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</si>
  <si>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</si>
  <si>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</si>
  <si>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</si>
  <si>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</si>
  <si>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</si>
  <si>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</si>
  <si>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</si>
  <si>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</si>
  <si>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</si>
  <si>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</si>
  <si>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</si>
  <si>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</si>
  <si>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</si>
  <si>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</si>
  <si>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</si>
  <si>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</si>
  <si>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</si>
  <si>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</si>
  <si>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</si>
  <si>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</si>
  <si>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</si>
  <si>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</si>
  <si>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</si>
  <si>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</si>
  <si>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</si>
  <si>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</si>
  <si>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</si>
  <si>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</si>
  <si>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</si>
  <si>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</si>
  <si>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</si>
  <si>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</si>
  <si>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</si>
  <si>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</si>
  <si>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</si>
  <si>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</si>
  <si>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</si>
  <si>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</si>
  <si>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</si>
  <si>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</si>
  <si>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</si>
  <si>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</si>
  <si>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</si>
  <si>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</si>
  <si>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</si>
  <si>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</si>
  <si>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</si>
  <si>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</si>
  <si>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</si>
  <si>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</si>
  <si>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</si>
  <si>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</si>
  <si>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</si>
  <si>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</si>
  <si>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</si>
  <si>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</si>
  <si>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</si>
  <si>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</si>
  <si>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</si>
  <si>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</si>
  <si>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</si>
  <si>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</si>
  <si>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</si>
  <si>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</si>
  <si>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</si>
  <si>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</si>
  <si>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</si>
  <si>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</si>
  <si>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</si>
  <si>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</si>
  <si>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</si>
  <si>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</si>
  <si>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</si>
  <si>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</si>
  <si>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</si>
  <si>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</si>
  <si>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</si>
  <si>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</si>
  <si>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</si>
  <si>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</si>
  <si>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</si>
  <si>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</si>
  <si>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</si>
  <si>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</si>
  <si>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</si>
  <si>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</si>
  <si>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</si>
  <si>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</si>
  <si>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</si>
  <si>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</si>
  <si>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</si>
  <si>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</si>
  <si>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</si>
  <si>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</si>
  <si>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</si>
  <si>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</si>
  <si>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</si>
  <si>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</si>
  <si>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</si>
  <si>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</si>
  <si>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</si>
  <si>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</si>
  <si>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</si>
  <si>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</si>
  <si>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</si>
  <si>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</si>
  <si>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</si>
  <si>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</si>
  <si>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</si>
  <si>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</si>
  <si>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</si>
  <si>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</si>
  <si>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</si>
  <si>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</si>
  <si>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</si>
  <si>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</si>
  <si>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</si>
  <si>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</si>
  <si>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</si>
  <si>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</si>
  <si>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</si>
  <si>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</si>
  <si>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</si>
  <si>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</si>
  <si>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</si>
  <si>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</si>
  <si>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</si>
  <si>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</si>
  <si>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</si>
  <si>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</si>
  <si>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</si>
  <si>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</si>
  <si>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</si>
  <si>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</si>
  <si>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</si>
  <si>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</si>
  <si>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</si>
  <si>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</si>
  <si>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</si>
  <si>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</si>
  <si>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</si>
  <si>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</si>
  <si>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</si>
  <si>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</si>
  <si>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</si>
  <si>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</si>
  <si>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</si>
  <si>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</si>
  <si>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</si>
  <si>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</si>
  <si>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</si>
  <si>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</si>
  <si>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</si>
  <si>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</si>
  <si>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</si>
  <si>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</si>
  <si>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</si>
  <si>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</si>
  <si>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</si>
  <si>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</si>
  <si>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</si>
  <si>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</si>
  <si>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</si>
  <si>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</si>
  <si>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</si>
  <si>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</si>
  <si>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</si>
  <si>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</si>
  <si>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</si>
  <si>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</si>
  <si>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</si>
  <si>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</si>
  <si>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</si>
  <si>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</si>
  <si>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</si>
  <si>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</si>
  <si>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</si>
  <si>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</si>
  <si>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</si>
  <si>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</si>
  <si>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</si>
  <si>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</si>
  <si>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</si>
  <si>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</si>
  <si>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</si>
  <si>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</si>
  <si>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</si>
  <si>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</si>
  <si>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</si>
  <si>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</si>
  <si>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</si>
  <si>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</si>
  <si>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</si>
  <si>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</si>
  <si>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</si>
  <si>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</si>
  <si>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</si>
  <si>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</si>
  <si>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</si>
  <si>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</si>
  <si>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</si>
  <si>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</si>
  <si>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</si>
  <si>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</si>
  <si>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</si>
  <si>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</si>
  <si>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</si>
  <si>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</si>
  <si>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</si>
  <si>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</si>
  <si>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</si>
  <si>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</si>
  <si>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</si>
  <si>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</si>
  <si>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</si>
  <si>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</si>
  <si>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</si>
  <si>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</si>
  <si>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</si>
  <si>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</si>
  <si>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</si>
  <si>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</si>
  <si>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</si>
  <si>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</si>
  <si>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</si>
  <si>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</si>
  <si>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</si>
  <si>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</si>
  <si>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</si>
  <si>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</si>
  <si>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</si>
  <si>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</si>
  <si>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</si>
  <si>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</si>
  <si>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</si>
  <si>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</si>
  <si>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</si>
  <si>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</si>
  <si>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</si>
  <si>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</si>
  <si>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</si>
  <si>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</si>
  <si>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</si>
  <si>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</si>
  <si>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</si>
  <si>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</si>
  <si>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</si>
  <si>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</si>
  <si>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</si>
  <si>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</si>
  <si>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</si>
  <si>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</si>
  <si>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</si>
  <si>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</si>
  <si>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</si>
  <si>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</si>
  <si>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</si>
  <si>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</si>
  <si>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</si>
  <si>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</si>
  <si>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</si>
  <si>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</si>
  <si>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</si>
  <si>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</si>
  <si>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</si>
  <si>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</si>
  <si>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</si>
  <si>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</si>
  <si>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</si>
  <si>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</si>
  <si>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</si>
  <si>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</si>
  <si>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</si>
  <si>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</si>
  <si>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</si>
  <si>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</si>
  <si>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</si>
  <si>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</si>
  <si>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</si>
  <si>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</si>
  <si>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</si>
  <si>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</si>
  <si>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</si>
  <si>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</si>
  <si>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</si>
  <si>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</si>
  <si>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</si>
  <si>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</si>
  <si>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</si>
  <si>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</si>
  <si>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</si>
  <si>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</si>
  <si>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</si>
  <si>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</si>
  <si>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</si>
  <si>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</si>
  <si>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</si>
  <si>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</si>
  <si>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</si>
  <si>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</si>
  <si>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</si>
  <si>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</si>
  <si>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</si>
  <si>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</si>
  <si>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</si>
  <si>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</si>
  <si>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</si>
  <si>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</si>
  <si>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</si>
  <si>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</si>
  <si>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</si>
  <si>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</si>
  <si>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</si>
  <si>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</si>
  <si>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</si>
  <si>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</si>
  <si>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</si>
  <si>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</si>
  <si>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</si>
  <si>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</si>
  <si>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</si>
  <si>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</si>
  <si>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</si>
  <si>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</si>
  <si>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</si>
  <si>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</si>
  <si>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</si>
  <si>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</si>
  <si>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</si>
  <si>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</si>
  <si>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</si>
  <si>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</si>
  <si>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</si>
  <si>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</si>
  <si>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</si>
  <si>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</si>
  <si>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</si>
  <si>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</si>
  <si>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</si>
  <si>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</si>
  <si>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</si>
  <si>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</si>
  <si>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</si>
  <si>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</si>
  <si>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</si>
  <si>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</si>
  <si>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</si>
  <si>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</si>
  <si>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</si>
  <si>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</si>
  <si>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</si>
  <si>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</si>
  <si>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</si>
  <si>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</si>
  <si>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</si>
  <si>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</si>
  <si>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</si>
  <si>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</si>
  <si>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</si>
  <si>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</si>
  <si>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</si>
  <si>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</si>
  <si>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</si>
  <si>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</si>
  <si>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</si>
  <si>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</si>
  <si>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</si>
  <si>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</si>
  <si>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</si>
  <si>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</si>
  <si>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</si>
  <si>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</si>
  <si>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</si>
  <si>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</si>
  <si>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</si>
  <si>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</si>
  <si>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</si>
  <si>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</si>
  <si>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</si>
  <si>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</si>
  <si>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</si>
  <si>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</si>
  <si>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</si>
  <si>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</si>
  <si>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</si>
  <si>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</si>
  <si>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</si>
  <si>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</si>
  <si>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</si>
  <si>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</si>
  <si>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</si>
  <si>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</si>
  <si>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</si>
  <si>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</si>
  <si>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</si>
  <si>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</si>
  <si>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</si>
  <si>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</si>
  <si>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</si>
  <si>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</si>
  <si>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</si>
  <si>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</si>
  <si>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</si>
  <si>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</si>
  <si>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</si>
  <si>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</si>
  <si>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</si>
  <si>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</si>
  <si>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</si>
  <si>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</si>
  <si>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</si>
  <si>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</si>
  <si>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</si>
  <si>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</si>
  <si>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</si>
  <si>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</si>
  <si>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</si>
  <si>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</si>
  <si>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</si>
  <si>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</si>
  <si>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</si>
  <si>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</si>
  <si>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</si>
  <si>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</si>
  <si>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</si>
  <si>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</si>
  <si>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</si>
  <si>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</si>
  <si>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</si>
  <si>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</si>
  <si>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</si>
  <si>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</si>
  <si>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</si>
  <si>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</si>
  <si>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</si>
  <si>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</si>
  <si>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</si>
  <si>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</si>
  <si>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</si>
  <si>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</si>
  <si>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</si>
  <si>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</si>
  <si>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</si>
  <si>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</si>
  <si>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</si>
  <si>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</si>
  <si>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</si>
  <si>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</si>
  <si>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</si>
  <si>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</si>
  <si>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</si>
  <si>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</si>
  <si>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</si>
  <si>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</si>
  <si>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</si>
  <si>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</si>
  <si>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</si>
  <si>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</si>
  <si>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</si>
  <si>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</si>
  <si>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</si>
  <si>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</si>
  <si>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</si>
  <si>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</si>
  <si>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</si>
  <si>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</si>
  <si>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</si>
  <si>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</si>
  <si>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</si>
  <si>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</si>
  <si>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</si>
  <si>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</si>
  <si>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</si>
  <si>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</si>
  <si>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</si>
  <si>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</si>
  <si>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</si>
  <si>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</si>
  <si>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</si>
  <si>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</si>
  <si>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</si>
  <si>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</si>
  <si>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</si>
  <si>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</si>
  <si>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</si>
  <si>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</si>
  <si>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</si>
  <si>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</si>
  <si>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</si>
  <si>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</si>
  <si>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</si>
  <si>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</si>
  <si>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</si>
  <si>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</si>
  <si>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</si>
  <si>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</si>
  <si>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</si>
  <si>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</si>
  <si>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</si>
  <si>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</si>
  <si>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</si>
  <si>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</si>
  <si>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</si>
  <si>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</si>
  <si>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</si>
  <si>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</si>
  <si>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</si>
  <si>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</si>
  <si>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</si>
  <si>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</si>
  <si>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</si>
  <si>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</si>
  <si>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</si>
  <si>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</si>
  <si>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</si>
  <si>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</si>
  <si>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</si>
  <si>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</si>
  <si>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</si>
  <si>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</si>
  <si>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</si>
  <si>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</si>
  <si>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</si>
  <si>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</si>
  <si>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</si>
  <si>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</si>
  <si>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</si>
  <si>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</si>
  <si>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</si>
  <si>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</si>
  <si>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</si>
  <si>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</si>
  <si>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</si>
  <si>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</si>
  <si>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</si>
  <si>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</si>
  <si>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</si>
  <si>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</si>
  <si>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</si>
  <si>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</si>
  <si>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</si>
  <si>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</si>
  <si>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</si>
  <si>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</si>
  <si>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</si>
  <si>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</si>
  <si>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</si>
  <si>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</si>
  <si>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</si>
  <si>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</si>
  <si>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</si>
  <si>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</si>
  <si>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</si>
  <si>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</si>
  <si>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</si>
  <si>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</si>
  <si>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</si>
  <si>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</si>
  <si>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</si>
  <si>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</si>
  <si>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</si>
  <si>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</si>
  <si>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</si>
  <si>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</si>
  <si>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</si>
  <si>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</si>
  <si>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</si>
  <si>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</si>
  <si>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</si>
  <si>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</si>
  <si>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</si>
  <si>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</si>
  <si>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</si>
  <si>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</si>
  <si>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</si>
  <si>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</si>
  <si>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</si>
  <si>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</si>
  <si>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</si>
  <si>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</si>
  <si>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</si>
  <si>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</si>
  <si>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</si>
  <si>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</si>
  <si>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</si>
  <si>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</si>
  <si>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</si>
  <si>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</si>
  <si>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</si>
  <si>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</si>
  <si>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</si>
  <si>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</si>
  <si>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</si>
  <si>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</si>
  <si>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</si>
  <si>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</si>
  <si>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</si>
  <si>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</si>
  <si>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</si>
  <si>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</si>
  <si>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</si>
  <si>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</si>
  <si>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</si>
  <si>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</si>
  <si>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</si>
  <si>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</si>
  <si>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</si>
  <si>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</si>
  <si>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</si>
  <si>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</si>
  <si>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</si>
  <si>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</si>
  <si>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</si>
  <si>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</si>
  <si>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</si>
  <si>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</si>
  <si>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</si>
  <si>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</si>
  <si>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</si>
  <si>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</si>
  <si>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</si>
  <si>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</si>
  <si>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</si>
  <si>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</si>
  <si>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</si>
  <si>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</si>
  <si>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</si>
  <si>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</si>
  <si>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</si>
  <si>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</si>
  <si>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</si>
  <si>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</si>
  <si>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</si>
  <si>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</si>
  <si>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</si>
  <si>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</si>
  <si>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</si>
  <si>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</si>
  <si>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</si>
  <si>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</si>
  <si>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</si>
  <si>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</si>
  <si>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</si>
  <si>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</si>
  <si>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</si>
  <si>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</si>
  <si>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</si>
  <si>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</si>
  <si>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</si>
  <si>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</si>
  <si>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</si>
  <si>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</si>
  <si>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</si>
  <si>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</si>
  <si>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</si>
  <si>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</si>
  <si>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</si>
  <si>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</si>
  <si>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</si>
  <si>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</si>
  <si>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</si>
  <si>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</si>
  <si>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</si>
  <si>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</si>
  <si>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</si>
  <si>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</si>
  <si>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</si>
  <si>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</si>
  <si>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</si>
  <si>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</si>
  <si>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</si>
  <si>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</si>
  <si>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</si>
  <si>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</si>
  <si>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</si>
  <si>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</si>
  <si>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</si>
  <si>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</si>
  <si>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</si>
  <si>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</si>
  <si>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</si>
  <si>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</si>
  <si>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</si>
  <si>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</si>
  <si>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</si>
  <si>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</si>
  <si>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</si>
  <si>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</si>
  <si>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</si>
  <si>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</si>
  <si>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</si>
  <si>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</si>
  <si>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</si>
  <si>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</si>
  <si>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</si>
  <si>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</si>
  <si>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</si>
  <si>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</si>
  <si>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</si>
  <si>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</si>
  <si>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</si>
  <si>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</si>
  <si>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</si>
  <si>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</si>
  <si>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</si>
  <si>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</si>
  <si>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</si>
  <si>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</si>
  <si>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</si>
  <si>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</si>
  <si>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</si>
  <si>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</si>
  <si>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</si>
  <si>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</si>
  <si>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</si>
  <si>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</si>
  <si>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</si>
  <si>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</si>
  <si>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</si>
  <si>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</si>
  <si>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</si>
  <si>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</si>
  <si>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</si>
  <si>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</si>
  <si>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</si>
  <si>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</si>
  <si>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</si>
  <si>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</si>
  <si>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</si>
  <si>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</si>
  <si>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</si>
  <si>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</si>
  <si>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</si>
  <si>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</si>
  <si>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</si>
  <si>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</si>
  <si>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</si>
  <si>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</si>
  <si>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</si>
  <si>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</si>
  <si>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</si>
  <si>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</si>
  <si>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</si>
  <si>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</si>
  <si>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</si>
  <si>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</si>
  <si>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</si>
  <si>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</si>
  <si>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</si>
  <si>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</si>
  <si>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</si>
  <si>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</si>
  <si>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</si>
  <si>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</si>
  <si>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</si>
  <si>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</si>
  <si>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</si>
  <si>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</si>
  <si>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</si>
  <si>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</si>
  <si>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</si>
  <si>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</si>
  <si>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</si>
  <si>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</si>
  <si>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</si>
  <si>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</si>
  <si>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</si>
  <si>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</si>
  <si>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</si>
  <si>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</si>
  <si>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</si>
  <si>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</si>
  <si>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</si>
  <si>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</si>
  <si>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</si>
  <si>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</si>
  <si>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</si>
  <si>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</si>
  <si>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</si>
  <si>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</si>
  <si>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</si>
  <si>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</si>
  <si>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</si>
  <si>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</si>
  <si>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</si>
  <si>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</si>
  <si>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</si>
  <si>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</si>
  <si>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</si>
  <si>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</si>
  <si>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</si>
  <si>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</si>
  <si>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</si>
  <si>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</si>
  <si>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</si>
  <si>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</si>
  <si>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</si>
  <si>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</si>
  <si>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</si>
  <si>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</si>
  <si>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</si>
  <si>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</si>
  <si>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</si>
  <si>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</si>
  <si>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</si>
  <si>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</si>
  <si>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</si>
  <si>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</si>
  <si>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</si>
  <si>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</si>
  <si>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</si>
  <si>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</si>
  <si>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</si>
  <si>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</si>
  <si>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</si>
  <si>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</si>
  <si>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</si>
  <si>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</si>
  <si>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</si>
  <si>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</si>
  <si>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</si>
  <si>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</si>
  <si>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</si>
  <si>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</si>
  <si>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</si>
  <si>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</si>
  <si>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</si>
  <si>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</si>
  <si>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</si>
  <si>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</si>
  <si>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</si>
  <si>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</si>
  <si>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</si>
  <si>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</si>
  <si>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</si>
  <si>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</si>
  <si>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</si>
  <si>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</si>
  <si>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</si>
  <si>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</si>
  <si>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</si>
  <si>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</si>
  <si>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</si>
  <si>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</si>
  <si>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</si>
  <si>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</si>
  <si>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</si>
  <si>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</si>
  <si>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</si>
  <si>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</si>
  <si>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</si>
  <si>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</si>
  <si>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</si>
  <si>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</si>
  <si>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</si>
  <si>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</si>
  <si>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</si>
  <si>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</si>
  <si>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</si>
  <si>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</si>
  <si>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</si>
  <si>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</si>
  <si>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</si>
  <si>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</si>
  <si>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</si>
  <si>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</si>
  <si>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</si>
  <si>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</si>
  <si>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</si>
  <si>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</si>
  <si>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</si>
  <si>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</si>
  <si>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</si>
  <si>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</si>
  <si>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</si>
  <si>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</si>
  <si>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</si>
  <si>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</si>
  <si>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</si>
  <si>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</si>
  <si>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</si>
  <si>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</si>
  <si>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</si>
  <si>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</si>
  <si>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</si>
  <si>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</si>
  <si>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</si>
  <si>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</si>
  <si>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</si>
  <si>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</si>
  <si>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</si>
  <si>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</si>
  <si>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</si>
  <si>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</si>
  <si>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</si>
  <si>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</si>
  <si>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</si>
  <si>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</si>
  <si>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</si>
  <si>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</si>
  <si>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</si>
  <si>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</si>
  <si>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</si>
  <si>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</si>
  <si>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</si>
  <si>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</si>
  <si>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</si>
  <si>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</si>
  <si>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</si>
  <si>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</si>
  <si>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</si>
  <si>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</si>
  <si>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</si>
  <si>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</si>
  <si>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</si>
  <si>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</si>
  <si>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</si>
  <si>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</si>
  <si>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</si>
  <si>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</si>
  <si>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Taxable GO Limited Tax Refunding School Bonds Series 2017B</t>
  </si>
  <si>
    <t>GO Obligation  Limited Tax School Bonds Series 2017C</t>
  </si>
  <si>
    <t>Taxable GO Limited Tax Refunding School Bonds (Qualified Zone Academy</t>
  </si>
  <si>
    <t>Dale L. Guebert</t>
  </si>
  <si>
    <t>Jefferson</t>
  </si>
  <si>
    <t>140 W Market</t>
  </si>
  <si>
    <t>901 Sixth Street</t>
  </si>
  <si>
    <t>Red Bud</t>
  </si>
  <si>
    <t xml:space="preserve">Bluford  </t>
  </si>
  <si>
    <t>618-282-8300</t>
  </si>
  <si>
    <t>618-282-8301</t>
  </si>
  <si>
    <t>sgordon@blufordschoolsdistrict.org</t>
  </si>
  <si>
    <t>dguebert@htc.net</t>
  </si>
  <si>
    <t>x</t>
  </si>
  <si>
    <t>Mount Vernon District No. 80</t>
  </si>
  <si>
    <t>Franklin Jefferson Countie Special Education District</t>
  </si>
  <si>
    <t>IL</t>
  </si>
  <si>
    <t>Box 23 Adverse due to the regulatory basis of accounting.</t>
  </si>
  <si>
    <t>page 10, line 81. Expenese paid for dues $900 and Kindg zoo ticket $384 from imprest fund</t>
  </si>
  <si>
    <t>page 16, line 56. Administrative asst. $19,531.</t>
  </si>
  <si>
    <t>page 20, line 260. Administration, IMRF $6260, FICA $2958, Medicare $732</t>
  </si>
  <si>
    <t>page 11, , line 107. USAC Treasury ERATE payment $10128. Reimbursement from retirees for health insurance $21298</t>
  </si>
  <si>
    <t>page 18, line 171, Service charge on bonds $700</t>
  </si>
  <si>
    <t>page 11, line 107, fund 40, Other insurance drivers ed car $5569.</t>
  </si>
  <si>
    <t xml:space="preserve">Page 11, line 107,fund 20, Baker property $26 and Lowes refund $291. </t>
  </si>
  <si>
    <t>NONE</t>
  </si>
  <si>
    <t>Bluford Unit School District 318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</si>
</sst>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7DD37C-0F0B-4B75-85A4-15B22E5A517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F644197B-4805-4358-BD83-F01B3482074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EC30BC9F-9CC9-4228-8796-010F31EE240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1219200</xdr:colOff>
          <xdr:row>5</xdr:row>
          <xdr:rowOff>0</xdr:rowOff>
        </xdr:from>
        <xdr:to>
          <xdr:col>1</xdr:col>
          <xdr:colOff>2133600</xdr:colOff>
          <xdr:row>9</xdr:row>
          <xdr:rowOff>123825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A2A8A703-9BAB-451D-945E-B10A206003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5</xdr:row>
          <xdr:rowOff>0</xdr:rowOff>
        </xdr:from>
        <xdr:to>
          <xdr:col>1</xdr:col>
          <xdr:colOff>3209925</xdr:colOff>
          <xdr:row>9</xdr:row>
          <xdr:rowOff>123825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228587A7-CB78-4B6A-B697-BACA870EB53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3409950</xdr:colOff>
          <xdr:row>5</xdr:row>
          <xdr:rowOff>9525</xdr:rowOff>
        </xdr:from>
        <xdr:to>
          <xdr:col>2</xdr:col>
          <xdr:colOff>342900</xdr:colOff>
          <xdr:row>9</xdr:row>
          <xdr:rowOff>133350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E1A42941-937B-45F9-B3E1-EA493F220EF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4.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3.bin"/><Relationship Id="rId4" Type="http://schemas.openxmlformats.org/officeDocument/2006/relationships/oleObject" Target="../embeddings/Microsoft_Excel_97-2003_Worksheet.xls"/><Relationship Id="rId9" Type="http://schemas.openxmlformats.org/officeDocument/2006/relationships/image" Target="../media/image3.emf"/><Relationship Id="rId14"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2078</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2078</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13041318027</v>
      </c>
      <c r="B13" s="2020"/>
      <c r="C13" s="2020"/>
      <c r="D13" s="2020"/>
      <c r="E13" s="2020"/>
      <c r="F13" s="2020"/>
      <c r="G13" s="2020"/>
      <c r="H13" s="2021"/>
      <c r="I13" s="31"/>
      <c r="J13" s="30"/>
      <c r="K13" s="28"/>
      <c r="L13" s="30"/>
      <c r="M13" s="30"/>
      <c r="N13" s="30"/>
      <c r="O13" s="30"/>
      <c r="P13" s="30"/>
      <c r="Q13" s="30"/>
      <c r="R13" s="30"/>
      <c r="S13" s="30"/>
      <c r="T13" s="2024" t="s">
        <v>2068</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2069</v>
      </c>
      <c r="B15" s="2022"/>
      <c r="C15" s="2022"/>
      <c r="D15" s="2022"/>
      <c r="E15" s="2022"/>
      <c r="F15" s="2022"/>
      <c r="G15" s="2022"/>
      <c r="H15" s="2023"/>
      <c r="T15" s="2028" t="s">
        <v>2068</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2091</v>
      </c>
      <c r="B17" s="1979"/>
      <c r="C17" s="1979"/>
      <c r="D17" s="1979"/>
      <c r="E17" s="1979"/>
      <c r="F17" s="1979"/>
      <c r="G17" s="1979"/>
      <c r="H17" s="2004"/>
      <c r="T17" s="2035" t="s">
        <v>2070</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2071</v>
      </c>
      <c r="B19" s="1964"/>
      <c r="C19" s="1964"/>
      <c r="D19" s="1964"/>
      <c r="E19" s="1964"/>
      <c r="F19" s="1964"/>
      <c r="G19" s="1964"/>
      <c r="H19" s="1944"/>
      <c r="I19" s="30"/>
      <c r="J19" s="99"/>
      <c r="K19" s="40"/>
      <c r="L19" s="38"/>
      <c r="M19" s="112" t="s">
        <v>315</v>
      </c>
      <c r="P19" s="27"/>
      <c r="Q19" s="27"/>
      <c r="R19" s="27"/>
      <c r="S19" s="31"/>
      <c r="T19" s="2018" t="s">
        <v>2072</v>
      </c>
      <c r="U19" s="1943"/>
      <c r="V19" s="1943"/>
      <c r="W19" s="1944"/>
      <c r="X19" s="2033" t="s">
        <v>2081</v>
      </c>
      <c r="Y19" s="2034"/>
      <c r="Z19" s="2031">
        <v>62278</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2073</v>
      </c>
      <c r="B21" s="1943"/>
      <c r="C21" s="1943"/>
      <c r="D21" s="1943"/>
      <c r="E21" s="1943"/>
      <c r="F21" s="1943"/>
      <c r="G21" s="1943"/>
      <c r="H21" s="1944"/>
      <c r="I21" s="1998" t="s">
        <v>678</v>
      </c>
      <c r="J21" s="1993"/>
      <c r="K21" s="1993"/>
      <c r="L21" s="1993"/>
      <c r="M21" s="1993"/>
      <c r="N21" s="1993"/>
      <c r="O21" s="1993"/>
      <c r="P21" s="1993"/>
      <c r="Q21" s="1993"/>
      <c r="R21" s="1993"/>
      <c r="S21" s="1999"/>
      <c r="T21" s="2042" t="s">
        <v>2074</v>
      </c>
      <c r="U21" s="2043"/>
      <c r="V21" s="2043"/>
      <c r="W21" s="2043"/>
      <c r="X21" s="2048" t="s">
        <v>2075</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2076</v>
      </c>
      <c r="B23" s="1996"/>
      <c r="C23" s="1996"/>
      <c r="D23" s="1996"/>
      <c r="E23" s="1996"/>
      <c r="F23" s="1996"/>
      <c r="G23" s="1996"/>
      <c r="H23" s="1997"/>
      <c r="T23" s="1978">
        <v>65.012236000000001</v>
      </c>
      <c r="U23" s="2041"/>
      <c r="V23" s="2041"/>
      <c r="W23" s="2041"/>
      <c r="X23" s="2045">
        <v>44469</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62814</v>
      </c>
      <c r="B25" s="1943"/>
      <c r="C25" s="1943"/>
      <c r="D25" s="1943"/>
      <c r="E25" s="1943"/>
      <c r="F25" s="1943"/>
      <c r="G25" s="1943"/>
      <c r="H25" s="1944"/>
      <c r="I25" s="113"/>
      <c r="J25" s="1967"/>
      <c r="K25" s="1967"/>
      <c r="L25" s="1967"/>
      <c r="M25" s="1967"/>
      <c r="N25" s="1967"/>
      <c r="O25" s="1967"/>
      <c r="P25" s="1967"/>
      <c r="Q25" s="1967"/>
      <c r="R25" s="1967"/>
      <c r="S25" s="1968"/>
      <c r="T25" s="2038" t="s">
        <v>2077</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2078</v>
      </c>
      <c r="F29" s="141" t="s">
        <v>1316</v>
      </c>
      <c r="G29" s="114"/>
      <c r="I29" s="54"/>
      <c r="J29" s="102"/>
      <c r="K29" s="28" t="s">
        <v>576</v>
      </c>
      <c r="L29" s="102" t="s">
        <v>2078</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t="s">
        <v>2078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t="s">
        <v>2078</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c r="B42" s="1962"/>
      <c r="C42" s="1963"/>
      <c r="D42" s="1961"/>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9" sqref="B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9">
        <f>'Revenues 9-14'!C5</f>
        <v>572953</v>
      </c>
      <c r="C4" s="1524"/>
      <c r="D4" s="1752">
        <f>B4-C4</f>
        <v>572953</v>
      </c>
      <c r="E4" s="1524">
        <v>572952</v>
      </c>
      <c r="F4" s="1752">
        <f>E4-C4</f>
        <v>572952</v>
      </c>
    </row>
    <row r="5" spans="1:6" ht="13.7" customHeight="1" x14ac:dyDescent="0.2">
      <c r="A5" s="715" t="s">
        <v>870</v>
      </c>
      <c r="B5" s="1750">
        <f>'Revenues 9-14'!D5</f>
        <v>139195</v>
      </c>
      <c r="C5" s="585"/>
      <c r="D5" s="1753">
        <f t="shared" ref="D5:D18" si="0">B5-C5</f>
        <v>139195</v>
      </c>
      <c r="E5" s="585">
        <v>139195</v>
      </c>
      <c r="F5" s="1753">
        <f>E5-C5</f>
        <v>139195</v>
      </c>
    </row>
    <row r="6" spans="1:6" ht="13.7" customHeight="1" x14ac:dyDescent="0.2">
      <c r="A6" s="715" t="s">
        <v>411</v>
      </c>
      <c r="B6" s="1750">
        <f>'Revenues 9-14'!E5</f>
        <v>198223</v>
      </c>
      <c r="C6" s="585"/>
      <c r="D6" s="1753">
        <f t="shared" si="0"/>
        <v>198223</v>
      </c>
      <c r="E6" s="585">
        <v>198223</v>
      </c>
      <c r="F6" s="1753">
        <f t="shared" ref="F6:F18" si="1">E6-C6</f>
        <v>198223</v>
      </c>
    </row>
    <row r="7" spans="1:6" ht="13.7" customHeight="1" x14ac:dyDescent="0.2">
      <c r="A7" s="715" t="s">
        <v>155</v>
      </c>
      <c r="B7" s="1750">
        <f>'Revenues 9-14'!F5</f>
        <v>76139</v>
      </c>
      <c r="C7" s="585"/>
      <c r="D7" s="1753">
        <f t="shared" si="0"/>
        <v>76139</v>
      </c>
      <c r="E7" s="585">
        <v>76138</v>
      </c>
      <c r="F7" s="1753">
        <f t="shared" si="1"/>
        <v>76138</v>
      </c>
    </row>
    <row r="8" spans="1:6" ht="13.7" customHeight="1" x14ac:dyDescent="0.2">
      <c r="A8" s="715" t="s">
        <v>1179</v>
      </c>
      <c r="B8" s="1750">
        <f>'Revenues 9-14'!G5</f>
        <v>93203</v>
      </c>
      <c r="C8" s="585"/>
      <c r="D8" s="1753">
        <f t="shared" si="0"/>
        <v>93203</v>
      </c>
      <c r="E8" s="585">
        <v>93203</v>
      </c>
      <c r="F8" s="1753">
        <f t="shared" si="1"/>
        <v>93203</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15665</v>
      </c>
      <c r="C10" s="585"/>
      <c r="D10" s="1753">
        <f t="shared" si="0"/>
        <v>15665</v>
      </c>
      <c r="E10" s="585">
        <v>15565</v>
      </c>
      <c r="F10" s="1753">
        <f t="shared" si="1"/>
        <v>15565</v>
      </c>
    </row>
    <row r="11" spans="1:6" x14ac:dyDescent="0.2">
      <c r="A11" s="715" t="s">
        <v>409</v>
      </c>
      <c r="B11" s="1750">
        <f>'Revenues 9-14'!J5</f>
        <v>162817</v>
      </c>
      <c r="C11" s="585"/>
      <c r="D11" s="1753">
        <f t="shared" si="0"/>
        <v>162817</v>
      </c>
      <c r="E11" s="585">
        <v>162817</v>
      </c>
      <c r="F11" s="1753">
        <f t="shared" si="1"/>
        <v>162817</v>
      </c>
    </row>
    <row r="12" spans="1:6" ht="13.7" customHeight="1" x14ac:dyDescent="0.2">
      <c r="A12" s="715" t="s">
        <v>157</v>
      </c>
      <c r="B12" s="1750">
        <f>'Revenues 9-14'!K5</f>
        <v>20356</v>
      </c>
      <c r="C12" s="585"/>
      <c r="D12" s="1753">
        <f t="shared" si="0"/>
        <v>20356</v>
      </c>
      <c r="E12" s="585">
        <v>20356</v>
      </c>
      <c r="F12" s="1753">
        <f t="shared" si="1"/>
        <v>20356</v>
      </c>
    </row>
    <row r="13" spans="1:6" ht="13.7" customHeight="1" x14ac:dyDescent="0.2">
      <c r="A13" s="715" t="s">
        <v>936</v>
      </c>
      <c r="B13" s="1750">
        <f>SUM('Revenues 9-14'!C6:D6)</f>
        <v>24472</v>
      </c>
      <c r="C13" s="585"/>
      <c r="D13" s="1753">
        <f t="shared" si="0"/>
        <v>24472</v>
      </c>
      <c r="E13" s="585">
        <v>24472</v>
      </c>
      <c r="F13" s="1753">
        <f t="shared" si="1"/>
        <v>24472</v>
      </c>
    </row>
    <row r="14" spans="1:6" ht="13.7" customHeight="1" x14ac:dyDescent="0.2">
      <c r="A14" s="715" t="s">
        <v>410</v>
      </c>
      <c r="B14" s="1750">
        <f>SUM('Revenues 9-14'!C7:D7,'Revenues 9-14'!F7:H7)</f>
        <v>20356</v>
      </c>
      <c r="C14" s="585"/>
      <c r="D14" s="1753">
        <f t="shared" si="0"/>
        <v>20356</v>
      </c>
      <c r="E14" s="585">
        <v>20356</v>
      </c>
      <c r="F14" s="1753">
        <f t="shared" si="1"/>
        <v>20356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57727</v>
      </c>
      <c r="C16" s="585"/>
      <c r="D16" s="1753">
        <f t="shared" si="0"/>
        <v>57727</v>
      </c>
      <c r="E16" s="585">
        <v>57727</v>
      </c>
      <c r="F16" s="1753">
        <f t="shared" si="1"/>
        <v>57727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1381106</v>
      </c>
      <c r="C19" s="1751">
        <f>SUM(C4:C18)</f>
        <v>0</v>
      </c>
      <c r="D19" s="1751">
        <f>SUM(D4:D18)</f>
        <v>1381106</v>
      </c>
      <c r="E19" s="1751">
        <f>SUM(E4:E18)</f>
        <v>1381004</v>
      </c>
      <c r="F19" s="1751">
        <f>SUM(F4:F18)</f>
        <v>1381004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1954</v>
      </c>
      <c r="D2" s="723" t="s">
        <v>1955</v>
      </c>
      <c r="E2" s="723" t="s">
        <v>1956</v>
      </c>
      <c r="F2" s="1884" t="s">
        <v>1957</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2065</v>
      </c>
      <c r="B31" s="733">
        <v>42922</v>
      </c>
      <c r="C31" s="734">
        <v>801700</v>
      </c>
      <c r="D31" s="735">
        <v>4</v>
      </c>
      <c r="E31" s="734">
        <v>689600</v>
      </c>
      <c r="F31" s="734"/>
      <c r="G31" s="734"/>
      <c r="H31" s="734">
        <v>106400</v>
      </c>
      <c r="I31" s="1756">
        <f>((E31+F31)-H31)+G31</f>
        <v>583200</v>
      </c>
      <c r="J31" s="734">
        <v>583200</v>
      </c>
      <c r="K31" s="736"/>
    </row>
    <row r="32" spans="1:11" ht="12" customHeight="1" x14ac:dyDescent="0.2">
      <c r="A32" s="732" t="s">
        <v>2066</v>
      </c>
      <c r="B32" s="733">
        <v>42922</v>
      </c>
      <c r="C32" s="734">
        <v>1929900</v>
      </c>
      <c r="D32" s="735">
        <v>4</v>
      </c>
      <c r="E32" s="734">
        <v>1929900</v>
      </c>
      <c r="F32" s="734"/>
      <c r="G32" s="734"/>
      <c r="H32" s="734"/>
      <c r="I32" s="1756">
        <f>((E32+F32)-H32)+G32</f>
        <v>1929900</v>
      </c>
      <c r="J32" s="734">
        <v>1929900</v>
      </c>
      <c r="K32" s="736"/>
    </row>
    <row r="33" spans="1:11" ht="12" customHeight="1" x14ac:dyDescent="0.2">
      <c r="A33" s="732" t="s">
        <v>2067</v>
      </c>
      <c r="B33" s="733">
        <v>42922</v>
      </c>
      <c r="C33" s="734">
        <v>627800</v>
      </c>
      <c r="D33" s="735">
        <v>4</v>
      </c>
      <c r="E33" s="734">
        <v>627800</v>
      </c>
      <c r="F33" s="734"/>
      <c r="G33" s="734"/>
      <c r="H33" s="734"/>
      <c r="I33" s="1756">
        <f t="shared" ref="I33:I48" si="1">((E33+F33)-H33)+G33</f>
        <v>627800</v>
      </c>
      <c r="J33" s="734">
        <v>627800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3359400</v>
      </c>
      <c r="D49" s="745"/>
      <c r="E49" s="1756">
        <f t="shared" ref="E49:J49" si="2">SUM(E31:E48)</f>
        <v>3247300</v>
      </c>
      <c r="F49" s="1756">
        <f t="shared" si="2"/>
        <v>0</v>
      </c>
      <c r="G49" s="1756">
        <f t="shared" si="2"/>
        <v>0</v>
      </c>
      <c r="H49" s="1756">
        <f t="shared" si="2"/>
        <v>106400</v>
      </c>
      <c r="I49" s="1756">
        <f t="shared" si="2"/>
        <v>3140900</v>
      </c>
      <c r="J49" s="1756">
        <f t="shared" si="2"/>
        <v>3140900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1962</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v>20356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20356</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v>20356</v>
      </c>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20356</v>
      </c>
      <c r="I23" s="1758">
        <f>SUM(I14:I16,I21,I22)</f>
        <v>0</v>
      </c>
      <c r="J23" s="1758">
        <f>SUM(J14:J16,J21,J22)</f>
        <v>0</v>
      </c>
      <c r="K23" s="1758">
        <f>SUM(K14:K16,K21,K22)</f>
        <v>0</v>
      </c>
    </row>
    <row r="24" spans="1:11" ht="14.25" thickTop="1" thickBot="1" x14ac:dyDescent="0.25">
      <c r="A24" s="2249" t="s">
        <v>1963</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118520</v>
      </c>
      <c r="D5" s="841"/>
      <c r="E5" s="841"/>
      <c r="F5" s="1760">
        <f>(C5+D5)-E5</f>
        <v>118520</v>
      </c>
      <c r="G5" s="837"/>
      <c r="H5" s="842"/>
      <c r="I5" s="842"/>
      <c r="J5" s="842"/>
      <c r="K5" s="793"/>
      <c r="L5" s="1769">
        <f>F5-K5</f>
        <v>118520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5407388</v>
      </c>
      <c r="D8" s="844">
        <v>2692782</v>
      </c>
      <c r="E8" s="844"/>
      <c r="F8" s="1760">
        <f>(C8+D8)-E8</f>
        <v>8100170</v>
      </c>
      <c r="G8" s="843">
        <v>50</v>
      </c>
      <c r="H8" s="765">
        <v>3072035</v>
      </c>
      <c r="I8" s="765">
        <v>148141</v>
      </c>
      <c r="J8" s="765"/>
      <c r="K8" s="1769">
        <f>(H8+I8)-J8</f>
        <v>3220176</v>
      </c>
      <c r="L8" s="1769">
        <f>F8-K8</f>
        <v>4879994</v>
      </c>
    </row>
    <row r="9" spans="1:14" ht="14.25" thickTop="1" thickBot="1" x14ac:dyDescent="0.25">
      <c r="A9" s="778" t="s">
        <v>1119</v>
      </c>
      <c r="B9" s="840">
        <v>232</v>
      </c>
      <c r="C9" s="765">
        <v>55904</v>
      </c>
      <c r="D9" s="765"/>
      <c r="E9" s="765"/>
      <c r="F9" s="1760">
        <f>(C9+D9)-E9</f>
        <v>55904</v>
      </c>
      <c r="G9" s="843">
        <v>20</v>
      </c>
      <c r="H9" s="765">
        <v>13417</v>
      </c>
      <c r="I9" s="765">
        <v>2236</v>
      </c>
      <c r="J9" s="765"/>
      <c r="K9" s="1769">
        <f>(H9+I9)-J9</f>
        <v>15653</v>
      </c>
      <c r="L9" s="1769">
        <f>F9-K9</f>
        <v>40251</v>
      </c>
    </row>
    <row r="10" spans="1:14" ht="24" thickTop="1" thickBot="1" x14ac:dyDescent="0.25">
      <c r="A10" s="845" t="s">
        <v>1120</v>
      </c>
      <c r="B10" s="840">
        <v>240</v>
      </c>
      <c r="C10" s="846">
        <v>509624</v>
      </c>
      <c r="D10" s="846">
        <v>5954</v>
      </c>
      <c r="E10" s="846"/>
      <c r="F10" s="1764">
        <f>(C10+D10)-E10</f>
        <v>515578</v>
      </c>
      <c r="G10" s="843">
        <v>20</v>
      </c>
      <c r="H10" s="847">
        <v>243539</v>
      </c>
      <c r="I10" s="847">
        <v>23853</v>
      </c>
      <c r="J10" s="847"/>
      <c r="K10" s="1769">
        <f>(H10+I10)-J10</f>
        <v>267392</v>
      </c>
      <c r="L10" s="1769">
        <f>F10-K10</f>
        <v>248186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1094959</v>
      </c>
      <c r="D12" s="844">
        <v>47622</v>
      </c>
      <c r="E12" s="844"/>
      <c r="F12" s="1760">
        <f>(C12+D12)-E12</f>
        <v>1142581</v>
      </c>
      <c r="G12" s="843">
        <v>10</v>
      </c>
      <c r="H12" s="765">
        <v>895397</v>
      </c>
      <c r="I12" s="765">
        <v>39562</v>
      </c>
      <c r="J12" s="765"/>
      <c r="K12" s="1769">
        <f>(H12+I12)-J12</f>
        <v>934959</v>
      </c>
      <c r="L12" s="1769">
        <f>F12-K12</f>
        <v>207622</v>
      </c>
    </row>
    <row r="13" spans="1:14" ht="14.25" thickTop="1" thickBot="1" x14ac:dyDescent="0.25">
      <c r="A13" s="848" t="s">
        <v>1122</v>
      </c>
      <c r="B13" s="840">
        <v>252</v>
      </c>
      <c r="C13" s="844">
        <v>496911</v>
      </c>
      <c r="D13" s="844">
        <v>105220</v>
      </c>
      <c r="E13" s="844"/>
      <c r="F13" s="1760">
        <f>(C13+D13)-E13</f>
        <v>602131</v>
      </c>
      <c r="G13" s="843">
        <v>5</v>
      </c>
      <c r="H13" s="765">
        <v>493563</v>
      </c>
      <c r="I13" s="765">
        <v>17342</v>
      </c>
      <c r="J13" s="765"/>
      <c r="K13" s="1769">
        <f>(H13+I13)-J13</f>
        <v>510905</v>
      </c>
      <c r="L13" s="1769">
        <f>F13-K13</f>
        <v>91226</v>
      </c>
    </row>
    <row r="14" spans="1:14" ht="14.25" thickTop="1" thickBot="1" x14ac:dyDescent="0.25">
      <c r="A14" s="848" t="s">
        <v>1123</v>
      </c>
      <c r="B14" s="840">
        <v>253</v>
      </c>
      <c r="C14" s="765">
        <v>2667</v>
      </c>
      <c r="D14" s="765"/>
      <c r="E14" s="765"/>
      <c r="F14" s="1760">
        <f>(C14+D14)-E14</f>
        <v>2667</v>
      </c>
      <c r="G14" s="843">
        <v>3</v>
      </c>
      <c r="H14" s="765">
        <v>2667</v>
      </c>
      <c r="I14" s="765">
        <v>0</v>
      </c>
      <c r="J14" s="765"/>
      <c r="K14" s="1769">
        <f>(H14+I14)-J14</f>
        <v>2667</v>
      </c>
      <c r="L14" s="1769">
        <f>F14-K14</f>
        <v>0</v>
      </c>
    </row>
    <row r="15" spans="1:14" ht="15" customHeight="1" thickTop="1" thickBot="1" x14ac:dyDescent="0.25">
      <c r="A15" s="1631" t="s">
        <v>528</v>
      </c>
      <c r="B15" s="1630">
        <v>260</v>
      </c>
      <c r="C15" s="844">
        <v>2692782</v>
      </c>
      <c r="D15" s="844">
        <v>3387452</v>
      </c>
      <c r="E15" s="844">
        <v>2692782</v>
      </c>
      <c r="F15" s="1760">
        <f>(C15+D15)-E15</f>
        <v>3387452</v>
      </c>
      <c r="G15" s="849" t="s">
        <v>862</v>
      </c>
      <c r="H15" s="781"/>
      <c r="I15" s="781"/>
      <c r="J15" s="781"/>
      <c r="K15" s="781"/>
      <c r="L15" s="1769">
        <f>F15-K15</f>
        <v>3387452</v>
      </c>
    </row>
    <row r="16" spans="1:14" ht="15" customHeight="1" thickTop="1" thickBot="1" x14ac:dyDescent="0.25">
      <c r="A16" s="1765" t="s">
        <v>643</v>
      </c>
      <c r="B16" s="1766">
        <v>200</v>
      </c>
      <c r="C16" s="1760">
        <f>SUM(C3,C5:C6,C8:C10,C12:C15)</f>
        <v>10378755</v>
      </c>
      <c r="D16" s="1760">
        <f>SUM(D3,D5:D6,D8:D10,D12:D15)</f>
        <v>6239030</v>
      </c>
      <c r="E16" s="1760">
        <f>SUM(E3,E5:E6,E8:E10,E12:E15)</f>
        <v>2692782</v>
      </c>
      <c r="F16" s="1760">
        <f>SUM(F3,F5:F6,F8:F10,F12:F15)</f>
        <v>13925003</v>
      </c>
      <c r="G16" s="843"/>
      <c r="H16" s="1760">
        <f>SUM(H3,H6,H8:H10,H12:H14,)</f>
        <v>4720618</v>
      </c>
      <c r="I16" s="1760">
        <f>SUM(I3,I6,I8:I10,I12:I14,)</f>
        <v>231134</v>
      </c>
      <c r="J16" s="1760">
        <f>SUM(J3,J6,J8:J10,J12:J14,)</f>
        <v>0</v>
      </c>
      <c r="K16" s="1760">
        <f>(H16+I16)-J16</f>
        <v>4951752</v>
      </c>
      <c r="L16" s="1760">
        <f>F16-K16</f>
        <v>8973251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231134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4"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2795875</v>
      </c>
      <c r="G8" s="865"/>
    </row>
    <row r="9" spans="1:7" x14ac:dyDescent="0.2">
      <c r="A9" s="869" t="s">
        <v>460</v>
      </c>
      <c r="B9" s="870" t="s">
        <v>1876</v>
      </c>
      <c r="C9" s="871"/>
      <c r="D9" s="869" t="s">
        <v>501</v>
      </c>
      <c r="E9" s="868"/>
      <c r="F9" s="1909">
        <f>'Expenditures 15-22'!K151</f>
        <v>131331</v>
      </c>
      <c r="G9" s="872"/>
    </row>
    <row r="10" spans="1:7" x14ac:dyDescent="0.2">
      <c r="A10" s="869" t="s">
        <v>499</v>
      </c>
      <c r="B10" s="870" t="s">
        <v>1877</v>
      </c>
      <c r="C10" s="871"/>
      <c r="D10" s="869" t="s">
        <v>501</v>
      </c>
      <c r="E10" s="868"/>
      <c r="F10" s="1909">
        <f>'Expenditures 15-22'!K174</f>
        <v>200708</v>
      </c>
      <c r="G10" s="872"/>
    </row>
    <row r="11" spans="1:7" x14ac:dyDescent="0.2">
      <c r="A11" s="869" t="s">
        <v>461</v>
      </c>
      <c r="B11" s="870" t="s">
        <v>1878</v>
      </c>
      <c r="C11" s="871"/>
      <c r="D11" s="869" t="s">
        <v>501</v>
      </c>
      <c r="E11" s="868"/>
      <c r="F11" s="1909">
        <f>'Expenditures 15-22'!K210</f>
        <v>310517</v>
      </c>
      <c r="G11" s="872"/>
    </row>
    <row r="12" spans="1:7" x14ac:dyDescent="0.2">
      <c r="A12" s="869" t="s">
        <v>462</v>
      </c>
      <c r="B12" s="870" t="s">
        <v>1879</v>
      </c>
      <c r="C12" s="871"/>
      <c r="D12" s="869" t="s">
        <v>501</v>
      </c>
      <c r="E12" s="868"/>
      <c r="F12" s="1909">
        <f>'Expenditures 15-22'!K295</f>
        <v>128032</v>
      </c>
      <c r="G12" s="872"/>
    </row>
    <row r="13" spans="1:7" x14ac:dyDescent="0.2">
      <c r="A13" s="869" t="s">
        <v>106</v>
      </c>
      <c r="B13" s="870" t="s">
        <v>1880</v>
      </c>
      <c r="C13" s="871"/>
      <c r="D13" s="869" t="s">
        <v>501</v>
      </c>
      <c r="E13" s="868"/>
      <c r="F13" s="1909">
        <f>'Expenditures 15-22'!K342</f>
        <v>170674</v>
      </c>
      <c r="G13" s="873"/>
    </row>
    <row r="14" spans="1:7" ht="12" customHeight="1" thickBot="1" x14ac:dyDescent="0.25">
      <c r="A14" s="1770"/>
      <c r="B14" s="1771"/>
      <c r="C14" s="1772"/>
      <c r="D14" s="1773" t="s">
        <v>501</v>
      </c>
      <c r="E14" s="1774" t="s">
        <v>958</v>
      </c>
      <c r="F14" s="1775">
        <f>SUM(F8:F13)</f>
        <v>3737137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188719</v>
      </c>
      <c r="G53" s="865"/>
    </row>
    <row r="54" spans="1:7" x14ac:dyDescent="0.2">
      <c r="A54" s="869" t="s">
        <v>459</v>
      </c>
      <c r="B54" s="869" t="s">
        <v>1476</v>
      </c>
      <c r="C54" s="889" t="s">
        <v>982</v>
      </c>
      <c r="D54" s="885" t="s">
        <v>1095</v>
      </c>
      <c r="E54" s="868"/>
      <c r="F54" s="1913">
        <f>'Expenditures 15-22'!G114</f>
        <v>47622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13951</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106400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105220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461912</v>
      </c>
      <c r="G76" s="865"/>
    </row>
    <row r="77" spans="1:8" s="893" customFormat="1" ht="12" customHeight="1" thickTop="1" thickBot="1" x14ac:dyDescent="0.25">
      <c r="A77" s="1779"/>
      <c r="B77" s="1776"/>
      <c r="C77" s="1772"/>
      <c r="D77" s="1777" t="s">
        <v>1899</v>
      </c>
      <c r="E77" s="1774"/>
      <c r="F77" s="1780">
        <f>(F14-F76)</f>
        <v>3275225</v>
      </c>
      <c r="G77" s="869"/>
    </row>
    <row r="78" spans="1:8" s="893" customFormat="1" ht="12" customHeight="1" thickTop="1" x14ac:dyDescent="0.2">
      <c r="A78" s="1781"/>
      <c r="B78" s="1776"/>
      <c r="C78" s="1772"/>
      <c r="D78" s="1777" t="s">
        <v>2060</v>
      </c>
      <c r="E78" s="1774"/>
      <c r="F78" s="898">
        <v>331</v>
      </c>
      <c r="G78" s="899"/>
      <c r="H78" s="869"/>
    </row>
    <row r="79" spans="1:8" s="893" customFormat="1" ht="12" customHeight="1" thickBot="1" x14ac:dyDescent="0.25">
      <c r="A79" s="1782"/>
      <c r="B79" s="1776"/>
      <c r="C79" s="1772"/>
      <c r="D79" s="1777" t="s">
        <v>1900</v>
      </c>
      <c r="E79" s="1774" t="s">
        <v>958</v>
      </c>
      <c r="F79" s="1783">
        <f>IF(F78&gt;0,F77/F78," Complete Line 78")</f>
        <v>9894.9395770392748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35143</v>
      </c>
      <c r="G94" s="912"/>
    </row>
    <row r="95" spans="1:7" x14ac:dyDescent="0.2">
      <c r="A95" s="908" t="s">
        <v>140</v>
      </c>
      <c r="B95" s="908" t="s">
        <v>175</v>
      </c>
      <c r="C95" s="910">
        <v>1700</v>
      </c>
      <c r="D95" s="918" t="str">
        <f>'Revenues 9-14'!A82</f>
        <v>Total District/School Activity Income</v>
      </c>
      <c r="E95" s="906"/>
      <c r="F95" s="1789">
        <f>SUM('Revenues 9-14'!C82,'Revenues 9-14'!D82)</f>
        <v>11168</v>
      </c>
      <c r="G95" s="912"/>
    </row>
    <row r="96" spans="1:7" x14ac:dyDescent="0.2">
      <c r="A96" s="908" t="s">
        <v>459</v>
      </c>
      <c r="B96" s="908" t="s">
        <v>176</v>
      </c>
      <c r="C96" s="910">
        <f>'Revenues 9-14'!B84</f>
        <v>1811</v>
      </c>
      <c r="D96" s="911" t="str">
        <f>'Revenues 9-14'!A84</f>
        <v>Rentals - Regular Textbooks</v>
      </c>
      <c r="E96" s="906"/>
      <c r="F96" s="1789">
        <f>'Revenues 9-14'!C84</f>
        <v>8409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170745</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30741</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13174</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1609</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6309</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134074</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90577</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193764</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53806</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32982</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782501</v>
      </c>
    </row>
    <row r="175" spans="1:7" ht="12" customHeight="1" x14ac:dyDescent="0.2">
      <c r="A175" s="1770"/>
      <c r="B175" s="1784"/>
      <c r="C175" s="1785"/>
      <c r="D175" s="1786" t="s">
        <v>2055</v>
      </c>
      <c r="E175" s="1787"/>
      <c r="F175" s="1789">
        <f>'PCTC-OEPP 27-28'!F77-F174</f>
        <v>2492724</v>
      </c>
    </row>
    <row r="176" spans="1:7" ht="12" customHeight="1" x14ac:dyDescent="0.2">
      <c r="A176" s="1770"/>
      <c r="B176" s="1784"/>
      <c r="C176" s="1785"/>
      <c r="D176" s="1786" t="s">
        <v>1817</v>
      </c>
      <c r="E176" s="1787"/>
      <c r="F176" s="1789">
        <f>'Cap Outlay Deprec 26'!I18</f>
        <v>231134</v>
      </c>
    </row>
    <row r="177" spans="1:7" ht="12" customHeight="1" x14ac:dyDescent="0.2">
      <c r="A177" s="1770"/>
      <c r="B177" s="1784"/>
      <c r="C177" s="1785"/>
      <c r="D177" s="1786" t="s">
        <v>2056</v>
      </c>
      <c r="E177" s="1787"/>
      <c r="F177" s="1789">
        <f>F175+F176</f>
        <v>2723858</v>
      </c>
    </row>
    <row r="178" spans="1:7" ht="12" customHeight="1" x14ac:dyDescent="0.2">
      <c r="A178" s="1770"/>
      <c r="B178" s="1790"/>
      <c r="C178" s="1785"/>
      <c r="D178" s="1786" t="str">
        <f>D78</f>
        <v>9 Month ADA from District Average Daily Attendance/Prior General State Aid Inquiry 2018-2019</v>
      </c>
      <c r="E178" s="1787"/>
      <c r="F178" s="1791">
        <f>'PCTC-OEPP 27-28'!F78</f>
        <v>331</v>
      </c>
      <c r="G178" s="930"/>
    </row>
    <row r="179" spans="1:7" ht="12" customHeight="1" thickBot="1" x14ac:dyDescent="0.25">
      <c r="A179" s="1770"/>
      <c r="B179" s="1790"/>
      <c r="C179" s="1785"/>
      <c r="D179" s="1786" t="s">
        <v>2057</v>
      </c>
      <c r="E179" s="1787" t="s">
        <v>1545</v>
      </c>
      <c r="F179" s="1792">
        <f>F177/F178</f>
        <v>8229.1782477341385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B7" zoomScaleNormal="100" workbookViewId="0">
      <selection activeCell="D18" sqref="D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8" t="s">
        <v>2064</v>
      </c>
      <c r="B6" s="1939"/>
      <c r="C6" s="1939"/>
      <c r="D6" s="1939"/>
      <c r="E6" s="1939"/>
      <c r="F6" s="1939"/>
      <c r="G6" s="1940"/>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1" t="s">
        <v>2090</v>
      </c>
      <c r="B18" s="1936"/>
      <c r="C18" s="1656"/>
      <c r="D18" s="1844"/>
      <c r="E18" s="1540">
        <f t="shared" ref="E18:E142" si="0">IF(D18&lt;=25000,D18,IF(D18&gt;25000,25000,0))</f>
        <v>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3"/>
      <c r="C19" s="1656"/>
      <c r="D19" s="1844"/>
      <c r="E19" s="1540">
        <f t="shared" ref="E19:E141" si="2">IF(D19&lt;=25000,D19,IF(D19&gt;25000,25000,0))</f>
        <v>0</v>
      </c>
      <c r="F19" s="1937">
        <f t="shared" si="1"/>
        <v>0</v>
      </c>
      <c r="G19" s="1793">
        <f t="shared" ref="G19:G141" si="3">IF(F19=0,0,D19-F19)</f>
        <v>0</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0</v>
      </c>
      <c r="E142" s="1541">
        <f t="shared" si="0"/>
        <v>0</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8" t="s">
        <v>1975</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1909252</v>
      </c>
      <c r="F19" s="1799"/>
      <c r="G19" s="1801">
        <f>'Expenditures 15-22'!K33-SUM('Expenditures 15-22'!G33,'Expenditures 15-22'!I33)+'Expenditures 15-22'!D229</f>
        <v>1909252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76413</v>
      </c>
      <c r="F21" s="1802"/>
      <c r="G21" s="1805">
        <f>'Expenditures 15-22'!K42-SUM('Expenditures 15-22'!G42,'Expenditures 15-22'!I42)+'Expenditures 15-22'!K120-SUM('Expenditures 15-22'!G120,'Expenditures 15-22'!I120)+'Expenditures 15-22'!K180-SUM('Expenditures 15-22'!G180,'Expenditures 15-22'!I180)+'Expenditures 15-22'!D238</f>
        <v>76413</v>
      </c>
      <c r="H21" s="987"/>
      <c r="I21" s="162"/>
    </row>
    <row r="22" spans="1:9" s="668" customFormat="1" ht="12" customHeight="1" x14ac:dyDescent="0.2">
      <c r="A22" s="994" t="s">
        <v>564</v>
      </c>
      <c r="B22" s="995"/>
      <c r="C22" s="993">
        <v>2200</v>
      </c>
      <c r="D22" s="1802"/>
      <c r="E22" s="1804">
        <f>'Expenditures 15-22'!K47-SUM('Expenditures 15-22'!G47,'Expenditures 15-22'!I47)+'Expenditures 15-22'!D243</f>
        <v>38754</v>
      </c>
      <c r="F22" s="1802"/>
      <c r="G22" s="1805">
        <f>'Expenditures 15-22'!K47-SUM('Expenditures 15-22'!G47,'Expenditures 15-22'!I47)+'Expenditures 15-22'!D243</f>
        <v>38754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364809</v>
      </c>
      <c r="F23" s="1802"/>
      <c r="G23" s="1804">
        <f>'Expenditures 15-22'!K53-SUM('Expenditures 15-22'!G53,'Expenditures 15-22'!I53)+'Expenditures 15-22'!D257+'Expenditures 15-22'!K330-SUM('Expenditures 15-22'!G330,'Expenditures 15-22'!I330)</f>
        <v>364809</v>
      </c>
      <c r="H23" s="987"/>
      <c r="I23" s="162"/>
    </row>
    <row r="24" spans="1:9" s="668" customFormat="1" ht="12" customHeight="1" x14ac:dyDescent="0.2">
      <c r="A24" s="994" t="s">
        <v>566</v>
      </c>
      <c r="B24" s="995"/>
      <c r="C24" s="993">
        <v>2400</v>
      </c>
      <c r="D24" s="1802"/>
      <c r="E24" s="1804">
        <f>'Expenditures 15-22'!K57-SUM('Expenditures 15-22'!G57,'Expenditures 15-22'!I57)+'Expenditures 15-22'!D261</f>
        <v>123744</v>
      </c>
      <c r="F24" s="1802"/>
      <c r="G24" s="1805">
        <f>'Expenditures 15-22'!K57-SUM('Expenditures 15-22'!G57,'Expenditures 15-22'!I57)+'Expenditures 15-22'!D261</f>
        <v>123744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40445</v>
      </c>
      <c r="E27" s="1804">
        <f>E8</f>
        <v>0</v>
      </c>
      <c r="F27" s="1804">
        <f>'Expenditures 15-22'!K60-SUM('Expenditures 15-22'!G60,'Expenditures 15-22'!I60)+'Expenditures 15-22'!D264-E8</f>
        <v>40445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156327</v>
      </c>
      <c r="F28" s="1806">
        <f>'Expenditures 15-22'!K61-SUM('Expenditures 15-22'!G61,'Expenditures 15-22'!I61)+'Expenditures 15-22'!K124-SUM('Expenditures 15-22'!G124,'Expenditures 15-22'!I124)+'Expenditures 15-22'!D266-E9</f>
        <v>156327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335116</v>
      </c>
      <c r="F29" s="1802"/>
      <c r="G29" s="1805">
        <f>'Expenditures 15-22'!K62-SUM('Expenditures 15-22'!G62,'Expenditures 15-22'!I62)+'Expenditures 15-22'!K125-SUM('Expenditures 15-22'!G125,'Expenditures 15-22'!I125)+'Expenditures 15-22'!K182-SUM('Expenditures 15-22'!G182,'Expenditures 15-22'!I182)+'Expenditures 15-22'!D267</f>
        <v>335116</v>
      </c>
      <c r="H29" s="985"/>
    </row>
    <row r="30" spans="1:9" ht="12" customHeight="1" x14ac:dyDescent="0.2">
      <c r="A30" s="994" t="s">
        <v>100</v>
      </c>
      <c r="B30" s="997"/>
      <c r="C30" s="993">
        <v>2560</v>
      </c>
      <c r="D30" s="1802"/>
      <c r="E30" s="1804">
        <f>'Expenditures 15-22'!K63-SUM('Expenditures 15-22'!G63,'Expenditures 15-22'!I63)+'Expenditures 15-22'!D268-E10</f>
        <v>136057</v>
      </c>
      <c r="F30" s="1802"/>
      <c r="G30" s="1804">
        <f>'Expenditures 15-22'!K63-SUM('Expenditures 15-22'!G63,'Expenditures 15-22'!I63)+'Expenditures 15-22'!D268-E10</f>
        <v>136057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40445</v>
      </c>
      <c r="E41" s="1806">
        <f>SUM(E19:E40)</f>
        <v>3140472</v>
      </c>
      <c r="F41" s="1806">
        <f>SUM(F19:F39)</f>
        <v>196772</v>
      </c>
      <c r="G41" s="1806">
        <f>SUM(G19:G40)</f>
        <v>2984145</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40445</v>
      </c>
      <c r="F43" s="1807" t="s">
        <v>473</v>
      </c>
      <c r="G43" s="1808">
        <f>F41</f>
        <v>196772</v>
      </c>
    </row>
    <row r="44" spans="1:7" ht="12" customHeight="1" x14ac:dyDescent="0.2">
      <c r="A44" s="987"/>
      <c r="B44" s="162"/>
      <c r="C44" s="1001"/>
      <c r="D44" s="1807" t="s">
        <v>474</v>
      </c>
      <c r="E44" s="1808">
        <f>E41</f>
        <v>3140472</v>
      </c>
      <c r="F44" s="1807" t="s">
        <v>474</v>
      </c>
      <c r="G44" s="1808">
        <f>G41</f>
        <v>2984145</v>
      </c>
    </row>
    <row r="45" spans="1:7" ht="12" customHeight="1" x14ac:dyDescent="0.2">
      <c r="A45" s="987"/>
      <c r="B45" s="162"/>
      <c r="C45" s="162"/>
      <c r="D45" s="1809" t="s">
        <v>1006</v>
      </c>
      <c r="E45" s="1810">
        <f>(E43/E44)</f>
        <v>1.2878637351328081E-2</v>
      </c>
      <c r="F45" s="1809" t="s">
        <v>1006</v>
      </c>
      <c r="G45" s="1810">
        <f>(G43/G44)</f>
        <v>6.5939155101377447E-2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0" activePane="bottomLeft" state="frozen"/>
      <selection activeCell="A47" sqref="A47"/>
      <selection pane="bottomLeft" activeCell="D32" sqref="D32: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Bluford Unit School District 318</v>
      </c>
      <c r="D6" s="2309"/>
      <c r="E6" s="2309"/>
      <c r="F6" s="1852"/>
    </row>
    <row r="7" spans="1:10" ht="11.25" customHeight="1" thickBot="1" x14ac:dyDescent="0.3">
      <c r="A7" s="1850"/>
      <c r="B7" s="1851"/>
      <c r="C7" s="2310">
        <f>COVER!A13</f>
        <v>13041318027</v>
      </c>
      <c r="D7" s="2310"/>
      <c r="E7" s="231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2078</v>
      </c>
      <c r="D24" s="1865" t="s">
        <v>2078</v>
      </c>
      <c r="E24" s="1868"/>
      <c r="F24" s="1867" t="s">
        <v>2079</v>
      </c>
      <c r="H24" s="1878">
        <f t="shared" si="0"/>
        <v>5</v>
      </c>
      <c r="I24" s="1878">
        <f t="shared" si="1"/>
        <v>5</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2078</v>
      </c>
      <c r="D26" s="1865" t="s">
        <v>2078</v>
      </c>
      <c r="E26" s="1868"/>
      <c r="F26" s="1867" t="s">
        <v>2080</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Bluford Unit School District 318</v>
      </c>
      <c r="J6" s="2319"/>
      <c r="Q6" s="1664"/>
    </row>
    <row r="7" spans="1:17" x14ac:dyDescent="0.2">
      <c r="A7" s="2320" t="s">
        <v>869</v>
      </c>
      <c r="B7" s="2321"/>
      <c r="C7" s="2321"/>
      <c r="D7" s="2321"/>
      <c r="E7" s="2322"/>
      <c r="F7" s="1017"/>
      <c r="G7" s="1009"/>
      <c r="H7" s="1016" t="s">
        <v>372</v>
      </c>
      <c r="I7" s="2323">
        <f>COVER!A13</f>
        <v>13041318027</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116912</v>
      </c>
      <c r="F12" s="1039"/>
      <c r="G12" s="1811">
        <f t="shared" ref="G12:G18" si="0">SUM(E12:F12)</f>
        <v>116912</v>
      </c>
      <c r="H12" s="1040">
        <v>115570</v>
      </c>
      <c r="I12" s="1039"/>
      <c r="J12" s="1811">
        <f t="shared" ref="J12:J18" si="1">SUM(H12:I12)</f>
        <v>115570</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26520</v>
      </c>
      <c r="F14" s="1039"/>
      <c r="G14" s="1811">
        <f t="shared" si="0"/>
        <v>26520</v>
      </c>
      <c r="H14" s="1040">
        <v>26403</v>
      </c>
      <c r="I14" s="1039"/>
      <c r="J14" s="1811">
        <f t="shared" si="1"/>
        <v>26403</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7" t="s">
        <v>7</v>
      </c>
      <c r="C18" s="2328"/>
      <c r="D18" s="2329"/>
      <c r="E18" s="1043"/>
      <c r="F18" s="1043"/>
      <c r="G18" s="1812">
        <f t="shared" si="0"/>
        <v>0</v>
      </c>
      <c r="H18" s="1040">
        <v>0</v>
      </c>
      <c r="I18" s="1040"/>
      <c r="J18" s="1811">
        <f t="shared" si="1"/>
        <v>0</v>
      </c>
    </row>
    <row r="19" spans="1:10" ht="12.75" customHeight="1" thickBot="1" x14ac:dyDescent="0.25">
      <c r="A19" s="1035">
        <v>8</v>
      </c>
      <c r="B19" s="1044" t="s">
        <v>1161</v>
      </c>
      <c r="D19" s="1045"/>
      <c r="E19" s="1813">
        <f t="shared" ref="E19:J19" si="2">SUM(E12:E17)-E18</f>
        <v>143432</v>
      </c>
      <c r="F19" s="1813">
        <f t="shared" si="2"/>
        <v>0</v>
      </c>
      <c r="G19" s="1813">
        <f t="shared" si="2"/>
        <v>143432</v>
      </c>
      <c r="H19" s="1813">
        <f t="shared" si="2"/>
        <v>141973</v>
      </c>
      <c r="I19" s="1813">
        <f t="shared" si="2"/>
        <v>0</v>
      </c>
      <c r="J19" s="1813">
        <f t="shared" si="2"/>
        <v>141973</v>
      </c>
    </row>
    <row r="20" spans="1:10" ht="13.5" thickTop="1" x14ac:dyDescent="0.2">
      <c r="A20" s="1035">
        <v>9</v>
      </c>
      <c r="B20" s="2330" t="s">
        <v>1979</v>
      </c>
      <c r="C20" s="2330"/>
      <c r="D20" s="2331"/>
      <c r="E20" s="1046"/>
      <c r="F20" s="1046"/>
      <c r="G20" s="1046"/>
      <c r="H20" s="1046"/>
      <c r="I20" s="1046"/>
      <c r="J20" s="1814">
        <f>IF(AND(G19&gt;0,J19&gt;0),(((J19-G19)/G19)),"Enter Budget Data")</f>
        <v>-1.0172067599977689E-2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2083</v>
      </c>
    </row>
    <row r="6" spans="1:2" x14ac:dyDescent="0.2">
      <c r="A6" s="1068">
        <v>2</v>
      </c>
      <c r="B6" s="329" t="s">
        <v>2086</v>
      </c>
    </row>
    <row r="7" spans="1:2" x14ac:dyDescent="0.2">
      <c r="A7" s="1068">
        <v>3</v>
      </c>
      <c r="B7" s="329" t="s">
        <v>2084</v>
      </c>
    </row>
    <row r="8" spans="1:2" x14ac:dyDescent="0.2">
      <c r="A8" s="1068">
        <v>4</v>
      </c>
      <c r="B8" s="329" t="s">
        <v>2085</v>
      </c>
    </row>
    <row r="9" spans="1:2" x14ac:dyDescent="0.2">
      <c r="A9" s="1069">
        <v>5</v>
      </c>
      <c r="B9" s="329" t="s">
        <v>2087</v>
      </c>
    </row>
    <row r="10" spans="1:2" x14ac:dyDescent="0.2">
      <c r="A10" s="1069">
        <v>6</v>
      </c>
      <c r="B10" s="329" t="s">
        <v>2089</v>
      </c>
    </row>
    <row r="11" spans="1:2" x14ac:dyDescent="0.2">
      <c r="A11" s="1069">
        <v>7</v>
      </c>
      <c r="B11" s="329" t="s">
        <v>2088</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Bluford Unit School District 318</v>
      </c>
    </row>
    <row r="65" spans="2:2" x14ac:dyDescent="0.2">
      <c r="B65" s="1070">
        <f>COVER!A13</f>
        <v>13041318027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0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Workshee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Workshee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5</xdr:row>
                <xdr:rowOff>0</xdr:rowOff>
              </from>
              <to>
                <xdr:col>1</xdr:col>
                <xdr:colOff>914400</xdr:colOff>
                <xdr:row>9</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0</xdr:colOff>
                <xdr:row>5</xdr:row>
                <xdr:rowOff>0</xdr:rowOff>
              </from>
              <to>
                <xdr:col>1</xdr:col>
                <xdr:colOff>914400</xdr:colOff>
                <xdr:row>9</xdr:row>
                <xdr:rowOff>123825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1219200</xdr:colOff>
                <xdr:row>5</xdr:row>
                <xdr:rowOff>0</xdr:rowOff>
              </from>
              <to>
                <xdr:col>1</xdr:col>
                <xdr:colOff>2133600</xdr:colOff>
                <xdr:row>9</xdr:row>
                <xdr:rowOff>123825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2295525</xdr:colOff>
                <xdr:row>5</xdr:row>
                <xdr:rowOff>0</xdr:rowOff>
              </from>
              <to>
                <xdr:col>1</xdr:col>
                <xdr:colOff>3209925</xdr:colOff>
                <xdr:row>9</xdr:row>
                <xdr:rowOff>123825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3409950</xdr:colOff>
                <xdr:row>5</xdr:row>
                <xdr:rowOff>9525</xdr:rowOff>
              </from>
              <to>
                <xdr:col>2</xdr:col>
                <xdr:colOff>342900</xdr:colOff>
                <xdr:row>9</xdr:row>
                <xdr:rowOff>133350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3575106</v>
      </c>
      <c r="C8" s="1815">
        <f>'Acct Summary 7-8'!D8</f>
        <v>141243</v>
      </c>
      <c r="D8" s="1815">
        <f>'Acct Summary 7-8'!F8</f>
        <v>251739</v>
      </c>
      <c r="E8" s="1815">
        <f>'Acct Summary 7-8'!I8</f>
        <v>15890</v>
      </c>
      <c r="F8" s="1815">
        <f>SUM(B8:E8)</f>
        <v>3983978</v>
      </c>
    </row>
    <row r="9" spans="1:8" s="1079" customFormat="1" ht="14.25" customHeight="1" thickBot="1" x14ac:dyDescent="0.25">
      <c r="A9" s="1078" t="s">
        <v>1369</v>
      </c>
      <c r="B9" s="1816">
        <f>'Acct Summary 7-8'!C17</f>
        <v>2795875</v>
      </c>
      <c r="C9" s="1816">
        <f>'Acct Summary 7-8'!D17</f>
        <v>131331</v>
      </c>
      <c r="D9" s="1816">
        <f>'Acct Summary 7-8'!F17</f>
        <v>310517</v>
      </c>
      <c r="E9" s="1815"/>
      <c r="F9" s="1815">
        <f>SUM(B9:E9)</f>
        <v>3237723</v>
      </c>
    </row>
    <row r="10" spans="1:8" s="1079" customFormat="1" ht="14.25" thickTop="1" thickBot="1" x14ac:dyDescent="0.25">
      <c r="A10" s="1080" t="s">
        <v>1370</v>
      </c>
      <c r="B10" s="1817">
        <f>(B8-B9)</f>
        <v>779231</v>
      </c>
      <c r="C10" s="1817">
        <f>(C8-C9)</f>
        <v>9912</v>
      </c>
      <c r="D10" s="1817">
        <f>(D8-D9)</f>
        <v>-58778</v>
      </c>
      <c r="E10" s="1816">
        <f>(E8-E9)</f>
        <v>15890</v>
      </c>
      <c r="F10" s="1818">
        <f>SUM(F8-F9)</f>
        <v>746255</v>
      </c>
    </row>
    <row r="11" spans="1:8" s="1079" customFormat="1" ht="14.25" thickTop="1" thickBot="1" x14ac:dyDescent="0.25">
      <c r="A11" s="1081" t="s">
        <v>1983</v>
      </c>
      <c r="B11" s="1819">
        <f>'Acct Summary 7-8'!C81</f>
        <v>2312711</v>
      </c>
      <c r="C11" s="1819">
        <f>'Acct Summary 7-8'!D81</f>
        <v>265784</v>
      </c>
      <c r="D11" s="1819">
        <f>'Acct Summary 7-8'!F81</f>
        <v>200858</v>
      </c>
      <c r="E11" s="1819">
        <f>'Acct Summary 7-8'!I81</f>
        <v>258215</v>
      </c>
      <c r="F11" s="1820">
        <f>SUM(B11:E11)</f>
        <v>3037568</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6" colorId="8" zoomScale="110" zoomScaleNormal="110" workbookViewId="0">
      <selection activeCell="C79" sqref="C7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13041318027</v>
      </c>
    </row>
    <row r="3" spans="1:2" x14ac:dyDescent="0.2">
      <c r="A3" t="s">
        <v>956</v>
      </c>
      <c r="B3" s="138" t="str">
        <f>COVER!A15</f>
        <v>Jefferson</v>
      </c>
    </row>
    <row r="4" spans="1:2" x14ac:dyDescent="0.2">
      <c r="A4" t="s">
        <v>1007</v>
      </c>
      <c r="B4" s="138" t="str">
        <f>COVER!A17</f>
        <v>Bluford Unit School District 318</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f>COVER!T23</f>
        <v>65.012236000000001</v>
      </c>
    </row>
    <row r="16" spans="1:2" x14ac:dyDescent="0.2">
      <c r="A16" t="s">
        <v>422</v>
      </c>
      <c r="B16" s="138" t="str">
        <f>COVER!T13</f>
        <v>Dale L. Guebert</v>
      </c>
    </row>
    <row r="17" spans="1:2" x14ac:dyDescent="0.2">
      <c r="A17" t="s">
        <v>884</v>
      </c>
      <c r="B17" s="138" t="str">
        <f>COVER!T15</f>
        <v>Dale L. Guebert</v>
      </c>
    </row>
    <row r="18" spans="1:2" x14ac:dyDescent="0.2">
      <c r="A18" t="s">
        <v>1150</v>
      </c>
      <c r="B18" s="138" t="str">
        <f>COVER!T17</f>
        <v>140 W Market</v>
      </c>
    </row>
    <row r="19" spans="1:2" x14ac:dyDescent="0.2">
      <c r="A19" t="s">
        <v>886</v>
      </c>
      <c r="B19" s="138" t="str">
        <f>COVER!T25</f>
        <v>dguebert@htc.net</v>
      </c>
    </row>
    <row r="20" spans="1:2" x14ac:dyDescent="0.2">
      <c r="A20" t="s">
        <v>887</v>
      </c>
      <c r="B20" s="138" t="str">
        <f>COVER!T19</f>
        <v>Red Bud</v>
      </c>
    </row>
    <row r="21" spans="1:2" x14ac:dyDescent="0.2">
      <c r="A21" t="s">
        <v>479</v>
      </c>
      <c r="B21" s="138" t="str">
        <f>COVER!X19</f>
        <v>IL</v>
      </c>
    </row>
    <row r="22" spans="1:2" x14ac:dyDescent="0.2">
      <c r="A22" t="s">
        <v>888</v>
      </c>
      <c r="B22" s="138">
        <f>COVER!Z19</f>
        <v>62278</v>
      </c>
    </row>
    <row r="23" spans="1:2" x14ac:dyDescent="0.2">
      <c r="A23" t="s">
        <v>1152</v>
      </c>
      <c r="B23" s="138" t="str">
        <f>COVER!T21</f>
        <v>618-282-8300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2312711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2312711</v>
      </c>
      <c r="D92" s="2" t="str">
        <f t="shared" si="0"/>
        <v>Error?</v>
      </c>
    </row>
    <row r="93" spans="1:4" x14ac:dyDescent="0.2">
      <c r="A93" s="5">
        <v>32</v>
      </c>
      <c r="B93" s="138">
        <f>'Assets-Liab 5-6'!C41</f>
        <v>2312711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265784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265784</v>
      </c>
      <c r="D123" s="2" t="str">
        <f t="shared" si="0"/>
        <v>Error?</v>
      </c>
    </row>
    <row r="124" spans="1:4" x14ac:dyDescent="0.2">
      <c r="A124" s="5">
        <v>63</v>
      </c>
      <c r="B124" s="138">
        <f>'Assets-Liab 5-6'!D41</f>
        <v>265784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72987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72987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200858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200858</v>
      </c>
      <c r="D170" s="2" t="str">
        <f t="shared" si="1"/>
        <v>Error?</v>
      </c>
    </row>
    <row r="171" spans="1:4" x14ac:dyDescent="0.2">
      <c r="A171" s="5">
        <v>110</v>
      </c>
      <c r="B171" s="138">
        <f>'Assets-Liab 5-6'!F41</f>
        <v>200858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164764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164764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455173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455173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118520</v>
      </c>
      <c r="D273" s="2" t="str">
        <f t="shared" si="3"/>
        <v>Error?</v>
      </c>
    </row>
    <row r="274" spans="1:4" x14ac:dyDescent="0.2">
      <c r="A274" s="5">
        <v>213</v>
      </c>
      <c r="B274" s="138">
        <f>'Assets-Liab 5-6'!M17</f>
        <v>5469246</v>
      </c>
      <c r="D274" s="2" t="str">
        <f t="shared" si="3"/>
        <v>Error?</v>
      </c>
    </row>
    <row r="275" spans="1:4" x14ac:dyDescent="0.2">
      <c r="A275" s="5">
        <v>214</v>
      </c>
      <c r="B275" s="138">
        <f>'Assets-Liab 5-6'!M18</f>
        <v>509624</v>
      </c>
      <c r="D275" s="2" t="str">
        <f t="shared" si="3"/>
        <v>Error?</v>
      </c>
    </row>
    <row r="276" spans="1:4" x14ac:dyDescent="0.2">
      <c r="A276" s="5">
        <v>215</v>
      </c>
      <c r="B276" s="138">
        <f>'Assets-Liab 5-6'!M19</f>
        <v>1747380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13925004</v>
      </c>
      <c r="C279" s="2" t="s">
        <v>573</v>
      </c>
      <c r="D279" s="2" t="str">
        <f t="shared" si="3"/>
        <v>Error?</v>
      </c>
    </row>
    <row r="280" spans="1:4" x14ac:dyDescent="0.2">
      <c r="A280" s="5">
        <v>219</v>
      </c>
      <c r="B280" s="138">
        <f>'Assets-Liab 5-6'!M40</f>
        <v>13925004</v>
      </c>
      <c r="D280" s="2" t="str">
        <f t="shared" si="3"/>
        <v>Error?</v>
      </c>
    </row>
    <row r="281" spans="1:4" x14ac:dyDescent="0.2">
      <c r="A281" s="5">
        <v>220</v>
      </c>
      <c r="B281" s="138">
        <f>'Assets-Liab 5-6'!M41</f>
        <v>13925004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3140900</v>
      </c>
      <c r="D283" s="2" t="str">
        <f t="shared" si="3"/>
        <v>Error?</v>
      </c>
    </row>
    <row r="284" spans="1:4" x14ac:dyDescent="0.2">
      <c r="A284" s="5">
        <v>223</v>
      </c>
      <c r="B284" s="138">
        <f>'Assets-Liab 5-6'!N23</f>
        <v>3140900</v>
      </c>
      <c r="C284" s="2" t="s">
        <v>573</v>
      </c>
      <c r="D284" s="2" t="str">
        <f t="shared" si="3"/>
        <v>Error?</v>
      </c>
    </row>
    <row r="285" spans="1:4" x14ac:dyDescent="0.2">
      <c r="A285" s="5">
        <v>224</v>
      </c>
      <c r="B285" s="138">
        <f>'Assets-Liab 5-6'!N36</f>
        <v>3140900</v>
      </c>
      <c r="D285" s="2" t="str">
        <f t="shared" si="3"/>
        <v>Error?</v>
      </c>
    </row>
    <row r="286" spans="1:4" x14ac:dyDescent="0.2">
      <c r="A286" s="10">
        <v>225</v>
      </c>
      <c r="D286" s="2" t="str">
        <f t="shared" si="3"/>
        <v>OK</v>
      </c>
    </row>
    <row r="287" spans="1:4" x14ac:dyDescent="0.2">
      <c r="A287" s="5">
        <v>226</v>
      </c>
      <c r="B287" s="138">
        <f>'Assets-Liab 5-6'!N37</f>
        <v>3140900</v>
      </c>
      <c r="C287" s="2" t="s">
        <v>573</v>
      </c>
      <c r="D287" s="2" t="str">
        <f t="shared" si="3"/>
        <v>Error?</v>
      </c>
    </row>
    <row r="288" spans="1:4" x14ac:dyDescent="0.2">
      <c r="A288" s="5">
        <v>227</v>
      </c>
      <c r="B288" s="138">
        <f>'Assets-Liab 5-6'!N41</f>
        <v>3140900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856374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102591</v>
      </c>
      <c r="D717" s="2" t="str">
        <f t="shared" si="10"/>
        <v>Error?</v>
      </c>
    </row>
    <row r="718" spans="1:4" x14ac:dyDescent="0.2">
      <c r="A718" s="5">
        <v>657</v>
      </c>
      <c r="B718" s="138">
        <f>'Expenditures 15-22'!C14</f>
        <v>42427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1343070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64064</v>
      </c>
      <c r="D722" s="2" t="str">
        <f t="shared" si="10"/>
        <v>Error?</v>
      </c>
    </row>
    <row r="723" spans="1:4" x14ac:dyDescent="0.2">
      <c r="A723" s="5">
        <v>662</v>
      </c>
      <c r="B723" s="138">
        <f>'Expenditures 15-22'!C38</f>
        <v>1697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65761</v>
      </c>
      <c r="C727" s="2" t="s">
        <v>573</v>
      </c>
      <c r="D727" s="2" t="str">
        <f t="shared" si="10"/>
        <v>Error?</v>
      </c>
    </row>
    <row r="728" spans="1:4" x14ac:dyDescent="0.2">
      <c r="A728" s="5">
        <v>667</v>
      </c>
      <c r="B728" s="138">
        <f>'Expenditures 15-22'!C44</f>
        <v>12590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12590</v>
      </c>
      <c r="C731" s="2" t="s">
        <v>573</v>
      </c>
      <c r="D731" s="2" t="str">
        <f t="shared" si="10"/>
        <v>Error?</v>
      </c>
    </row>
    <row r="732" spans="1:4" x14ac:dyDescent="0.2">
      <c r="A732" s="5">
        <v>671</v>
      </c>
      <c r="B732" s="138">
        <f>'Expenditures 15-22'!C49</f>
        <v>21528</v>
      </c>
      <c r="D732" s="2" t="str">
        <f t="shared" si="10"/>
        <v>Error?</v>
      </c>
    </row>
    <row r="733" spans="1:4" x14ac:dyDescent="0.2">
      <c r="A733" s="5">
        <v>672</v>
      </c>
      <c r="B733" s="138">
        <f>'Expenditures 15-22'!C50</f>
        <v>99672</v>
      </c>
      <c r="D733" s="2" t="str">
        <f t="shared" si="10"/>
        <v>Error?</v>
      </c>
    </row>
    <row r="734" spans="1:4" x14ac:dyDescent="0.2">
      <c r="A734" s="5">
        <v>673</v>
      </c>
      <c r="B734" s="138">
        <f>'Expenditures 15-22'!C53</f>
        <v>121200</v>
      </c>
      <c r="C734" s="2" t="s">
        <v>573</v>
      </c>
      <c r="D734" s="2" t="str">
        <f t="shared" si="10"/>
        <v>Error?</v>
      </c>
    </row>
    <row r="735" spans="1:4" x14ac:dyDescent="0.2">
      <c r="A735" s="5">
        <v>674</v>
      </c>
      <c r="B735" s="138">
        <f>'Expenditures 15-22'!C55</f>
        <v>76628</v>
      </c>
      <c r="D735" s="2" t="str">
        <f t="shared" si="10"/>
        <v>Error?</v>
      </c>
    </row>
    <row r="736" spans="1:4" x14ac:dyDescent="0.2">
      <c r="A736" s="5">
        <v>675</v>
      </c>
      <c r="B736" s="138">
        <f>'Expenditures 15-22'!C56</f>
        <v>19531</v>
      </c>
      <c r="D736" s="2" t="str">
        <f t="shared" si="10"/>
        <v>Error?</v>
      </c>
    </row>
    <row r="737" spans="1:4" x14ac:dyDescent="0.2">
      <c r="A737" s="5">
        <v>676</v>
      </c>
      <c r="B737" s="138">
        <f>'Expenditures 15-22'!C57</f>
        <v>96159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22528</v>
      </c>
      <c r="D739" s="2" t="str">
        <f t="shared" si="10"/>
        <v>Error?</v>
      </c>
    </row>
    <row r="740" spans="1:4" x14ac:dyDescent="0.2">
      <c r="A740" s="5">
        <v>679</v>
      </c>
      <c r="B740" s="138">
        <f>'Expenditures 15-22'!C61</f>
        <v>520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41692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64740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360450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1703520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254486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3655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346758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8880</v>
      </c>
      <c r="D780" s="2" t="str">
        <f t="shared" si="11"/>
        <v>Error?</v>
      </c>
    </row>
    <row r="781" spans="1:4" x14ac:dyDescent="0.2">
      <c r="A781" s="5">
        <v>720</v>
      </c>
      <c r="B781" s="138">
        <f>'Expenditures 15-22'!D38</f>
        <v>389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9269</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16173</v>
      </c>
      <c r="D791" s="2" t="str">
        <f t="shared" si="11"/>
        <v>Error?</v>
      </c>
    </row>
    <row r="792" spans="1:4" x14ac:dyDescent="0.2">
      <c r="A792" s="5">
        <v>731</v>
      </c>
      <c r="B792" s="138">
        <f>'Expenditures 15-22'!D53</f>
        <v>16173</v>
      </c>
      <c r="C792" s="2" t="s">
        <v>573</v>
      </c>
      <c r="D792" s="2" t="str">
        <f t="shared" si="11"/>
        <v>Error?</v>
      </c>
    </row>
    <row r="793" spans="1:4" x14ac:dyDescent="0.2">
      <c r="A793" s="5">
        <v>732</v>
      </c>
      <c r="B793" s="138">
        <f>'Expenditures 15-22'!D55</f>
        <v>9627</v>
      </c>
      <c r="D793" s="2" t="str">
        <f t="shared" si="11"/>
        <v>Error?</v>
      </c>
    </row>
    <row r="794" spans="1:4" x14ac:dyDescent="0.2">
      <c r="A794" s="5">
        <v>733</v>
      </c>
      <c r="B794" s="138">
        <f>'Expenditures 15-22'!D56</f>
        <v>4700</v>
      </c>
      <c r="D794" s="2" t="str">
        <f t="shared" si="11"/>
        <v>Error?</v>
      </c>
    </row>
    <row r="795" spans="1:4" x14ac:dyDescent="0.2">
      <c r="A795" s="5">
        <v>734</v>
      </c>
      <c r="B795" s="138">
        <f>'Expenditures 15-22'!D57</f>
        <v>14327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11169</v>
      </c>
      <c r="D797" s="2" t="str">
        <f t="shared" si="11"/>
        <v>Error?</v>
      </c>
    </row>
    <row r="798" spans="1:4" x14ac:dyDescent="0.2">
      <c r="A798" s="5">
        <v>737</v>
      </c>
      <c r="B798" s="138">
        <f>'Expenditures 15-22'!D61</f>
        <v>17567</v>
      </c>
      <c r="D798" s="2" t="str">
        <f t="shared" si="11"/>
        <v>Error?</v>
      </c>
    </row>
    <row r="799" spans="1:4" x14ac:dyDescent="0.2">
      <c r="A799" s="5">
        <v>738</v>
      </c>
      <c r="B799" s="138">
        <f>'Expenditures 15-22'!D62</f>
        <v>37596</v>
      </c>
      <c r="D799" s="2" t="str">
        <f t="shared" si="11"/>
        <v>Error?</v>
      </c>
    </row>
    <row r="800" spans="1:4" x14ac:dyDescent="0.2">
      <c r="A800" s="5">
        <v>739</v>
      </c>
      <c r="B800" s="138">
        <f>'Expenditures 15-22'!D63</f>
        <v>15292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81624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121393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468151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40015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18400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85121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7529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7529</v>
      </c>
      <c r="C847" s="2" t="s">
        <v>573</v>
      </c>
      <c r="D847" s="2" t="str">
        <f t="shared" si="12"/>
        <v>Error?</v>
      </c>
    </row>
    <row r="848" spans="1:4" x14ac:dyDescent="0.2">
      <c r="A848" s="5">
        <v>787</v>
      </c>
      <c r="B848" s="138">
        <f>'Expenditures 15-22'!E49</f>
        <v>40712</v>
      </c>
      <c r="D848" s="2" t="str">
        <f t="shared" si="12"/>
        <v>Error?</v>
      </c>
    </row>
    <row r="849" spans="1:4" x14ac:dyDescent="0.2">
      <c r="A849" s="5">
        <v>788</v>
      </c>
      <c r="B849" s="138">
        <f>'Expenditures 15-22'!E50</f>
        <v>25</v>
      </c>
      <c r="D849" s="2" t="str">
        <f t="shared" si="12"/>
        <v>Error?</v>
      </c>
    </row>
    <row r="850" spans="1:4" x14ac:dyDescent="0.2">
      <c r="A850" s="5">
        <v>789</v>
      </c>
      <c r="B850" s="138">
        <f>'Expenditures 15-22'!E53</f>
        <v>40737</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1818</v>
      </c>
      <c r="D852" s="2" t="str">
        <f t="shared" si="12"/>
        <v>Error?</v>
      </c>
    </row>
    <row r="853" spans="1:4" x14ac:dyDescent="0.2">
      <c r="A853" s="5">
        <v>792</v>
      </c>
      <c r="B853" s="138">
        <f>'Expenditures 15-22'!E57</f>
        <v>1818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1623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68942</v>
      </c>
      <c r="D857" s="2" t="str">
        <f t="shared" si="12"/>
        <v>Error?</v>
      </c>
    </row>
    <row r="858" spans="1:4" x14ac:dyDescent="0.2">
      <c r="A858" s="5">
        <v>797</v>
      </c>
      <c r="B858" s="138">
        <f>'Expenditures 15-22'!E63</f>
        <v>3624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74189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124273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292532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59141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3571</v>
      </c>
      <c r="D891" s="2" t="str">
        <f t="shared" si="12"/>
        <v>Error?</v>
      </c>
    </row>
    <row r="892" spans="1:4" x14ac:dyDescent="0.2">
      <c r="A892" s="5">
        <v>831</v>
      </c>
      <c r="B892" s="138">
        <f>'Expenditures 15-22'!F14</f>
        <v>17039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81627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170</v>
      </c>
      <c r="C901" s="2" t="s">
        <v>573</v>
      </c>
      <c r="D901" s="2" t="str">
        <f t="shared" si="13"/>
        <v>Error?</v>
      </c>
    </row>
    <row r="902" spans="1:4" x14ac:dyDescent="0.2">
      <c r="A902" s="5">
        <v>841</v>
      </c>
      <c r="B902" s="138">
        <f>'Expenditures 15-22'!F44</f>
        <v>3846</v>
      </c>
      <c r="D902" s="2" t="str">
        <f t="shared" si="13"/>
        <v>Error?</v>
      </c>
    </row>
    <row r="903" spans="1:4" x14ac:dyDescent="0.2">
      <c r="A903" s="5">
        <v>842</v>
      </c>
      <c r="B903" s="138">
        <f>'Expenditures 15-22'!F45</f>
        <v>14789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18635</v>
      </c>
      <c r="C905" s="2" t="s">
        <v>573</v>
      </c>
      <c r="D905" s="2" t="str">
        <f t="shared" si="13"/>
        <v>Error?</v>
      </c>
    </row>
    <row r="906" spans="1:4" x14ac:dyDescent="0.2">
      <c r="A906" s="5">
        <v>845</v>
      </c>
      <c r="B906" s="138">
        <f>'Expenditures 15-22'!F49</f>
        <v>2068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2068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471</v>
      </c>
      <c r="D910" s="2" t="str">
        <f t="shared" si="13"/>
        <v>Error?</v>
      </c>
    </row>
    <row r="911" spans="1:4" x14ac:dyDescent="0.2">
      <c r="A911" s="5">
        <v>850</v>
      </c>
      <c r="B911" s="138">
        <f>'Expenditures 15-22'!F57</f>
        <v>471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65661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65780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87124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168751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23681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23681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16491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16491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7450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7450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23941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47622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1836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6840</v>
      </c>
      <c r="D1022" s="2" t="str">
        <f t="shared" si="14"/>
        <v>Error?</v>
      </c>
    </row>
    <row r="1023" spans="1:4" x14ac:dyDescent="0.2">
      <c r="A1023" s="5">
        <v>962</v>
      </c>
      <c r="B1023" s="138">
        <f>'Expenditures 15-22'!H50</f>
        <v>1042</v>
      </c>
      <c r="D1023" s="2" t="str">
        <f t="shared" ref="D1023:D1086" si="15">IF(ISBLANK(B1023),"OK",IF(A1023-B1023=0,"OK","Error?"))</f>
        <v>Error?</v>
      </c>
    </row>
    <row r="1024" spans="1:4" x14ac:dyDescent="0.2">
      <c r="A1024" s="5">
        <v>963</v>
      </c>
      <c r="B1024" s="138">
        <f>'Expenditures 15-22'!H53</f>
        <v>7882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7882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105581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115299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1234877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106162</v>
      </c>
      <c r="C1105" s="2" t="s">
        <v>573</v>
      </c>
      <c r="D1105" s="2" t="str">
        <f t="shared" si="16"/>
        <v>Error?</v>
      </c>
    </row>
    <row r="1106" spans="1:4" x14ac:dyDescent="0.2">
      <c r="A1106" s="5">
        <v>1045</v>
      </c>
      <c r="B1106" s="138">
        <f>'Expenditures 15-22'!K14</f>
        <v>82177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1882093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72944</v>
      </c>
      <c r="C1110" s="2" t="s">
        <v>573</v>
      </c>
      <c r="D1110" s="2" t="str">
        <f t="shared" si="16"/>
        <v>Error?</v>
      </c>
    </row>
    <row r="1111" spans="1:4" x14ac:dyDescent="0.2">
      <c r="A1111" s="5">
        <v>1050</v>
      </c>
      <c r="B1111" s="138">
        <f>'Expenditures 15-22'!K38</f>
        <v>2256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75200</v>
      </c>
      <c r="C1115" s="2" t="s">
        <v>573</v>
      </c>
      <c r="D1115" s="2" t="str">
        <f t="shared" si="16"/>
        <v>Error?</v>
      </c>
    </row>
    <row r="1116" spans="1:4" x14ac:dyDescent="0.2">
      <c r="A1116" s="5">
        <v>1055</v>
      </c>
      <c r="B1116" s="138">
        <f>'Expenditures 15-22'!K44</f>
        <v>16436</v>
      </c>
      <c r="C1116" s="2" t="s">
        <v>573</v>
      </c>
      <c r="D1116" s="2" t="str">
        <f t="shared" si="16"/>
        <v>Error?</v>
      </c>
    </row>
    <row r="1117" spans="1:4" x14ac:dyDescent="0.2">
      <c r="A1117" s="5">
        <v>1056</v>
      </c>
      <c r="B1117" s="138">
        <f>'Expenditures 15-22'!K45</f>
        <v>38809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55245</v>
      </c>
      <c r="C1119" s="2" t="s">
        <v>573</v>
      </c>
      <c r="D1119" s="2" t="str">
        <f t="shared" si="16"/>
        <v>Error?</v>
      </c>
    </row>
    <row r="1120" spans="1:4" x14ac:dyDescent="0.2">
      <c r="A1120" s="5">
        <v>1059</v>
      </c>
      <c r="B1120" s="138">
        <f>'Expenditures 15-22'!K49</f>
        <v>71148</v>
      </c>
      <c r="C1120" s="2" t="s">
        <v>573</v>
      </c>
      <c r="D1120" s="2" t="str">
        <f t="shared" si="16"/>
        <v>Error?</v>
      </c>
    </row>
    <row r="1121" spans="1:4" x14ac:dyDescent="0.2">
      <c r="A1121" s="5">
        <v>1060</v>
      </c>
      <c r="B1121" s="138">
        <f>'Expenditures 15-22'!K50</f>
        <v>116912</v>
      </c>
      <c r="C1121" s="2" t="s">
        <v>573</v>
      </c>
      <c r="D1121" s="2" t="str">
        <f t="shared" si="16"/>
        <v>Error?</v>
      </c>
    </row>
    <row r="1122" spans="1:4" x14ac:dyDescent="0.2">
      <c r="A1122" s="5">
        <v>1061</v>
      </c>
      <c r="B1122" s="138">
        <f>'Expenditures 15-22'!K53</f>
        <v>188060</v>
      </c>
      <c r="C1122" s="2" t="s">
        <v>573</v>
      </c>
      <c r="D1122" s="2" t="str">
        <f t="shared" si="16"/>
        <v>Error?</v>
      </c>
    </row>
    <row r="1123" spans="1:4" x14ac:dyDescent="0.2">
      <c r="A1123" s="5">
        <v>1062</v>
      </c>
      <c r="B1123" s="138">
        <f>'Expenditures 15-22'!K55</f>
        <v>86255</v>
      </c>
      <c r="C1123" s="2" t="s">
        <v>573</v>
      </c>
      <c r="D1123" s="2" t="str">
        <f t="shared" si="16"/>
        <v>Error?</v>
      </c>
    </row>
    <row r="1124" spans="1:4" x14ac:dyDescent="0.2">
      <c r="A1124" s="5">
        <v>1063</v>
      </c>
      <c r="B1124" s="138">
        <f>'Expenditures 15-22'!K56</f>
        <v>26520</v>
      </c>
      <c r="C1124" s="2" t="s">
        <v>573</v>
      </c>
      <c r="D1124" s="2" t="str">
        <f t="shared" si="16"/>
        <v>Error?</v>
      </c>
    </row>
    <row r="1125" spans="1:4" x14ac:dyDescent="0.2">
      <c r="A1125" s="5">
        <v>1064</v>
      </c>
      <c r="B1125" s="138">
        <f>'Expenditures 15-22'!K57</f>
        <v>112775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35439</v>
      </c>
      <c r="C1127" s="2" t="s">
        <v>573</v>
      </c>
      <c r="D1127" s="2" t="str">
        <f t="shared" si="16"/>
        <v>Error?</v>
      </c>
    </row>
    <row r="1128" spans="1:4" x14ac:dyDescent="0.2">
      <c r="A1128" s="5">
        <v>1067</v>
      </c>
      <c r="B1128" s="138">
        <f>'Expenditures 15-22'!K61</f>
        <v>18087</v>
      </c>
      <c r="C1128" s="2" t="s">
        <v>573</v>
      </c>
      <c r="D1128" s="2" t="str">
        <f t="shared" si="16"/>
        <v>Error?</v>
      </c>
    </row>
    <row r="1129" spans="1:4" x14ac:dyDescent="0.2">
      <c r="A1129" s="5">
        <v>1068</v>
      </c>
      <c r="B1129" s="138">
        <f>'Expenditures 15-22'!K62</f>
        <v>106538</v>
      </c>
      <c r="C1129" s="2" t="s">
        <v>573</v>
      </c>
      <c r="D1129" s="2" t="str">
        <f t="shared" si="16"/>
        <v>Error?</v>
      </c>
    </row>
    <row r="1130" spans="1:4" x14ac:dyDescent="0.2">
      <c r="A1130" s="5">
        <v>1069</v>
      </c>
      <c r="B1130" s="138">
        <f>'Expenditures 15-22'!K63</f>
        <v>133719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293783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725063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188719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2795875</v>
      </c>
      <c r="C1152" s="2" t="s">
        <v>573</v>
      </c>
      <c r="D1152" s="2" t="str">
        <f t="shared" si="17"/>
        <v>Error?</v>
      </c>
    </row>
    <row r="1153" spans="1:4" x14ac:dyDescent="0.2">
      <c r="A1153" s="5">
        <v>1092</v>
      </c>
      <c r="B1153" s="138">
        <f>'Expenditures 15-22'!K115</f>
        <v>779231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73429</v>
      </c>
      <c r="D1221" s="2" t="str">
        <f t="shared" si="18"/>
        <v>Error?</v>
      </c>
    </row>
    <row r="1222" spans="1:4" x14ac:dyDescent="0.2">
      <c r="A1222" s="10">
        <v>1161</v>
      </c>
      <c r="D1222" s="2" t="str">
        <f t="shared" si="18"/>
        <v>OK</v>
      </c>
    </row>
    <row r="1223" spans="1:4" x14ac:dyDescent="0.2">
      <c r="A1223" s="5">
        <v>1162</v>
      </c>
      <c r="B1223" s="138">
        <f>'Expenditures 15-22'!C127</f>
        <v>73429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73429</v>
      </c>
      <c r="C1225" s="2" t="s">
        <v>573</v>
      </c>
      <c r="D1225" s="2" t="str">
        <f t="shared" si="18"/>
        <v>Error?</v>
      </c>
    </row>
    <row r="1226" spans="1:4" x14ac:dyDescent="0.2">
      <c r="A1226" s="5">
        <v>1165</v>
      </c>
      <c r="B1226" s="138">
        <f>'Expenditures 15-22'!C151</f>
        <v>73429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18341</v>
      </c>
      <c r="D1237" s="2" t="str">
        <f t="shared" si="18"/>
        <v>Error?</v>
      </c>
    </row>
    <row r="1238" spans="1:4" x14ac:dyDescent="0.2">
      <c r="A1238" s="10">
        <v>1177</v>
      </c>
      <c r="D1238" s="2" t="str">
        <f t="shared" si="18"/>
        <v>OK</v>
      </c>
    </row>
    <row r="1239" spans="1:4" x14ac:dyDescent="0.2">
      <c r="A1239" s="5">
        <v>1178</v>
      </c>
      <c r="B1239" s="138">
        <f>'Expenditures 15-22'!E127</f>
        <v>18341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18341</v>
      </c>
      <c r="C1241" s="2" t="s">
        <v>573</v>
      </c>
      <c r="D1241" s="2" t="str">
        <f t="shared" si="18"/>
        <v>Error?</v>
      </c>
    </row>
    <row r="1242" spans="1:4" x14ac:dyDescent="0.2">
      <c r="A1242" s="5">
        <v>1181</v>
      </c>
      <c r="B1242" s="138">
        <f>'Expenditures 15-22'!E151</f>
        <v>18341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25332</v>
      </c>
      <c r="D1245" s="2" t="str">
        <f t="shared" si="18"/>
        <v>Error?</v>
      </c>
    </row>
    <row r="1246" spans="1:4" x14ac:dyDescent="0.2">
      <c r="A1246" s="10">
        <v>1185</v>
      </c>
      <c r="D1246" s="2" t="str">
        <f t="shared" si="18"/>
        <v>OK</v>
      </c>
    </row>
    <row r="1247" spans="1:4" x14ac:dyDescent="0.2">
      <c r="A1247" s="5">
        <v>1186</v>
      </c>
      <c r="B1247" s="138">
        <f>'Expenditures 15-22'!F127</f>
        <v>25332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25332</v>
      </c>
      <c r="C1249" s="2" t="s">
        <v>573</v>
      </c>
      <c r="D1249" s="2" t="str">
        <f t="shared" si="18"/>
        <v>Error?</v>
      </c>
    </row>
    <row r="1250" spans="1:4" x14ac:dyDescent="0.2">
      <c r="A1250" s="5">
        <v>1189</v>
      </c>
      <c r="B1250" s="138">
        <f>'Expenditures 15-22'!F151</f>
        <v>25332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13951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13951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13951</v>
      </c>
      <c r="C1258" s="2" t="s">
        <v>573</v>
      </c>
      <c r="D1258" s="2" t="str">
        <f t="shared" si="18"/>
        <v>Error?</v>
      </c>
    </row>
    <row r="1259" spans="1:4" x14ac:dyDescent="0.2">
      <c r="A1259" s="5">
        <v>1198</v>
      </c>
      <c r="B1259" s="138">
        <f>'Expenditures 15-22'!G151</f>
        <v>13951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278</v>
      </c>
      <c r="D1262" s="2" t="str">
        <f t="shared" si="18"/>
        <v>Error?</v>
      </c>
    </row>
    <row r="1263" spans="1:4" x14ac:dyDescent="0.2">
      <c r="A1263" s="10">
        <v>1202</v>
      </c>
      <c r="D1263" s="2" t="str">
        <f t="shared" si="18"/>
        <v>OK</v>
      </c>
    </row>
    <row r="1264" spans="1:4" x14ac:dyDescent="0.2">
      <c r="A1264" s="5">
        <v>1203</v>
      </c>
      <c r="B1264" s="138">
        <f>'Expenditures 15-22'!H127</f>
        <v>278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278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278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131331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131331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131331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131331</v>
      </c>
      <c r="C1288" s="2" t="s">
        <v>573</v>
      </c>
      <c r="D1288" s="2" t="str">
        <f t="shared" si="19"/>
        <v>Error?</v>
      </c>
    </row>
    <row r="1289" spans="1:4" x14ac:dyDescent="0.2">
      <c r="A1289" s="5">
        <v>1228</v>
      </c>
      <c r="B1289" s="138">
        <f>'Expenditures 15-22'!K152</f>
        <v>9912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93608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106400</v>
      </c>
      <c r="D1315" s="2" t="str">
        <f t="shared" si="19"/>
        <v>Error?</v>
      </c>
    </row>
    <row r="1316" spans="1:4" x14ac:dyDescent="0.2">
      <c r="A1316" s="5">
        <v>1255</v>
      </c>
      <c r="B1316" s="138">
        <f>'Expenditures 15-22'!H171</f>
        <v>700</v>
      </c>
      <c r="D1316" s="2" t="str">
        <f t="shared" si="19"/>
        <v>Error?</v>
      </c>
    </row>
    <row r="1317" spans="1:4" x14ac:dyDescent="0.2">
      <c r="A1317" s="5">
        <v>1256</v>
      </c>
      <c r="B1317" s="138">
        <f>'Expenditures 15-22'!H172</f>
        <v>200708</v>
      </c>
      <c r="C1317" s="2" t="s">
        <v>573</v>
      </c>
      <c r="D1317" s="2" t="str">
        <f t="shared" si="19"/>
        <v>Error?</v>
      </c>
    </row>
    <row r="1318" spans="1:4" x14ac:dyDescent="0.2">
      <c r="A1318" s="5">
        <v>1257</v>
      </c>
      <c r="B1318" s="138">
        <f>'Expenditures 15-22'!H174</f>
        <v>200708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93608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106400</v>
      </c>
      <c r="C1329" s="2" t="s">
        <v>573</v>
      </c>
      <c r="D1329" s="2" t="str">
        <f t="shared" si="19"/>
        <v>Error?</v>
      </c>
    </row>
    <row r="1330" spans="1:4" x14ac:dyDescent="0.2">
      <c r="A1330" s="5">
        <v>1269</v>
      </c>
      <c r="B1330" s="138">
        <f>'Expenditures 15-22'!K171</f>
        <v>700</v>
      </c>
      <c r="C1330" s="2" t="s">
        <v>573</v>
      </c>
      <c r="D1330" s="2" t="str">
        <f t="shared" si="19"/>
        <v>Error?</v>
      </c>
    </row>
    <row r="1331" spans="1:4" x14ac:dyDescent="0.2">
      <c r="A1331" s="5">
        <v>1270</v>
      </c>
      <c r="B1331" s="138">
        <f>'Expenditures 15-22'!K172</f>
        <v>200708</v>
      </c>
      <c r="C1331" s="2" t="s">
        <v>573</v>
      </c>
      <c r="D1331" s="2" t="str">
        <f t="shared" si="19"/>
        <v>Error?</v>
      </c>
    </row>
    <row r="1332" spans="1:4" x14ac:dyDescent="0.2">
      <c r="A1332" s="5">
        <v>1271</v>
      </c>
      <c r="B1332" s="138">
        <f>'Expenditures 15-22'!K174</f>
        <v>200708</v>
      </c>
      <c r="C1332" s="2" t="s">
        <v>573</v>
      </c>
      <c r="D1332" s="2" t="str">
        <f t="shared" si="19"/>
        <v>Error?</v>
      </c>
    </row>
    <row r="1333" spans="1:4" x14ac:dyDescent="0.2">
      <c r="A1333" s="5">
        <v>1272</v>
      </c>
      <c r="B1333" s="138">
        <f>'Expenditures 15-22'!K175</f>
        <v>12</v>
      </c>
      <c r="C1333" s="2" t="s">
        <v>573</v>
      </c>
      <c r="D1333" s="2" t="str">
        <f t="shared" si="19"/>
        <v>Error?</v>
      </c>
    </row>
    <row r="1334" spans="1:4" x14ac:dyDescent="0.2">
      <c r="A1334" s="10">
        <v>1273</v>
      </c>
      <c r="D1334" s="2" t="str">
        <f t="shared" si="19"/>
        <v>OK</v>
      </c>
    </row>
    <row r="1335" spans="1:4" x14ac:dyDescent="0.2">
      <c r="A1335" s="5">
        <v>1274</v>
      </c>
      <c r="B1335" s="138">
        <f>'Expenditures 15-22'!C182</f>
        <v>111048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111048</v>
      </c>
      <c r="C1339" s="2" t="s">
        <v>573</v>
      </c>
      <c r="D1339" s="2" t="str">
        <f t="shared" si="19"/>
        <v>Error?</v>
      </c>
    </row>
    <row r="1340" spans="1:4" x14ac:dyDescent="0.2">
      <c r="A1340" s="5">
        <v>1279</v>
      </c>
      <c r="B1340" s="138">
        <f>'Expenditures 15-22'!C210</f>
        <v>111048</v>
      </c>
      <c r="C1340" s="2" t="s">
        <v>573</v>
      </c>
      <c r="D1340" s="2" t="str">
        <f t="shared" si="19"/>
        <v>Error?</v>
      </c>
    </row>
    <row r="1341" spans="1:4" x14ac:dyDescent="0.2">
      <c r="A1341" s="5">
        <v>1280</v>
      </c>
      <c r="B1341" s="138">
        <f>'Expenditures 15-22'!D182</f>
        <v>16976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16976</v>
      </c>
      <c r="C1345" s="2" t="s">
        <v>573</v>
      </c>
      <c r="D1345" s="2" t="str">
        <f t="shared" si="20"/>
        <v>Error?</v>
      </c>
    </row>
    <row r="1346" spans="1:4" x14ac:dyDescent="0.2">
      <c r="A1346" s="5">
        <v>1285</v>
      </c>
      <c r="B1346" s="138">
        <f>'Expenditures 15-22'!D210</f>
        <v>16976</v>
      </c>
      <c r="C1346" s="2" t="s">
        <v>573</v>
      </c>
      <c r="D1346" s="2" t="str">
        <f t="shared" si="20"/>
        <v>Error?</v>
      </c>
    </row>
    <row r="1347" spans="1:4" x14ac:dyDescent="0.2">
      <c r="A1347" s="5">
        <v>1286</v>
      </c>
      <c r="B1347" s="138">
        <f>'Expenditures 15-22'!E182</f>
        <v>42380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42380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42380</v>
      </c>
      <c r="C1353" s="2" t="s">
        <v>573</v>
      </c>
      <c r="D1353" s="2" t="str">
        <f t="shared" si="20"/>
        <v>Error?</v>
      </c>
    </row>
    <row r="1354" spans="1:4" x14ac:dyDescent="0.2">
      <c r="A1354" s="5">
        <v>1293</v>
      </c>
      <c r="B1354" s="138">
        <f>'Expenditures 15-22'!F182</f>
        <v>34893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34893</v>
      </c>
      <c r="C1358" s="2" t="s">
        <v>573</v>
      </c>
      <c r="D1358" s="2" t="str">
        <f t="shared" si="20"/>
        <v>Error?</v>
      </c>
    </row>
    <row r="1359" spans="1:4" x14ac:dyDescent="0.2">
      <c r="A1359" s="5">
        <v>1298</v>
      </c>
      <c r="B1359" s="138">
        <f>'Expenditures 15-22'!F210</f>
        <v>34893</v>
      </c>
      <c r="C1359" s="2" t="s">
        <v>573</v>
      </c>
      <c r="D1359" s="2" t="str">
        <f t="shared" si="20"/>
        <v>Error?</v>
      </c>
    </row>
    <row r="1360" spans="1:4" x14ac:dyDescent="0.2">
      <c r="A1360" s="5">
        <v>1299</v>
      </c>
      <c r="B1360" s="138">
        <f>'Expenditures 15-22'!G182</f>
        <v>105220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105220</v>
      </c>
      <c r="C1364" s="2" t="s">
        <v>573</v>
      </c>
      <c r="D1364" s="2" t="str">
        <f t="shared" si="20"/>
        <v>Error?</v>
      </c>
    </row>
    <row r="1365" spans="1:4" x14ac:dyDescent="0.2">
      <c r="A1365" s="5">
        <v>1304</v>
      </c>
      <c r="B1365" s="138">
        <f>'Expenditures 15-22'!G210</f>
        <v>105220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310517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310517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310517</v>
      </c>
      <c r="C1388" s="2" t="s">
        <v>573</v>
      </c>
      <c r="D1388" s="2" t="str">
        <f t="shared" si="20"/>
        <v>Error?</v>
      </c>
    </row>
    <row r="1389" spans="1:4" x14ac:dyDescent="0.2">
      <c r="A1389" s="5">
        <v>1328</v>
      </c>
      <c r="B1389" s="138">
        <f>'Expenditures 15-22'!K211</f>
        <v>-58778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1239</v>
      </c>
      <c r="D1407" s="2" t="str">
        <f t="shared" ref="D1407:D1470" si="21">IF(ISBLANK(B1407),"OK",IF(A1407-B1407=0,"OK","Error?"))</f>
        <v>Error?</v>
      </c>
    </row>
    <row r="1408" spans="1:4" x14ac:dyDescent="0.2">
      <c r="A1408" s="5">
        <v>1347</v>
      </c>
      <c r="B1408" s="138">
        <f>'Expenditures 15-22'!D223</f>
        <v>2218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50840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929</v>
      </c>
      <c r="D1412" s="2" t="str">
        <f t="shared" si="21"/>
        <v>Error?</v>
      </c>
    </row>
    <row r="1413" spans="1:4" x14ac:dyDescent="0.2">
      <c r="A1413" s="5">
        <v>1352</v>
      </c>
      <c r="B1413" s="138">
        <f>'Expenditures 15-22'!D234</f>
        <v>284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1213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4808</v>
      </c>
      <c r="D1422" s="2" t="str">
        <f t="shared" si="21"/>
        <v>Error?</v>
      </c>
    </row>
    <row r="1423" spans="1:4" x14ac:dyDescent="0.2">
      <c r="A1423" s="5">
        <v>1362</v>
      </c>
      <c r="B1423" s="138">
        <f>'Expenditures 15-22'!D246</f>
        <v>1267</v>
      </c>
      <c r="D1423" s="2" t="str">
        <f t="shared" si="21"/>
        <v>Error?</v>
      </c>
    </row>
    <row r="1424" spans="1:4" x14ac:dyDescent="0.2">
      <c r="A1424" s="5">
        <v>1363</v>
      </c>
      <c r="B1424" s="138">
        <f>'Expenditures 15-22'!D257</f>
        <v>6075</v>
      </c>
      <c r="C1424" s="2" t="s">
        <v>573</v>
      </c>
      <c r="D1424" s="2" t="str">
        <f t="shared" si="21"/>
        <v>Error?</v>
      </c>
    </row>
    <row r="1425" spans="1:4" x14ac:dyDescent="0.2">
      <c r="A1425" s="5">
        <v>1364</v>
      </c>
      <c r="B1425" s="138">
        <f>'Expenditures 15-22'!D259</f>
        <v>1019</v>
      </c>
      <c r="D1425" s="2" t="str">
        <f t="shared" si="21"/>
        <v>Error?</v>
      </c>
    </row>
    <row r="1426" spans="1:4" x14ac:dyDescent="0.2">
      <c r="A1426" s="5">
        <v>1365</v>
      </c>
      <c r="B1426" s="138">
        <f>'Expenditures 15-22'!D260</f>
        <v>9950</v>
      </c>
      <c r="D1426" s="2" t="str">
        <f t="shared" si="21"/>
        <v>Error?</v>
      </c>
    </row>
    <row r="1427" spans="1:4" x14ac:dyDescent="0.2">
      <c r="A1427" s="5">
        <v>1366</v>
      </c>
      <c r="B1427" s="138">
        <f>'Expenditures 15-22'!D261</f>
        <v>10969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5006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20860</v>
      </c>
      <c r="D1431" s="2" t="str">
        <f t="shared" si="21"/>
        <v>Error?</v>
      </c>
    </row>
    <row r="1432" spans="1:4" x14ac:dyDescent="0.2">
      <c r="A1432" s="5">
        <v>1371</v>
      </c>
      <c r="B1432" s="138">
        <f>'Expenditures 15-22'!D267</f>
        <v>23281</v>
      </c>
      <c r="D1432" s="2" t="str">
        <f t="shared" si="21"/>
        <v>Error?</v>
      </c>
    </row>
    <row r="1433" spans="1:4" x14ac:dyDescent="0.2">
      <c r="A1433" s="5">
        <v>1372</v>
      </c>
      <c r="B1433" s="138">
        <f>'Expenditures 15-22'!D268</f>
        <v>9788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58935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77192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128032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1239</v>
      </c>
      <c r="C1471" s="2" t="s">
        <v>573</v>
      </c>
      <c r="D1471" s="2" t="str">
        <f t="shared" ref="D1471:D1534" si="22">IF(ISBLANK(B1471),"OK",IF(A1471-B1471=0,"OK","Error?"))</f>
        <v>Error?</v>
      </c>
    </row>
    <row r="1472" spans="1:4" x14ac:dyDescent="0.2">
      <c r="A1472" s="5">
        <v>1411</v>
      </c>
      <c r="B1472" s="138">
        <f>'Expenditures 15-22'!K223</f>
        <v>2218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50840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929</v>
      </c>
      <c r="C1476" s="2" t="s">
        <v>573</v>
      </c>
      <c r="D1476" s="2" t="str">
        <f t="shared" si="22"/>
        <v>Error?</v>
      </c>
    </row>
    <row r="1477" spans="1:4" x14ac:dyDescent="0.2">
      <c r="A1477" s="5">
        <v>1416</v>
      </c>
      <c r="B1477" s="138">
        <f>'Expenditures 15-22'!K234</f>
        <v>284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1213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4808</v>
      </c>
      <c r="C1486" s="2" t="s">
        <v>573</v>
      </c>
      <c r="D1486" s="2" t="str">
        <f t="shared" si="22"/>
        <v>Error?</v>
      </c>
    </row>
    <row r="1487" spans="1:4" x14ac:dyDescent="0.2">
      <c r="A1487" s="5">
        <v>1426</v>
      </c>
      <c r="B1487" s="138">
        <f>'Expenditures 15-22'!K246</f>
        <v>1267</v>
      </c>
      <c r="C1487" s="2" t="s">
        <v>573</v>
      </c>
      <c r="D1487" s="2" t="str">
        <f t="shared" si="22"/>
        <v>Error?</v>
      </c>
    </row>
    <row r="1488" spans="1:4" x14ac:dyDescent="0.2">
      <c r="A1488" s="5">
        <v>1427</v>
      </c>
      <c r="B1488" s="138">
        <f>'Expenditures 15-22'!K257</f>
        <v>6075</v>
      </c>
      <c r="C1488" s="2" t="s">
        <v>573</v>
      </c>
      <c r="D1488" s="2" t="str">
        <f t="shared" si="22"/>
        <v>Error?</v>
      </c>
    </row>
    <row r="1489" spans="1:4" x14ac:dyDescent="0.2">
      <c r="A1489" s="5">
        <v>1428</v>
      </c>
      <c r="B1489" s="138">
        <f>'Expenditures 15-22'!K259</f>
        <v>1019</v>
      </c>
      <c r="C1489" s="2" t="s">
        <v>573</v>
      </c>
      <c r="D1489" s="2" t="str">
        <f t="shared" si="22"/>
        <v>Error?</v>
      </c>
    </row>
    <row r="1490" spans="1:4" x14ac:dyDescent="0.2">
      <c r="A1490" s="5">
        <v>1429</v>
      </c>
      <c r="B1490" s="138">
        <f>'Expenditures 15-22'!K260</f>
        <v>9950</v>
      </c>
      <c r="C1490" s="2" t="s">
        <v>573</v>
      </c>
      <c r="D1490" s="2" t="str">
        <f t="shared" si="22"/>
        <v>Error?</v>
      </c>
    </row>
    <row r="1491" spans="1:4" x14ac:dyDescent="0.2">
      <c r="A1491" s="5">
        <v>1430</v>
      </c>
      <c r="B1491" s="138">
        <f>'Expenditures 15-22'!K261</f>
        <v>10969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5006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20860</v>
      </c>
      <c r="C1495" s="2" t="s">
        <v>573</v>
      </c>
      <c r="D1495" s="2" t="str">
        <f t="shared" si="22"/>
        <v>Error?</v>
      </c>
    </row>
    <row r="1496" spans="1:4" x14ac:dyDescent="0.2">
      <c r="A1496" s="5">
        <v>1435</v>
      </c>
      <c r="B1496" s="138">
        <f>'Expenditures 15-22'!K267</f>
        <v>23281</v>
      </c>
      <c r="C1496" s="2" t="s">
        <v>573</v>
      </c>
      <c r="D1496" s="2" t="str">
        <f t="shared" si="22"/>
        <v>Error?</v>
      </c>
    </row>
    <row r="1497" spans="1:4" x14ac:dyDescent="0.2">
      <c r="A1497" s="5">
        <v>1436</v>
      </c>
      <c r="B1497" s="138">
        <f>'Expenditures 15-22'!K268</f>
        <v>9788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58935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77192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128032</v>
      </c>
      <c r="C1517" s="2" t="s">
        <v>573</v>
      </c>
      <c r="D1517" s="2" t="str">
        <f t="shared" si="22"/>
        <v>Error?</v>
      </c>
    </row>
    <row r="1518" spans="1:4" x14ac:dyDescent="0.2">
      <c r="A1518" s="5">
        <v>1457</v>
      </c>
      <c r="B1518" s="138">
        <f>'Expenditures 15-22'!K296</f>
        <v>24700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3387452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3387452</v>
      </c>
      <c r="C1535" s="2" t="s">
        <v>573</v>
      </c>
      <c r="D1535" s="2" t="str">
        <f t="shared" ref="D1535:D1598" si="23">IF(ISBLANK(B1535),"OK",IF(A1535-B1535=0,"OK","Error?"))</f>
        <v>Error?</v>
      </c>
    </row>
    <row r="1536" spans="1:4" x14ac:dyDescent="0.2">
      <c r="A1536" s="5">
        <v>1475</v>
      </c>
      <c r="B1536" s="138">
        <f>'Expenditures 15-22'!E312</f>
        <v>3387452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3387452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3387452</v>
      </c>
      <c r="C1559" s="2" t="s">
        <v>573</v>
      </c>
      <c r="D1559" s="2" t="str">
        <f t="shared" si="23"/>
        <v>Error?</v>
      </c>
    </row>
    <row r="1560" spans="1:4" x14ac:dyDescent="0.2">
      <c r="A1560" s="5">
        <v>1499</v>
      </c>
      <c r="B1560" s="138">
        <f>'Expenditures 15-22'!K312</f>
        <v>3387452</v>
      </c>
      <c r="C1560" s="2" t="s">
        <v>573</v>
      </c>
      <c r="D1560" s="2" t="str">
        <f t="shared" si="23"/>
        <v>Error?</v>
      </c>
    </row>
    <row r="1561" spans="1:4" x14ac:dyDescent="0.2">
      <c r="A1561" s="5">
        <v>1500</v>
      </c>
      <c r="B1561" s="138">
        <f>'Expenditures 15-22'!K313</f>
        <v>-1259907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1533480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2312711</v>
      </c>
      <c r="C1630" s="2" t="s">
        <v>573</v>
      </c>
      <c r="D1630" s="2" t="str">
        <f t="shared" si="24"/>
        <v>Error?</v>
      </c>
    </row>
    <row r="1631" spans="1:4" x14ac:dyDescent="0.2">
      <c r="A1631" s="5">
        <v>1570</v>
      </c>
      <c r="B1631" s="138">
        <f>'Acct Summary 7-8'!D79</f>
        <v>255872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265784</v>
      </c>
      <c r="C1644" s="2" t="s">
        <v>573</v>
      </c>
      <c r="D1644" s="2" t="str">
        <f t="shared" si="24"/>
        <v>Error?</v>
      </c>
    </row>
    <row r="1645" spans="1:4" x14ac:dyDescent="0.2">
      <c r="A1645" s="5">
        <v>1584</v>
      </c>
      <c r="B1645" s="138">
        <f>'Acct Summary 7-8'!E79</f>
        <v>72975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72987</v>
      </c>
      <c r="C1658" s="2" t="s">
        <v>573</v>
      </c>
      <c r="D1658" s="2" t="str">
        <f t="shared" si="24"/>
        <v>Error?</v>
      </c>
    </row>
    <row r="1659" spans="1:4" x14ac:dyDescent="0.2">
      <c r="A1659" s="5">
        <v>1598</v>
      </c>
      <c r="B1659" s="138">
        <f>'Acct Summary 7-8'!F79</f>
        <v>259636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200858</v>
      </c>
      <c r="C1672" s="2" t="s">
        <v>573</v>
      </c>
      <c r="D1672" s="2" t="str">
        <f t="shared" si="25"/>
        <v>Error?</v>
      </c>
    </row>
    <row r="1673" spans="1:4" x14ac:dyDescent="0.2">
      <c r="A1673" s="5">
        <v>1612</v>
      </c>
      <c r="B1673" s="138">
        <f>'Acct Summary 7-8'!G79</f>
        <v>140064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164764</v>
      </c>
      <c r="C1686" s="2" t="s">
        <v>573</v>
      </c>
      <c r="D1686" s="2" t="str">
        <f t="shared" si="25"/>
        <v>Error?</v>
      </c>
    </row>
    <row r="1687" spans="1:4" x14ac:dyDescent="0.2">
      <c r="A1687" s="5">
        <v>1626</v>
      </c>
      <c r="B1687" s="138">
        <f>'Acct Summary 7-8'!H79</f>
        <v>1715080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455173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572953</v>
      </c>
      <c r="C1744" s="2" t="s">
        <v>573</v>
      </c>
      <c r="D1744" s="2" t="str">
        <f t="shared" si="26"/>
        <v>Error?</v>
      </c>
    </row>
    <row r="1745" spans="1:5" x14ac:dyDescent="0.2">
      <c r="A1745" s="5">
        <v>1684</v>
      </c>
      <c r="B1745" s="138">
        <f>'Tax Sched 23'!B5</f>
        <v>139195</v>
      </c>
      <c r="C1745" s="2" t="s">
        <v>573</v>
      </c>
      <c r="D1745" s="2" t="str">
        <f t="shared" si="26"/>
        <v>Error?</v>
      </c>
    </row>
    <row r="1746" spans="1:5" x14ac:dyDescent="0.2">
      <c r="A1746" s="5">
        <v>1685</v>
      </c>
      <c r="B1746" s="138">
        <f>'Tax Sched 23'!B6</f>
        <v>198223</v>
      </c>
      <c r="C1746" s="2" t="s">
        <v>573</v>
      </c>
      <c r="D1746" s="2" t="str">
        <f t="shared" si="26"/>
        <v>Error?</v>
      </c>
    </row>
    <row r="1747" spans="1:5" x14ac:dyDescent="0.2">
      <c r="A1747" s="5">
        <v>1686</v>
      </c>
      <c r="B1747" s="138">
        <f>'Tax Sched 23'!B7</f>
        <v>76139</v>
      </c>
      <c r="C1747" s="2" t="s">
        <v>573</v>
      </c>
      <c r="D1747" s="2" t="str">
        <f t="shared" si="26"/>
        <v>Error?</v>
      </c>
    </row>
    <row r="1748" spans="1:5" x14ac:dyDescent="0.2">
      <c r="A1748" s="5">
        <v>1687</v>
      </c>
      <c r="B1748" s="138">
        <f>'Tax Sched 23'!B8</f>
        <v>93203</v>
      </c>
      <c r="C1748" s="2" t="s">
        <v>573</v>
      </c>
      <c r="D1748" s="2" t="str">
        <f t="shared" si="26"/>
        <v>Error?</v>
      </c>
    </row>
    <row r="1749" spans="1:5" x14ac:dyDescent="0.2">
      <c r="A1749" s="5">
        <v>1688</v>
      </c>
      <c r="B1749" s="138">
        <f>'Tax Sched 23'!B10</f>
        <v>15665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162817</v>
      </c>
      <c r="C1752" s="2" t="s">
        <v>573</v>
      </c>
      <c r="D1752" s="2" t="str">
        <f t="shared" si="26"/>
        <v>Error?</v>
      </c>
    </row>
    <row r="1753" spans="1:5" x14ac:dyDescent="0.2">
      <c r="A1753" s="5">
        <v>1692</v>
      </c>
      <c r="B1753" s="138">
        <f>'Tax Sched 23'!B12</f>
        <v>20356</v>
      </c>
      <c r="C1753" s="2" t="s">
        <v>573</v>
      </c>
      <c r="D1753" s="2" t="str">
        <f t="shared" si="26"/>
        <v>Error?</v>
      </c>
    </row>
    <row r="1754" spans="1:5" x14ac:dyDescent="0.2">
      <c r="A1754" s="5">
        <v>1693</v>
      </c>
      <c r="B1754" s="138">
        <f>'Tax Sched 23'!B14</f>
        <v>20356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1381106</v>
      </c>
      <c r="C1759" s="2" t="s">
        <v>573</v>
      </c>
      <c r="D1759" s="2" t="str">
        <f t="shared" si="26"/>
        <v>Error?</v>
      </c>
    </row>
    <row r="1760" spans="1:5" x14ac:dyDescent="0.2">
      <c r="A1760" s="5">
        <v>1699</v>
      </c>
      <c r="B1760" s="138">
        <f>'Tax Sched 23'!D4</f>
        <v>572953</v>
      </c>
      <c r="C1760" s="2" t="s">
        <v>573</v>
      </c>
      <c r="D1760" s="2" t="str">
        <f t="shared" si="26"/>
        <v>Error?</v>
      </c>
    </row>
    <row r="1761" spans="1:5" x14ac:dyDescent="0.2">
      <c r="A1761" s="5">
        <v>1700</v>
      </c>
      <c r="B1761" s="138">
        <f>'Tax Sched 23'!D5</f>
        <v>139195</v>
      </c>
      <c r="C1761" s="2" t="s">
        <v>573</v>
      </c>
      <c r="D1761" s="2" t="str">
        <f t="shared" si="26"/>
        <v>Error?</v>
      </c>
    </row>
    <row r="1762" spans="1:5" s="8" customFormat="1" x14ac:dyDescent="0.2">
      <c r="A1762" s="5">
        <v>1701</v>
      </c>
      <c r="B1762" s="138">
        <f>'Tax Sched 23'!D6</f>
        <v>198223</v>
      </c>
      <c r="C1762" s="2" t="s">
        <v>573</v>
      </c>
      <c r="D1762" s="2" t="str">
        <f t="shared" si="26"/>
        <v>Error?</v>
      </c>
      <c r="E1762" s="9"/>
    </row>
    <row r="1763" spans="1:5" x14ac:dyDescent="0.2">
      <c r="A1763" s="5">
        <v>1702</v>
      </c>
      <c r="B1763" s="138">
        <f>'Tax Sched 23'!D7</f>
        <v>76139</v>
      </c>
      <c r="C1763" s="2" t="s">
        <v>573</v>
      </c>
      <c r="D1763" s="2" t="str">
        <f t="shared" si="26"/>
        <v>Error?</v>
      </c>
    </row>
    <row r="1764" spans="1:5" x14ac:dyDescent="0.2">
      <c r="A1764" s="5">
        <v>1703</v>
      </c>
      <c r="B1764" s="138">
        <f>'Tax Sched 23'!D8</f>
        <v>93203</v>
      </c>
      <c r="C1764" s="2" t="s">
        <v>573</v>
      </c>
      <c r="D1764" s="2" t="str">
        <f t="shared" si="26"/>
        <v>Error?</v>
      </c>
    </row>
    <row r="1765" spans="1:5" x14ac:dyDescent="0.2">
      <c r="A1765" s="5">
        <v>1704</v>
      </c>
      <c r="B1765" s="138">
        <f>'Tax Sched 23'!D10</f>
        <v>15665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162817</v>
      </c>
      <c r="C1768" s="2" t="s">
        <v>573</v>
      </c>
      <c r="D1768" s="2" t="str">
        <f t="shared" si="26"/>
        <v>Error?</v>
      </c>
    </row>
    <row r="1769" spans="1:5" x14ac:dyDescent="0.2">
      <c r="A1769" s="5">
        <v>1708</v>
      </c>
      <c r="B1769" s="138">
        <f>'Tax Sched 23'!D12</f>
        <v>20356</v>
      </c>
      <c r="C1769" s="2" t="s">
        <v>573</v>
      </c>
      <c r="D1769" s="2" t="str">
        <f t="shared" si="26"/>
        <v>Error?</v>
      </c>
    </row>
    <row r="1770" spans="1:5" x14ac:dyDescent="0.2">
      <c r="A1770" s="5">
        <v>1709</v>
      </c>
      <c r="B1770" s="138">
        <f>'Tax Sched 23'!D14</f>
        <v>20356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1381106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572952</v>
      </c>
      <c r="C1792" s="2" t="s">
        <v>573</v>
      </c>
      <c r="D1792" s="2" t="str">
        <f t="shared" si="27"/>
        <v>Error?</v>
      </c>
    </row>
    <row r="1793" spans="1:4" x14ac:dyDescent="0.2">
      <c r="A1793" s="5">
        <v>1732</v>
      </c>
      <c r="B1793" s="138">
        <f>'Tax Sched 23'!F5</f>
        <v>139195</v>
      </c>
      <c r="C1793" s="2" t="s">
        <v>573</v>
      </c>
      <c r="D1793" s="2" t="str">
        <f t="shared" si="27"/>
        <v>Error?</v>
      </c>
    </row>
    <row r="1794" spans="1:4" x14ac:dyDescent="0.2">
      <c r="A1794" s="5">
        <v>1733</v>
      </c>
      <c r="B1794" s="138">
        <f>'Tax Sched 23'!F6</f>
        <v>198223</v>
      </c>
      <c r="C1794" s="2" t="s">
        <v>573</v>
      </c>
      <c r="D1794" s="2" t="str">
        <f t="shared" si="27"/>
        <v>Error?</v>
      </c>
    </row>
    <row r="1795" spans="1:4" x14ac:dyDescent="0.2">
      <c r="A1795" s="5">
        <v>1734</v>
      </c>
      <c r="B1795" s="138">
        <f>'Tax Sched 23'!F7</f>
        <v>76138</v>
      </c>
      <c r="C1795" s="2" t="s">
        <v>573</v>
      </c>
      <c r="D1795" s="2" t="str">
        <f t="shared" si="27"/>
        <v>Error?</v>
      </c>
    </row>
    <row r="1796" spans="1:4" x14ac:dyDescent="0.2">
      <c r="A1796" s="5">
        <v>1735</v>
      </c>
      <c r="B1796" s="138">
        <f>'Tax Sched 23'!F8</f>
        <v>93203</v>
      </c>
      <c r="C1796" s="2" t="s">
        <v>573</v>
      </c>
      <c r="D1796" s="2" t="str">
        <f t="shared" si="27"/>
        <v>Error?</v>
      </c>
    </row>
    <row r="1797" spans="1:4" x14ac:dyDescent="0.2">
      <c r="A1797" s="5">
        <v>1736</v>
      </c>
      <c r="B1797" s="138">
        <f>'Tax Sched 23'!F10</f>
        <v>15565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162817</v>
      </c>
      <c r="C1800" s="2" t="s">
        <v>573</v>
      </c>
      <c r="D1800" s="2" t="str">
        <f t="shared" si="27"/>
        <v>Error?</v>
      </c>
    </row>
    <row r="1801" spans="1:4" x14ac:dyDescent="0.2">
      <c r="A1801" s="5">
        <v>1740</v>
      </c>
      <c r="B1801" s="138">
        <f>'Tax Sched 23'!F12</f>
        <v>20356</v>
      </c>
      <c r="C1801" s="2" t="s">
        <v>573</v>
      </c>
      <c r="D1801" s="2" t="str">
        <f t="shared" si="27"/>
        <v>Error?</v>
      </c>
    </row>
    <row r="1802" spans="1:4" x14ac:dyDescent="0.2">
      <c r="A1802" s="5">
        <v>1741</v>
      </c>
      <c r="B1802" s="138">
        <f>'Tax Sched 23'!F14</f>
        <v>20356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1381004</v>
      </c>
      <c r="C1807" s="2" t="s">
        <v>573</v>
      </c>
      <c r="D1807" s="2" t="str">
        <f t="shared" si="27"/>
        <v>Error?</v>
      </c>
    </row>
    <row r="1808" spans="1:4" x14ac:dyDescent="0.2">
      <c r="A1808" s="5">
        <v>1747</v>
      </c>
      <c r="B1808" s="138">
        <f>'Tax Sched 23'!E4</f>
        <v>572952</v>
      </c>
      <c r="D1808" s="2" t="str">
        <f t="shared" si="27"/>
        <v>Error?</v>
      </c>
    </row>
    <row r="1809" spans="1:4" x14ac:dyDescent="0.2">
      <c r="A1809" s="5">
        <v>1748</v>
      </c>
      <c r="B1809" s="138">
        <f>'Tax Sched 23'!E5</f>
        <v>139195</v>
      </c>
      <c r="D1809" s="2" t="str">
        <f t="shared" si="27"/>
        <v>Error?</v>
      </c>
    </row>
    <row r="1810" spans="1:4" x14ac:dyDescent="0.2">
      <c r="A1810" s="5">
        <v>1749</v>
      </c>
      <c r="B1810" s="138">
        <f>'Tax Sched 23'!E6</f>
        <v>198223</v>
      </c>
      <c r="D1810" s="2" t="str">
        <f t="shared" si="27"/>
        <v>Error?</v>
      </c>
    </row>
    <row r="1811" spans="1:4" x14ac:dyDescent="0.2">
      <c r="A1811" s="5">
        <v>1750</v>
      </c>
      <c r="B1811" s="138">
        <f>'Tax Sched 23'!E7</f>
        <v>76138</v>
      </c>
      <c r="D1811" s="2" t="str">
        <f t="shared" si="27"/>
        <v>Error?</v>
      </c>
    </row>
    <row r="1812" spans="1:4" x14ac:dyDescent="0.2">
      <c r="A1812" s="5">
        <v>1751</v>
      </c>
      <c r="B1812" s="138">
        <f>'Tax Sched 23'!E8</f>
        <v>93203</v>
      </c>
      <c r="D1812" s="2" t="str">
        <f t="shared" si="27"/>
        <v>Error?</v>
      </c>
    </row>
    <row r="1813" spans="1:4" x14ac:dyDescent="0.2">
      <c r="A1813" s="5">
        <v>1752</v>
      </c>
      <c r="B1813" s="138">
        <f>'Tax Sched 23'!E10</f>
        <v>15565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162817</v>
      </c>
      <c r="D1816" s="2" t="str">
        <f t="shared" si="27"/>
        <v>Error?</v>
      </c>
    </row>
    <row r="1817" spans="1:4" x14ac:dyDescent="0.2">
      <c r="A1817" s="5">
        <v>1756</v>
      </c>
      <c r="B1817" s="138">
        <f>'Tax Sched 23'!E12</f>
        <v>20356</v>
      </c>
      <c r="D1817" s="2" t="str">
        <f t="shared" si="27"/>
        <v>Error?</v>
      </c>
    </row>
    <row r="1818" spans="1:4" x14ac:dyDescent="0.2">
      <c r="A1818" s="5">
        <v>1757</v>
      </c>
      <c r="B1818" s="138">
        <f>'Tax Sched 23'!E14</f>
        <v>20356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1381004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3247300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20356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20356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20356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118520</v>
      </c>
      <c r="D2008" s="2" t="str">
        <f t="shared" si="30"/>
        <v>Error?</v>
      </c>
    </row>
    <row r="2009" spans="1:4" x14ac:dyDescent="0.2">
      <c r="A2009" s="5">
        <v>1948</v>
      </c>
      <c r="B2009" s="138">
        <f>'Cap Outlay Deprec 26'!C8</f>
        <v>5407388</v>
      </c>
      <c r="D2009" s="2" t="str">
        <f t="shared" si="30"/>
        <v>Error?</v>
      </c>
    </row>
    <row r="2010" spans="1:4" x14ac:dyDescent="0.2">
      <c r="A2010" s="5">
        <v>1949</v>
      </c>
      <c r="B2010" s="138">
        <f>'Cap Outlay Deprec 26'!C10</f>
        <v>509624</v>
      </c>
      <c r="D2010" s="2" t="str">
        <f t="shared" si="30"/>
        <v>Error?</v>
      </c>
    </row>
    <row r="2011" spans="1:4" x14ac:dyDescent="0.2">
      <c r="A2011" s="5">
        <v>1950</v>
      </c>
      <c r="B2011" s="138">
        <f>'Cap Outlay Deprec 26'!C12</f>
        <v>1094959</v>
      </c>
      <c r="D2011" s="2" t="str">
        <f t="shared" si="30"/>
        <v>Error?</v>
      </c>
    </row>
    <row r="2012" spans="1:4" x14ac:dyDescent="0.2">
      <c r="A2012" s="5">
        <v>1951</v>
      </c>
      <c r="B2012" s="138">
        <f>'Cap Outlay Deprec 26'!C13</f>
        <v>496911</v>
      </c>
      <c r="D2012" s="2" t="str">
        <f t="shared" si="30"/>
        <v>Error?</v>
      </c>
    </row>
    <row r="2013" spans="1:4" x14ac:dyDescent="0.2">
      <c r="A2013" s="5">
        <v>1952</v>
      </c>
      <c r="B2013" s="138">
        <f>'Cap Outlay Deprec 26'!C16</f>
        <v>10378755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2692782</v>
      </c>
      <c r="D2015" s="2" t="str">
        <f t="shared" si="30"/>
        <v>Error?</v>
      </c>
    </row>
    <row r="2016" spans="1:4" x14ac:dyDescent="0.2">
      <c r="A2016" s="5">
        <v>1955</v>
      </c>
      <c r="B2016" s="138">
        <f>'Cap Outlay Deprec 26'!D10</f>
        <v>5954</v>
      </c>
      <c r="D2016" s="2" t="str">
        <f t="shared" si="30"/>
        <v>Error?</v>
      </c>
    </row>
    <row r="2017" spans="1:4" x14ac:dyDescent="0.2">
      <c r="A2017" s="5">
        <v>1956</v>
      </c>
      <c r="B2017" s="138">
        <f>'Cap Outlay Deprec 26'!D12</f>
        <v>47622</v>
      </c>
      <c r="D2017" s="2" t="str">
        <f t="shared" si="30"/>
        <v>Error?</v>
      </c>
    </row>
    <row r="2018" spans="1:4" x14ac:dyDescent="0.2">
      <c r="A2018" s="5">
        <v>1957</v>
      </c>
      <c r="B2018" s="138">
        <f>'Cap Outlay Deprec 26'!D13</f>
        <v>105220</v>
      </c>
      <c r="D2018" s="2" t="str">
        <f t="shared" si="30"/>
        <v>Error?</v>
      </c>
    </row>
    <row r="2019" spans="1:4" x14ac:dyDescent="0.2">
      <c r="A2019" s="5">
        <v>1958</v>
      </c>
      <c r="B2019" s="138">
        <f>'Cap Outlay Deprec 26'!D16</f>
        <v>6239030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2692782</v>
      </c>
      <c r="C2025" s="2" t="s">
        <v>573</v>
      </c>
      <c r="D2025" s="2" t="str">
        <f t="shared" si="30"/>
        <v>Error?</v>
      </c>
    </row>
    <row r="2026" spans="1:4" x14ac:dyDescent="0.2">
      <c r="A2026" s="5">
        <v>1965</v>
      </c>
      <c r="B2026" s="138">
        <f>'Cap Outlay Deprec 26'!F5</f>
        <v>118520</v>
      </c>
      <c r="C2026" s="2" t="s">
        <v>573</v>
      </c>
      <c r="D2026" s="2" t="str">
        <f t="shared" si="30"/>
        <v>Error?</v>
      </c>
    </row>
    <row r="2027" spans="1:4" x14ac:dyDescent="0.2">
      <c r="A2027" s="5">
        <v>1966</v>
      </c>
      <c r="B2027" s="138">
        <f>'Cap Outlay Deprec 26'!F8</f>
        <v>8100170</v>
      </c>
      <c r="C2027" s="2" t="s">
        <v>573</v>
      </c>
      <c r="D2027" s="2" t="str">
        <f t="shared" si="30"/>
        <v>Error?</v>
      </c>
    </row>
    <row r="2028" spans="1:4" x14ac:dyDescent="0.2">
      <c r="A2028" s="5">
        <v>1967</v>
      </c>
      <c r="B2028" s="138">
        <f>'Cap Outlay Deprec 26'!F10</f>
        <v>515578</v>
      </c>
      <c r="C2028" s="2" t="s">
        <v>573</v>
      </c>
      <c r="D2028" s="2" t="str">
        <f t="shared" si="30"/>
        <v>Error?</v>
      </c>
    </row>
    <row r="2029" spans="1:4" x14ac:dyDescent="0.2">
      <c r="A2029" s="5">
        <v>1968</v>
      </c>
      <c r="B2029" s="138">
        <f>'Cap Outlay Deprec 26'!F12</f>
        <v>1142581</v>
      </c>
      <c r="C2029" s="2" t="s">
        <v>573</v>
      </c>
      <c r="D2029" s="2" t="str">
        <f t="shared" si="30"/>
        <v>Error?</v>
      </c>
    </row>
    <row r="2030" spans="1:4" x14ac:dyDescent="0.2">
      <c r="A2030" s="5">
        <v>1969</v>
      </c>
      <c r="B2030" s="138">
        <f>'Cap Outlay Deprec 26'!F13</f>
        <v>602131</v>
      </c>
      <c r="C2030" s="2" t="s">
        <v>573</v>
      </c>
      <c r="D2030" s="2" t="str">
        <f t="shared" si="30"/>
        <v>Error?</v>
      </c>
    </row>
    <row r="2031" spans="1:4" x14ac:dyDescent="0.2">
      <c r="A2031" s="5">
        <v>1970</v>
      </c>
      <c r="B2031" s="138">
        <f>'Cap Outlay Deprec 26'!F16</f>
        <v>13925003</v>
      </c>
      <c r="C2031" s="2" t="s">
        <v>573</v>
      </c>
      <c r="D2031" s="2" t="str">
        <f t="shared" si="30"/>
        <v>Error?</v>
      </c>
    </row>
    <row r="2032" spans="1:4" x14ac:dyDescent="0.2">
      <c r="A2032" s="10">
        <v>1971</v>
      </c>
      <c r="D2032" s="2" t="str">
        <f t="shared" si="30"/>
        <v>OK</v>
      </c>
    </row>
    <row r="2033" spans="1:4" x14ac:dyDescent="0.2">
      <c r="A2033" s="5">
        <v>1972</v>
      </c>
      <c r="B2033" s="138">
        <f>'Cap Outlay Deprec 26'!H8</f>
        <v>3072035</v>
      </c>
      <c r="D2033" s="2" t="str">
        <f t="shared" si="30"/>
        <v>Error?</v>
      </c>
    </row>
    <row r="2034" spans="1:4" x14ac:dyDescent="0.2">
      <c r="A2034" s="5">
        <v>1973</v>
      </c>
      <c r="B2034" s="138">
        <f>'Cap Outlay Deprec 26'!H10</f>
        <v>243539</v>
      </c>
      <c r="D2034" s="2" t="str">
        <f t="shared" si="30"/>
        <v>Error?</v>
      </c>
    </row>
    <row r="2035" spans="1:4" x14ac:dyDescent="0.2">
      <c r="A2035" s="5">
        <v>1974</v>
      </c>
      <c r="B2035" s="138">
        <f>'Cap Outlay Deprec 26'!H12</f>
        <v>895397</v>
      </c>
      <c r="D2035" s="2" t="str">
        <f t="shared" si="30"/>
        <v>Error?</v>
      </c>
    </row>
    <row r="2036" spans="1:4" x14ac:dyDescent="0.2">
      <c r="A2036" s="5">
        <v>1975</v>
      </c>
      <c r="B2036" s="138">
        <f>'Cap Outlay Deprec 26'!H13</f>
        <v>493563</v>
      </c>
      <c r="D2036" s="2" t="str">
        <f t="shared" si="30"/>
        <v>Error?</v>
      </c>
    </row>
    <row r="2037" spans="1:4" x14ac:dyDescent="0.2">
      <c r="A2037" s="5">
        <v>1976</v>
      </c>
      <c r="B2037" s="138">
        <f>'Cap Outlay Deprec 26'!H16</f>
        <v>4720618</v>
      </c>
      <c r="C2037" s="2" t="s">
        <v>573</v>
      </c>
      <c r="D2037" s="2" t="str">
        <f t="shared" si="30"/>
        <v>Error?</v>
      </c>
    </row>
    <row r="2038" spans="1:4" x14ac:dyDescent="0.2">
      <c r="A2038" s="10">
        <v>1977</v>
      </c>
      <c r="D2038" s="2" t="str">
        <f t="shared" si="30"/>
        <v>OK</v>
      </c>
    </row>
    <row r="2039" spans="1:4" x14ac:dyDescent="0.2">
      <c r="A2039" s="5">
        <v>1978</v>
      </c>
      <c r="B2039" s="138">
        <f>'Cap Outlay Deprec 26'!I8</f>
        <v>148141</v>
      </c>
      <c r="D2039" s="2" t="str">
        <f t="shared" si="30"/>
        <v>Error?</v>
      </c>
    </row>
    <row r="2040" spans="1:4" x14ac:dyDescent="0.2">
      <c r="A2040" s="5">
        <v>1979</v>
      </c>
      <c r="B2040" s="138">
        <f>'Cap Outlay Deprec 26'!I10</f>
        <v>23853</v>
      </c>
      <c r="D2040" s="2" t="str">
        <f t="shared" si="30"/>
        <v>Error?</v>
      </c>
    </row>
    <row r="2041" spans="1:4" x14ac:dyDescent="0.2">
      <c r="A2041" s="5">
        <v>1980</v>
      </c>
      <c r="B2041" s="138">
        <f>'Cap Outlay Deprec 26'!I12</f>
        <v>39562</v>
      </c>
      <c r="D2041" s="2" t="str">
        <f t="shared" si="30"/>
        <v>Error?</v>
      </c>
    </row>
    <row r="2042" spans="1:4" x14ac:dyDescent="0.2">
      <c r="A2042" s="5">
        <v>1981</v>
      </c>
      <c r="B2042" s="138">
        <f>'Cap Outlay Deprec 26'!I13</f>
        <v>17342</v>
      </c>
      <c r="D2042" s="2" t="str">
        <f t="shared" si="30"/>
        <v>Error?</v>
      </c>
    </row>
    <row r="2043" spans="1:4" x14ac:dyDescent="0.2">
      <c r="A2043" s="5">
        <v>1982</v>
      </c>
      <c r="B2043" s="138">
        <f>'Cap Outlay Deprec 26'!I16</f>
        <v>231134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3220176</v>
      </c>
      <c r="C2051" s="2" t="s">
        <v>573</v>
      </c>
      <c r="D2051" s="2" t="str">
        <f t="shared" si="31"/>
        <v>Error?</v>
      </c>
    </row>
    <row r="2052" spans="1:4" x14ac:dyDescent="0.2">
      <c r="A2052" s="5">
        <v>1991</v>
      </c>
      <c r="B2052" s="138">
        <f>'Cap Outlay Deprec 26'!K10</f>
        <v>267392</v>
      </c>
      <c r="C2052" s="2" t="s">
        <v>573</v>
      </c>
      <c r="D2052" s="2" t="str">
        <f t="shared" si="31"/>
        <v>Error?</v>
      </c>
    </row>
    <row r="2053" spans="1:4" x14ac:dyDescent="0.2">
      <c r="A2053" s="5">
        <v>1992</v>
      </c>
      <c r="B2053" s="138">
        <f>'Cap Outlay Deprec 26'!K12</f>
        <v>934959</v>
      </c>
      <c r="C2053" s="2" t="s">
        <v>573</v>
      </c>
      <c r="D2053" s="2" t="str">
        <f t="shared" si="31"/>
        <v>Error?</v>
      </c>
    </row>
    <row r="2054" spans="1:4" x14ac:dyDescent="0.2">
      <c r="A2054" s="5">
        <v>1993</v>
      </c>
      <c r="B2054" s="138">
        <f>'Cap Outlay Deprec 26'!K13</f>
        <v>510905</v>
      </c>
      <c r="C2054" s="2" t="s">
        <v>573</v>
      </c>
      <c r="D2054" s="2" t="str">
        <f t="shared" si="31"/>
        <v>Error?</v>
      </c>
    </row>
    <row r="2055" spans="1:4" x14ac:dyDescent="0.2">
      <c r="A2055" s="5">
        <v>1994</v>
      </c>
      <c r="B2055" s="138">
        <f>'Cap Outlay Deprec 26'!K16</f>
        <v>4951752</v>
      </c>
      <c r="C2055" s="2" t="s">
        <v>573</v>
      </c>
      <c r="D2055" s="2" t="str">
        <f t="shared" si="31"/>
        <v>Error?</v>
      </c>
    </row>
    <row r="2056" spans="1:4" x14ac:dyDescent="0.2">
      <c r="A2056" s="5">
        <v>1995</v>
      </c>
      <c r="B2056" s="138">
        <f>'Cap Outlay Deprec 26'!L5</f>
        <v>118520</v>
      </c>
      <c r="C2056" s="2" t="s">
        <v>573</v>
      </c>
      <c r="D2056" s="2" t="str">
        <f t="shared" si="31"/>
        <v>Error?</v>
      </c>
    </row>
    <row r="2057" spans="1:4" x14ac:dyDescent="0.2">
      <c r="A2057" s="5">
        <v>1996</v>
      </c>
      <c r="B2057" s="138">
        <f>'Cap Outlay Deprec 26'!L8</f>
        <v>4879994</v>
      </c>
      <c r="C2057" s="2" t="s">
        <v>573</v>
      </c>
      <c r="D2057" s="2" t="str">
        <f t="shared" si="31"/>
        <v>Error?</v>
      </c>
    </row>
    <row r="2058" spans="1:4" x14ac:dyDescent="0.2">
      <c r="A2058" s="5">
        <v>1997</v>
      </c>
      <c r="B2058" s="138">
        <f>'Cap Outlay Deprec 26'!L10</f>
        <v>248186</v>
      </c>
      <c r="C2058" s="2" t="s">
        <v>573</v>
      </c>
      <c r="D2058" s="2" t="str">
        <f t="shared" si="31"/>
        <v>Error?</v>
      </c>
    </row>
    <row r="2059" spans="1:4" x14ac:dyDescent="0.2">
      <c r="A2059" s="5">
        <v>1998</v>
      </c>
      <c r="B2059" s="138">
        <f>'Cap Outlay Deprec 26'!L12</f>
        <v>207622</v>
      </c>
      <c r="C2059" s="2" t="s">
        <v>573</v>
      </c>
      <c r="D2059" s="2" t="str">
        <f t="shared" si="31"/>
        <v>Error?</v>
      </c>
    </row>
    <row r="2060" spans="1:4" x14ac:dyDescent="0.2">
      <c r="A2060" s="5">
        <v>1999</v>
      </c>
      <c r="B2060" s="138">
        <f>'Cap Outlay Deprec 26'!L13</f>
        <v>91226</v>
      </c>
      <c r="C2060" s="2" t="s">
        <v>573</v>
      </c>
      <c r="D2060" s="2" t="str">
        <f t="shared" si="31"/>
        <v>Error?</v>
      </c>
    </row>
    <row r="2061" spans="1:4" x14ac:dyDescent="0.2">
      <c r="A2061" s="5">
        <v>2000</v>
      </c>
      <c r="B2061" s="138">
        <f>'Cap Outlay Deprec 26'!L16</f>
        <v>8973251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105581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188719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164764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72987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455173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1044838</v>
      </c>
      <c r="C2551" s="2" t="s">
        <v>573</v>
      </c>
      <c r="D2551" s="2" t="str">
        <f t="shared" si="38"/>
        <v>Error?</v>
      </c>
    </row>
    <row r="2552" spans="1:4" x14ac:dyDescent="0.2">
      <c r="A2552" s="10">
        <v>2491</v>
      </c>
      <c r="D2552" s="2" t="str">
        <f t="shared" si="38"/>
        <v>OK</v>
      </c>
    </row>
    <row r="2553" spans="1:4" x14ac:dyDescent="0.2">
      <c r="A2553" s="5">
        <v>2492</v>
      </c>
      <c r="B2553" s="138">
        <f>'Acct Summary 7-8'!C6</f>
        <v>2159139</v>
      </c>
      <c r="C2553" s="2" t="s">
        <v>573</v>
      </c>
      <c r="D2553" s="2" t="str">
        <f t="shared" si="38"/>
        <v>Error?</v>
      </c>
    </row>
    <row r="2554" spans="1:4" x14ac:dyDescent="0.2">
      <c r="A2554" s="5">
        <v>2493</v>
      </c>
      <c r="B2554" s="138">
        <f>'Acct Summary 7-8'!C7</f>
        <v>371129</v>
      </c>
      <c r="C2554" s="2" t="s">
        <v>573</v>
      </c>
      <c r="D2554" s="2" t="str">
        <f t="shared" si="38"/>
        <v>Error?</v>
      </c>
    </row>
    <row r="2555" spans="1:4" x14ac:dyDescent="0.2">
      <c r="A2555" s="5">
        <v>2494</v>
      </c>
      <c r="B2555" s="138">
        <f>'Acct Summary 7-8'!C8</f>
        <v>3575106</v>
      </c>
      <c r="C2555" s="2" t="s">
        <v>573</v>
      </c>
      <c r="D2555" s="2" t="str">
        <f t="shared" si="38"/>
        <v>Error?</v>
      </c>
    </row>
    <row r="2556" spans="1:4" x14ac:dyDescent="0.2">
      <c r="A2556" s="5">
        <v>2495</v>
      </c>
      <c r="B2556" s="138">
        <f>'Acct Summary 7-8'!C12</f>
        <v>1882093</v>
      </c>
      <c r="C2556" s="2" t="s">
        <v>573</v>
      </c>
      <c r="D2556" s="2" t="str">
        <f t="shared" si="38"/>
        <v>Error?</v>
      </c>
    </row>
    <row r="2557" spans="1:4" x14ac:dyDescent="0.2">
      <c r="A2557" s="5">
        <v>2496</v>
      </c>
      <c r="B2557" s="138">
        <f>'Acct Summary 7-8'!C13</f>
        <v>725063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188719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2795875</v>
      </c>
      <c r="C2561" s="2" t="s">
        <v>573</v>
      </c>
      <c r="D2561" s="2" t="str">
        <f t="shared" si="39"/>
        <v>Error?</v>
      </c>
    </row>
    <row r="2562" spans="1:4" x14ac:dyDescent="0.2">
      <c r="A2562" s="5">
        <v>2501</v>
      </c>
      <c r="B2562" s="138">
        <f>'Acct Summary 7-8'!C20</f>
        <v>779231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141243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141243</v>
      </c>
      <c r="C2568" s="2" t="s">
        <v>573</v>
      </c>
      <c r="D2568" s="2" t="str">
        <f t="shared" si="39"/>
        <v>Error?</v>
      </c>
    </row>
    <row r="2569" spans="1:4" x14ac:dyDescent="0.2">
      <c r="A2569" s="5">
        <v>2508</v>
      </c>
      <c r="B2569" s="138">
        <f>'Acct Summary 7-8'!D13</f>
        <v>131331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131331</v>
      </c>
      <c r="C2573" s="2" t="s">
        <v>573</v>
      </c>
      <c r="D2573" s="2" t="str">
        <f t="shared" si="39"/>
        <v>Error?</v>
      </c>
    </row>
    <row r="2574" spans="1:4" x14ac:dyDescent="0.2">
      <c r="A2574" s="5">
        <v>2513</v>
      </c>
      <c r="B2574" s="138">
        <f>'Acct Summary 7-8'!D20</f>
        <v>9912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82665</v>
      </c>
      <c r="C2591" s="2" t="s">
        <v>573</v>
      </c>
      <c r="D2591" s="2" t="str">
        <f t="shared" si="39"/>
        <v>Error?</v>
      </c>
    </row>
    <row r="2592" spans="1:4" x14ac:dyDescent="0.2">
      <c r="A2592" s="10">
        <v>2531</v>
      </c>
      <c r="D2592" s="2" t="str">
        <f t="shared" si="39"/>
        <v>OK</v>
      </c>
    </row>
    <row r="2593" spans="1:4" x14ac:dyDescent="0.2">
      <c r="A2593" s="5">
        <v>2532</v>
      </c>
      <c r="B2593" s="138">
        <f>'Acct Summary 7-8'!F6</f>
        <v>169074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251739</v>
      </c>
      <c r="C2595" s="2" t="s">
        <v>573</v>
      </c>
      <c r="D2595" s="2" t="str">
        <f t="shared" si="39"/>
        <v>Error?</v>
      </c>
    </row>
    <row r="2596" spans="1:4" x14ac:dyDescent="0.2">
      <c r="A2596" s="5">
        <v>2535</v>
      </c>
      <c r="B2596" s="138">
        <f>'Acct Summary 7-8'!F13</f>
        <v>310517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310517</v>
      </c>
      <c r="C2600" s="2" t="s">
        <v>573</v>
      </c>
      <c r="D2600" s="2" t="str">
        <f t="shared" si="39"/>
        <v>Error?</v>
      </c>
    </row>
    <row r="2601" spans="1:4" x14ac:dyDescent="0.2">
      <c r="A2601" s="5">
        <v>2540</v>
      </c>
      <c r="B2601" s="138">
        <f>'Acct Summary 7-8'!F20</f>
        <v>-58778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152732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152732</v>
      </c>
      <c r="C2606" s="2" t="s">
        <v>573</v>
      </c>
      <c r="D2606" s="2" t="str">
        <f t="shared" si="39"/>
        <v>Error?</v>
      </c>
    </row>
    <row r="2607" spans="1:4" x14ac:dyDescent="0.2">
      <c r="A2607" s="5">
        <v>2546</v>
      </c>
      <c r="B2607" s="138">
        <f>'Acct Summary 7-8'!G12</f>
        <v>50840</v>
      </c>
      <c r="C2607" s="2" t="s">
        <v>573</v>
      </c>
      <c r="D2607" s="2" t="str">
        <f t="shared" si="39"/>
        <v>Error?</v>
      </c>
    </row>
    <row r="2608" spans="1:4" x14ac:dyDescent="0.2">
      <c r="A2608" s="5">
        <v>2547</v>
      </c>
      <c r="B2608" s="138">
        <f>'Acct Summary 7-8'!G13</f>
        <v>77192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128032</v>
      </c>
      <c r="C2612" s="2" t="s">
        <v>573</v>
      </c>
      <c r="D2612" s="2" t="str">
        <f t="shared" si="39"/>
        <v>Error?</v>
      </c>
    </row>
    <row r="2613" spans="1:4" x14ac:dyDescent="0.2">
      <c r="A2613" s="5">
        <v>2552</v>
      </c>
      <c r="B2613" s="138">
        <f>'Acct Summary 7-8'!G20</f>
        <v>24700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200720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200720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200708</v>
      </c>
      <c r="C2634" s="2" t="s">
        <v>573</v>
      </c>
      <c r="D2634" s="2" t="str">
        <f t="shared" si="40"/>
        <v>Error?</v>
      </c>
    </row>
    <row r="2635" spans="1:4" x14ac:dyDescent="0.2">
      <c r="A2635" s="5">
        <v>2574</v>
      </c>
      <c r="B2635" s="138">
        <f>'Acct Summary 7-8'!E17</f>
        <v>200708</v>
      </c>
      <c r="C2635" s="2" t="s">
        <v>573</v>
      </c>
      <c r="D2635" s="2" t="str">
        <f t="shared" si="40"/>
        <v>Error?</v>
      </c>
    </row>
    <row r="2636" spans="1:4" x14ac:dyDescent="0.2">
      <c r="A2636" s="5">
        <v>2575</v>
      </c>
      <c r="B2636" s="138">
        <f>'Acct Summary 7-8'!E20</f>
        <v>12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2127545</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2127545</v>
      </c>
      <c r="C2658" s="2" t="s">
        <v>573</v>
      </c>
      <c r="D2658" s="2" t="str">
        <f t="shared" si="40"/>
        <v>Error?</v>
      </c>
    </row>
    <row r="2659" spans="1:4" x14ac:dyDescent="0.2">
      <c r="A2659" s="5">
        <v>2598</v>
      </c>
      <c r="B2659" s="138">
        <f>'Acct Summary 7-8'!H13</f>
        <v>3387452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3387452</v>
      </c>
      <c r="C2661" s="2" t="s">
        <v>573</v>
      </c>
      <c r="D2661" s="2" t="str">
        <f t="shared" si="40"/>
        <v>Error?</v>
      </c>
    </row>
    <row r="2662" spans="1:4" x14ac:dyDescent="0.2">
      <c r="A2662" s="5">
        <v>2601</v>
      </c>
      <c r="B2662" s="138">
        <f>'Acct Summary 7-8'!H20</f>
        <v>-1259907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83138</v>
      </c>
      <c r="C2789" s="2" t="s">
        <v>573</v>
      </c>
      <c r="D2789" s="2" t="str">
        <f t="shared" si="42"/>
        <v>Error?</v>
      </c>
    </row>
    <row r="2790" spans="1:4" x14ac:dyDescent="0.2">
      <c r="A2790" s="5">
        <v>2729</v>
      </c>
      <c r="B2790" s="138">
        <f>'Expenditures 15-22'!E102</f>
        <v>83138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6080234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258215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87799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258215</v>
      </c>
      <c r="D2912" s="2" t="str">
        <f t="shared" si="44"/>
        <v>Error?</v>
      </c>
    </row>
    <row r="2913" spans="1:4" x14ac:dyDescent="0.2">
      <c r="A2913" s="5">
        <v>2852</v>
      </c>
      <c r="B2913" s="138">
        <f>'Assets-Liab 5-6'!I41</f>
        <v>258215</v>
      </c>
      <c r="C2913" s="2" t="s">
        <v>573</v>
      </c>
      <c r="D2913" s="2" t="str">
        <f t="shared" si="44"/>
        <v>Error?</v>
      </c>
    </row>
    <row r="2914" spans="1:4" x14ac:dyDescent="0.2">
      <c r="A2914" s="5">
        <v>2853</v>
      </c>
      <c r="B2914" s="138">
        <f>'Assets-Liab 5-6'!L33</f>
        <v>87799</v>
      </c>
      <c r="D2914" s="2" t="str">
        <f t="shared" si="44"/>
        <v>Error?</v>
      </c>
    </row>
    <row r="2915" spans="1:4" x14ac:dyDescent="0.2">
      <c r="A2915" s="10">
        <v>2854</v>
      </c>
      <c r="D2915" s="2" t="str">
        <f t="shared" si="44"/>
        <v>OK</v>
      </c>
    </row>
    <row r="2916" spans="1:4" x14ac:dyDescent="0.2">
      <c r="A2916" s="5">
        <v>2855</v>
      </c>
      <c r="B2916" s="138">
        <f>'Assets-Liab 5-6'!L34</f>
        <v>87799</v>
      </c>
      <c r="C2916" s="2" t="s">
        <v>573</v>
      </c>
      <c r="D2916" s="2" t="str">
        <f t="shared" si="44"/>
        <v>Error?</v>
      </c>
    </row>
    <row r="2917" spans="1:4" x14ac:dyDescent="0.2">
      <c r="A2917" s="5">
        <v>2856</v>
      </c>
      <c r="B2917" s="138">
        <f>'Assets-Liab 5-6'!L41</f>
        <v>87799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83138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105581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188719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70286</v>
      </c>
      <c r="D3055" s="2" t="str">
        <f t="shared" si="46"/>
        <v>Error?</v>
      </c>
    </row>
    <row r="3056" spans="1:4" x14ac:dyDescent="0.2">
      <c r="A3056" s="5">
        <v>2995</v>
      </c>
      <c r="B3056" s="138">
        <f>'Expenditures 15-22'!D10</f>
        <v>32125</v>
      </c>
      <c r="D3056" s="2" t="str">
        <f t="shared" si="46"/>
        <v>Error?</v>
      </c>
    </row>
    <row r="3057" spans="1:4" x14ac:dyDescent="0.2">
      <c r="A3057" s="5">
        <v>2996</v>
      </c>
      <c r="B3057" s="138">
        <f>'Expenditures 15-22'!E10</f>
        <v>26234</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128645</v>
      </c>
      <c r="C3062" s="2" t="s">
        <v>573</v>
      </c>
      <c r="D3062" s="2" t="str">
        <f t="shared" si="46"/>
        <v>Error?</v>
      </c>
    </row>
    <row r="3063" spans="1:4" x14ac:dyDescent="0.2">
      <c r="A3063" s="10">
        <v>3002</v>
      </c>
      <c r="D3063" s="2" t="str">
        <f t="shared" si="46"/>
        <v>OK</v>
      </c>
    </row>
    <row r="3064" spans="1:4" x14ac:dyDescent="0.2">
      <c r="A3064" s="5">
        <v>3003</v>
      </c>
      <c r="B3064" s="138">
        <f>'Expenditures 15-22'!D219</f>
        <v>4400</v>
      </c>
      <c r="D3064" s="2" t="str">
        <f t="shared" si="46"/>
        <v>Error?</v>
      </c>
    </row>
    <row r="3065" spans="1:4" x14ac:dyDescent="0.2">
      <c r="A3065" s="5">
        <v>3004</v>
      </c>
      <c r="B3065" s="138">
        <f>'Expenditures 15-22'!K219</f>
        <v>4400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15890</v>
      </c>
      <c r="C3225" s="2" t="s">
        <v>573</v>
      </c>
      <c r="D3225" s="2" t="str">
        <f t="shared" si="49"/>
        <v>Error?</v>
      </c>
    </row>
    <row r="3226" spans="1:4" x14ac:dyDescent="0.2">
      <c r="A3226" s="5">
        <v>3165</v>
      </c>
      <c r="B3226" s="138">
        <f>'Acct Summary 7-8'!I8</f>
        <v>15890</v>
      </c>
      <c r="C3226" s="2" t="s">
        <v>573</v>
      </c>
      <c r="D3226" s="2" t="str">
        <f t="shared" si="49"/>
        <v>Error?</v>
      </c>
    </row>
    <row r="3227" spans="1:4" x14ac:dyDescent="0.2">
      <c r="A3227" s="5">
        <v>3166</v>
      </c>
      <c r="B3227" s="138">
        <f>'Acct Summary 7-8'!I20</f>
        <v>15890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779231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9912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-58778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24700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-1259907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15890</v>
      </c>
      <c r="C3320" s="2" t="s">
        <v>573</v>
      </c>
      <c r="D3320" s="2" t="str">
        <f t="shared" si="50"/>
        <v>Error?</v>
      </c>
    </row>
    <row r="3321" spans="1:4" x14ac:dyDescent="0.2">
      <c r="A3321" s="5">
        <v>3260</v>
      </c>
      <c r="B3321" s="138">
        <f>'Acct Summary 7-8'!I79</f>
        <v>242325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258215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267967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56492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326807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12239</v>
      </c>
      <c r="D3387" s="2" t="str">
        <f t="shared" si="51"/>
        <v>Error?</v>
      </c>
    </row>
    <row r="3388" spans="1:4" x14ac:dyDescent="0.2">
      <c r="A3388" s="5">
        <v>3327</v>
      </c>
      <c r="B3388" s="138">
        <f>'Expenditures 15-22'!D217</f>
        <v>30744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12239</v>
      </c>
      <c r="C3390" s="2" t="s">
        <v>573</v>
      </c>
      <c r="D3390" s="2" t="str">
        <f t="shared" si="51"/>
        <v>Error?</v>
      </c>
    </row>
    <row r="3391" spans="1:4" x14ac:dyDescent="0.2">
      <c r="A3391" s="5">
        <v>3330</v>
      </c>
      <c r="B3391" s="138">
        <f>'Expenditures 15-22'!K217</f>
        <v>30744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2312711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265784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72987</v>
      </c>
      <c r="D3417" s="2" t="str">
        <f t="shared" si="52"/>
        <v>Error?</v>
      </c>
    </row>
    <row r="3418" spans="1:4" x14ac:dyDescent="0.2">
      <c r="A3418" s="10">
        <v>3357</v>
      </c>
      <c r="D3418" s="2" t="str">
        <f t="shared" si="52"/>
        <v>OK</v>
      </c>
    </row>
    <row r="3419" spans="1:4" x14ac:dyDescent="0.2">
      <c r="A3419" s="5">
        <v>3358</v>
      </c>
      <c r="B3419" s="138">
        <f>'Assets-Liab 5-6'!F4</f>
        <v>200858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164764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455173</v>
      </c>
      <c r="D3425" s="2" t="str">
        <f t="shared" si="52"/>
        <v>Error?</v>
      </c>
    </row>
    <row r="3426" spans="1:4" x14ac:dyDescent="0.2">
      <c r="A3426" s="10">
        <v>3365</v>
      </c>
      <c r="D3426" s="2" t="str">
        <f t="shared" si="52"/>
        <v>OK</v>
      </c>
    </row>
    <row r="3427" spans="1:4" x14ac:dyDescent="0.2">
      <c r="A3427" s="5">
        <v>3366</v>
      </c>
      <c r="B3427" s="138">
        <f>'Assets-Liab 5-6'!I4</f>
        <v>258215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87799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57727</v>
      </c>
      <c r="C3446" s="2" t="s">
        <v>573</v>
      </c>
      <c r="D3446" s="2" t="str">
        <f t="shared" si="52"/>
        <v>Error?</v>
      </c>
    </row>
    <row r="3447" spans="1:4" x14ac:dyDescent="0.2">
      <c r="A3447" s="5">
        <v>3386</v>
      </c>
      <c r="B3447" s="138">
        <f>'Tax Sched 23'!D16</f>
        <v>57727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57727</v>
      </c>
      <c r="C3449" s="2" t="s">
        <v>573</v>
      </c>
      <c r="D3449" s="2" t="str">
        <f t="shared" si="52"/>
        <v>Error?</v>
      </c>
    </row>
    <row r="3450" spans="1:4" x14ac:dyDescent="0.2">
      <c r="A3450" s="5">
        <v>3389</v>
      </c>
      <c r="B3450" s="138">
        <f>'Tax Sched 23'!E16</f>
        <v>57727</v>
      </c>
      <c r="D3450" s="2" t="str">
        <f t="shared" si="52"/>
        <v>Error?</v>
      </c>
    </row>
    <row r="3451" spans="1:4" x14ac:dyDescent="0.2">
      <c r="A3451" s="5">
        <v>3390</v>
      </c>
      <c r="B3451" s="138">
        <f>'Cap Outlay Deprec 26'!C15</f>
        <v>2692782</v>
      </c>
      <c r="D3451" s="2" t="str">
        <f t="shared" si="52"/>
        <v>Error?</v>
      </c>
    </row>
    <row r="3452" spans="1:4" x14ac:dyDescent="0.2">
      <c r="A3452" s="5">
        <v>3391</v>
      </c>
      <c r="B3452" s="138">
        <f>'Cap Outlay Deprec 26'!D15</f>
        <v>3387452</v>
      </c>
      <c r="D3452" s="2" t="str">
        <f t="shared" si="52"/>
        <v>Error?</v>
      </c>
    </row>
    <row r="3453" spans="1:4" x14ac:dyDescent="0.2">
      <c r="A3453" s="5">
        <v>3392</v>
      </c>
      <c r="B3453" s="138">
        <f>'Cap Outlay Deprec 26'!E15</f>
        <v>2692782</v>
      </c>
      <c r="D3453" s="2" t="str">
        <f t="shared" si="52"/>
        <v>Error?</v>
      </c>
    </row>
    <row r="3454" spans="1:4" x14ac:dyDescent="0.2">
      <c r="A3454" s="5">
        <v>3393</v>
      </c>
      <c r="B3454" s="138">
        <f>'Cap Outlay Deprec 26'!F15</f>
        <v>3387452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3387452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20991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20991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20991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20991</v>
      </c>
      <c r="C3568" s="2" t="s">
        <v>573</v>
      </c>
      <c r="D3568" s="2" t="str">
        <f t="shared" si="54"/>
        <v>Error?</v>
      </c>
    </row>
    <row r="3569" spans="1:4" x14ac:dyDescent="0.2">
      <c r="A3569" s="5">
        <v>3508</v>
      </c>
      <c r="B3569" s="138">
        <f>'Acct Summary 7-8'!K4</f>
        <v>20612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20612</v>
      </c>
      <c r="C3571" s="2" t="s">
        <v>573</v>
      </c>
      <c r="D3571" s="2" t="str">
        <f t="shared" si="54"/>
        <v>Error?</v>
      </c>
    </row>
    <row r="3572" spans="1:4" x14ac:dyDescent="0.2">
      <c r="A3572" s="5">
        <v>3511</v>
      </c>
      <c r="B3572" s="138">
        <f>'Acct Summary 7-8'!K13</f>
        <v>14033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14033</v>
      </c>
      <c r="C3575" s="2" t="s">
        <v>573</v>
      </c>
      <c r="D3575" s="2" t="str">
        <f t="shared" si="54"/>
        <v>Error?</v>
      </c>
    </row>
    <row r="3576" spans="1:4" x14ac:dyDescent="0.2">
      <c r="A3576" s="5">
        <v>3515</v>
      </c>
      <c r="B3576" s="138">
        <f>'Acct Summary 7-8'!K20</f>
        <v>6579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6579</v>
      </c>
      <c r="C3588" s="2" t="s">
        <v>573</v>
      </c>
      <c r="D3588" s="2" t="str">
        <f t="shared" si="55"/>
        <v>Error?</v>
      </c>
    </row>
    <row r="3589" spans="1:4" x14ac:dyDescent="0.2">
      <c r="A3589" s="5">
        <v>3528</v>
      </c>
      <c r="B3589" s="138">
        <f>'Acct Summary 7-8'!K79</f>
        <v>14412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20991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11218</v>
      </c>
      <c r="D3632" s="2" t="str">
        <f t="shared" si="55"/>
        <v>Error?</v>
      </c>
    </row>
    <row r="3633" spans="1:4" x14ac:dyDescent="0.2">
      <c r="A3633" s="5">
        <v>3572</v>
      </c>
      <c r="B3633" s="138">
        <f>'Expenditures 15-22'!E350</f>
        <v>11218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11218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2815</v>
      </c>
      <c r="D3639" s="2" t="str">
        <f t="shared" si="55"/>
        <v>Error?</v>
      </c>
    </row>
    <row r="3640" spans="1:4" x14ac:dyDescent="0.2">
      <c r="A3640" s="5">
        <v>3579</v>
      </c>
      <c r="B3640" s="138">
        <f>'Expenditures 15-22'!F350</f>
        <v>2815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2815</v>
      </c>
      <c r="C3642" s="2" t="s">
        <v>573</v>
      </c>
      <c r="D3642" s="2" t="str">
        <f t="shared" si="55"/>
        <v>Error?</v>
      </c>
    </row>
    <row r="3643" spans="1:4" x14ac:dyDescent="0.2">
      <c r="A3643" s="5">
        <v>3582</v>
      </c>
      <c r="B3643" s="138">
        <f>'Expenditures 15-22'!F367</f>
        <v>2815</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14033</v>
      </c>
      <c r="C3669" s="2" t="s">
        <v>573</v>
      </c>
      <c r="D3669" s="2" t="str">
        <f t="shared" si="56"/>
        <v>Error?</v>
      </c>
    </row>
    <row r="3670" spans="1:4" x14ac:dyDescent="0.2">
      <c r="A3670" s="5">
        <v>3609</v>
      </c>
      <c r="B3670" s="138">
        <f>'Expenditures 15-22'!K350</f>
        <v>14033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14033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14033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6579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24472</v>
      </c>
      <c r="C3725" s="2" t="s">
        <v>573</v>
      </c>
      <c r="D3725" s="2" t="str">
        <f t="shared" si="57"/>
        <v>Error?</v>
      </c>
    </row>
    <row r="3726" spans="1:4" x14ac:dyDescent="0.2">
      <c r="A3726" s="5">
        <v>3665</v>
      </c>
      <c r="B3726" s="138">
        <f>'Tax Sched 23'!D13</f>
        <v>24472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24472</v>
      </c>
      <c r="C3728" s="2" t="s">
        <v>573</v>
      </c>
      <c r="D3728" s="2" t="str">
        <f t="shared" si="57"/>
        <v>Error?</v>
      </c>
    </row>
    <row r="3729" spans="1:4" x14ac:dyDescent="0.2">
      <c r="A3729" s="5">
        <v>3668</v>
      </c>
      <c r="B3729" s="138">
        <f>'Tax Sched 23'!E13</f>
        <v>24472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476533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4051639</v>
      </c>
      <c r="C4122" s="2" t="s">
        <v>573</v>
      </c>
      <c r="D4122" s="2" t="str">
        <f t="shared" si="63"/>
        <v>Error?</v>
      </c>
    </row>
    <row r="4123" spans="1:4" x14ac:dyDescent="0.2">
      <c r="A4123" s="5">
        <v>4062</v>
      </c>
      <c r="B4123" s="138">
        <f>'Acct Summary 7-8'!D10</f>
        <v>141243</v>
      </c>
      <c r="C4123" s="2" t="s">
        <v>573</v>
      </c>
      <c r="D4123" s="2" t="str">
        <f t="shared" si="63"/>
        <v>Error?</v>
      </c>
    </row>
    <row r="4124" spans="1:4" x14ac:dyDescent="0.2">
      <c r="A4124" s="5">
        <v>4063</v>
      </c>
      <c r="B4124" s="138">
        <f>'Acct Summary 7-8'!E10</f>
        <v>200720</v>
      </c>
      <c r="C4124" s="2" t="s">
        <v>573</v>
      </c>
      <c r="D4124" s="2" t="str">
        <f t="shared" si="63"/>
        <v>Error?</v>
      </c>
    </row>
    <row r="4125" spans="1:4" x14ac:dyDescent="0.2">
      <c r="A4125" s="5">
        <v>4064</v>
      </c>
      <c r="B4125" s="138">
        <f>'Acct Summary 7-8'!F10</f>
        <v>251739</v>
      </c>
      <c r="C4125" s="2" t="s">
        <v>573</v>
      </c>
      <c r="D4125" s="2" t="str">
        <f t="shared" si="63"/>
        <v>Error?</v>
      </c>
    </row>
    <row r="4126" spans="1:4" x14ac:dyDescent="0.2">
      <c r="A4126" s="5">
        <v>4065</v>
      </c>
      <c r="B4126" s="138">
        <f>'Acct Summary 7-8'!G10</f>
        <v>152732</v>
      </c>
      <c r="C4126" s="2" t="s">
        <v>573</v>
      </c>
      <c r="D4126" s="2" t="str">
        <f t="shared" si="63"/>
        <v>Error?</v>
      </c>
    </row>
    <row r="4127" spans="1:4" x14ac:dyDescent="0.2">
      <c r="A4127" s="5">
        <v>4066</v>
      </c>
      <c r="B4127" s="138">
        <f>'Acct Summary 7-8'!H10</f>
        <v>2127545</v>
      </c>
      <c r="C4127" s="2" t="s">
        <v>573</v>
      </c>
      <c r="D4127" s="2" t="str">
        <f t="shared" si="63"/>
        <v>Error?</v>
      </c>
    </row>
    <row r="4128" spans="1:4" x14ac:dyDescent="0.2">
      <c r="A4128" s="5">
        <v>4067</v>
      </c>
      <c r="B4128" s="138">
        <f>'Acct Summary 7-8'!I10</f>
        <v>15890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20612</v>
      </c>
      <c r="C4130" s="2" t="s">
        <v>573</v>
      </c>
      <c r="D4130" s="2" t="str">
        <f t="shared" si="63"/>
        <v>Error?</v>
      </c>
    </row>
    <row r="4131" spans="1:4" x14ac:dyDescent="0.2">
      <c r="A4131" s="5">
        <v>4070</v>
      </c>
      <c r="B4131" s="138">
        <f>'Acct Summary 7-8'!C18</f>
        <v>476533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3272408</v>
      </c>
      <c r="C4136" s="2" t="s">
        <v>573</v>
      </c>
      <c r="D4136" s="2" t="str">
        <f t="shared" si="63"/>
        <v>Error?</v>
      </c>
    </row>
    <row r="4137" spans="1:4" x14ac:dyDescent="0.2">
      <c r="A4137" s="5">
        <v>4076</v>
      </c>
      <c r="B4137" s="138">
        <f>'Acct Summary 7-8'!D19</f>
        <v>131331</v>
      </c>
      <c r="C4137" s="2" t="s">
        <v>573</v>
      </c>
      <c r="D4137" s="2" t="str">
        <f t="shared" si="63"/>
        <v>Error?</v>
      </c>
    </row>
    <row r="4138" spans="1:4" x14ac:dyDescent="0.2">
      <c r="A4138" s="5">
        <v>4077</v>
      </c>
      <c r="B4138" s="138">
        <f>'Acct Summary 7-8'!E19</f>
        <v>200708</v>
      </c>
      <c r="C4138" s="2" t="s">
        <v>573</v>
      </c>
      <c r="D4138" s="2" t="str">
        <f t="shared" si="63"/>
        <v>Error?</v>
      </c>
    </row>
    <row r="4139" spans="1:4" x14ac:dyDescent="0.2">
      <c r="A4139" s="5">
        <v>4078</v>
      </c>
      <c r="B4139" s="138">
        <f>'Acct Summary 7-8'!F19</f>
        <v>310517</v>
      </c>
      <c r="C4139" s="2" t="s">
        <v>573</v>
      </c>
      <c r="D4139" s="2" t="str">
        <f t="shared" si="63"/>
        <v>Error?</v>
      </c>
    </row>
    <row r="4140" spans="1:4" x14ac:dyDescent="0.2">
      <c r="A4140" s="5">
        <v>4079</v>
      </c>
      <c r="B4140" s="138">
        <f>'Acct Summary 7-8'!G19</f>
        <v>128032</v>
      </c>
      <c r="C4140" s="2" t="s">
        <v>573</v>
      </c>
      <c r="D4140" s="2" t="str">
        <f t="shared" si="63"/>
        <v>Error?</v>
      </c>
    </row>
    <row r="4141" spans="1:4" x14ac:dyDescent="0.2">
      <c r="A4141" s="5">
        <v>4080</v>
      </c>
      <c r="B4141" s="138">
        <f>'Acct Summary 7-8'!H19</f>
        <v>3387452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14033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3140900</v>
      </c>
      <c r="C4171" s="2" t="s">
        <v>573</v>
      </c>
      <c r="D4171" s="2" t="str">
        <f t="shared" si="64"/>
        <v>Error?</v>
      </c>
    </row>
    <row r="4172" spans="1:4" x14ac:dyDescent="0.2">
      <c r="A4172" s="5">
        <v>4111</v>
      </c>
      <c r="B4172" s="138">
        <f>'Short-Term Long-Term Debt 24'!J49</f>
        <v>3140900</v>
      </c>
      <c r="C4172" s="2" t="s">
        <v>573</v>
      </c>
      <c r="D4172" s="2" t="str">
        <f t="shared" si="64"/>
        <v>Error?</v>
      </c>
    </row>
    <row r="4173" spans="1:4" x14ac:dyDescent="0.2">
      <c r="A4173" s="5">
        <v>4112</v>
      </c>
      <c r="B4173" s="138">
        <f>'Short-Term Long-Term Debt 24'!H49</f>
        <v>106400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1983.6</v>
      </c>
      <c r="C4265" s="2" t="s">
        <v>573</v>
      </c>
      <c r="D4265" s="2" t="str">
        <f t="shared" si="65"/>
        <v>Error?</v>
      </c>
      <c r="E4265" s="128"/>
    </row>
    <row r="4266" spans="1:5" x14ac:dyDescent="0.2">
      <c r="A4266" s="12">
        <v>4205</v>
      </c>
      <c r="B4266" s="138">
        <f>('FP Info 3'!F10)*100000</f>
        <v>484.88000000000005</v>
      </c>
      <c r="C4266" s="2" t="s">
        <v>573</v>
      </c>
      <c r="D4266" s="2" t="str">
        <f t="shared" si="65"/>
        <v>Error?</v>
      </c>
      <c r="E4266" s="128"/>
    </row>
    <row r="4267" spans="1:5" x14ac:dyDescent="0.2">
      <c r="A4267" s="12">
        <v>4206</v>
      </c>
      <c r="B4267" s="138">
        <f>('FP Info 3'!H10)*100000</f>
        <v>264.49</v>
      </c>
      <c r="C4267" s="2" t="s">
        <v>573</v>
      </c>
      <c r="D4267" s="2" t="str">
        <f t="shared" si="65"/>
        <v>Error?</v>
      </c>
      <c r="E4267" s="128"/>
    </row>
    <row r="4268" spans="1:5" x14ac:dyDescent="0.2">
      <c r="A4268" s="12">
        <v>4207</v>
      </c>
      <c r="B4268" s="138">
        <f>('FP Info 3'!J10)*100000</f>
        <v>2733</v>
      </c>
      <c r="C4268" s="2" t="s">
        <v>573</v>
      </c>
      <c r="D4268" s="2" t="str">
        <f t="shared" si="65"/>
        <v>Error?</v>
      </c>
    </row>
    <row r="4269" spans="1:5" x14ac:dyDescent="0.2">
      <c r="A4269" s="12">
        <v>4208</v>
      </c>
      <c r="B4269" s="138">
        <f>'FP Info 3'!J16</f>
        <v>3037568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2127545</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32982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53806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44.089999999999996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170745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35752714</v>
      </c>
      <c r="D4995" s="2" t="str">
        <f t="shared" si="77"/>
        <v>Error?</v>
      </c>
    </row>
    <row r="4996" spans="1:4" x14ac:dyDescent="0.2">
      <c r="A4996" s="12">
        <v>4935</v>
      </c>
      <c r="B4996" s="138">
        <f>'FP Info 3'!H31</f>
        <v>4933874.5320000006</v>
      </c>
      <c r="D4996" s="2" t="str">
        <f t="shared" si="77"/>
        <v>Error?</v>
      </c>
    </row>
    <row r="4997" spans="1:4" x14ac:dyDescent="0.2">
      <c r="A4997" s="12">
        <v>4936</v>
      </c>
      <c r="B4997" s="138">
        <f>'FP Info 3'!H37</f>
        <v>3140900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24472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572953</v>
      </c>
      <c r="D5061" s="2" t="str">
        <f t="shared" si="78"/>
        <v>Error?</v>
      </c>
    </row>
    <row r="5062" spans="1:4" x14ac:dyDescent="0.2">
      <c r="A5062" s="10">
        <v>5001</v>
      </c>
      <c r="D5062" s="2" t="str">
        <f t="shared" si="78"/>
        <v>OK</v>
      </c>
    </row>
    <row r="5063" spans="1:4" x14ac:dyDescent="0.2">
      <c r="A5063" s="5">
        <v>5002</v>
      </c>
      <c r="B5063" s="138">
        <f>'Revenues 9-14'!C7</f>
        <v>20356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617781</v>
      </c>
      <c r="C5066" s="2" t="s">
        <v>573</v>
      </c>
      <c r="D5066" s="2" t="str">
        <f t="shared" si="78"/>
        <v>Error?</v>
      </c>
    </row>
    <row r="5067" spans="1:4" x14ac:dyDescent="0.2">
      <c r="A5067" s="5">
        <v>5006</v>
      </c>
      <c r="B5067" s="138">
        <f>'Revenues 9-14'!C14</f>
        <v>6087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57942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64029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105384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105384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35143</v>
      </c>
      <c r="C5096" s="2" t="s">
        <v>573</v>
      </c>
      <c r="D5096" s="2" t="str">
        <f t="shared" si="78"/>
        <v>Error?</v>
      </c>
    </row>
    <row r="5097" spans="1:4" x14ac:dyDescent="0.2">
      <c r="A5097" s="5">
        <v>5036</v>
      </c>
      <c r="B5097" s="138">
        <f>'Revenues 9-14'!C77</f>
        <v>12452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-1284</v>
      </c>
      <c r="D5101" s="2" t="str">
        <f t="shared" si="78"/>
        <v>Error?</v>
      </c>
    </row>
    <row r="5102" spans="1:4" x14ac:dyDescent="0.2">
      <c r="A5102" s="5">
        <v>5041</v>
      </c>
      <c r="B5102" s="138">
        <f>'Revenues 9-14'!C82</f>
        <v>11168</v>
      </c>
      <c r="C5102" s="2" t="s">
        <v>573</v>
      </c>
      <c r="D5102" s="2" t="str">
        <f t="shared" si="78"/>
        <v>Error?</v>
      </c>
    </row>
    <row r="5103" spans="1:4" x14ac:dyDescent="0.2">
      <c r="A5103" s="5">
        <v>5042</v>
      </c>
      <c r="B5103" s="138">
        <f>'Revenues 9-14'!C84</f>
        <v>8409</v>
      </c>
      <c r="D5103" s="2" t="str">
        <f t="shared" si="78"/>
        <v>Error?</v>
      </c>
    </row>
    <row r="5104" spans="1:4" x14ac:dyDescent="0.2">
      <c r="A5104" s="5">
        <v>5043</v>
      </c>
      <c r="B5104" s="138">
        <f>'Revenues 9-14'!C85</f>
        <v>753</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9162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31426</v>
      </c>
      <c r="D5119" s="2" t="str">
        <f t="shared" ref="D5119:D5182" si="79">IF(ISBLANK(B5119),"OK",IF(A5119-B5119=0,"OK","Error?"))</f>
        <v>Error?</v>
      </c>
    </row>
    <row r="5120" spans="1:4" x14ac:dyDescent="0.2">
      <c r="A5120" s="5">
        <v>5059</v>
      </c>
      <c r="B5120" s="138">
        <f>'Revenues 9-14'!C108</f>
        <v>202171</v>
      </c>
      <c r="C5120" s="2" t="s">
        <v>573</v>
      </c>
      <c r="D5120" s="2" t="str">
        <f t="shared" si="79"/>
        <v>Error?</v>
      </c>
    </row>
    <row r="5121" spans="1:4" x14ac:dyDescent="0.2">
      <c r="A5121" s="5">
        <v>5060</v>
      </c>
      <c r="B5121" s="138">
        <f>'Revenues 9-14'!C109</f>
        <v>1044838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1937015</v>
      </c>
      <c r="D5126" s="2" t="str">
        <f t="shared" si="79"/>
        <v>Error?</v>
      </c>
    </row>
    <row r="5127" spans="1:4" x14ac:dyDescent="0.2">
      <c r="A5127" s="5">
        <v>5066</v>
      </c>
      <c r="B5127" s="138">
        <f>'Revenues 9-14'!C119</f>
        <v>170291</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2107306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30741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30741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13174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1609</v>
      </c>
      <c r="D5167" s="2" t="str">
        <f t="shared" si="79"/>
        <v>Error?</v>
      </c>
    </row>
    <row r="5168" spans="1:4" x14ac:dyDescent="0.2">
      <c r="A5168" s="5">
        <v>5107</v>
      </c>
      <c r="B5168" s="138">
        <f>'Revenues 9-14'!C148</f>
        <v>6309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51833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2159139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68742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21835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90577</v>
      </c>
      <c r="C5246" s="2" t="s">
        <v>573</v>
      </c>
      <c r="D5246" s="2" t="str">
        <f t="shared" si="80"/>
        <v>Error?</v>
      </c>
    </row>
    <row r="5247" spans="1:4" x14ac:dyDescent="0.2">
      <c r="A5247" s="5">
        <v>5186</v>
      </c>
      <c r="B5247" s="138">
        <f>'Revenues 9-14'!C200</f>
        <v>193764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193764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371129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371129</v>
      </c>
      <c r="C5326" s="2" t="s">
        <v>573</v>
      </c>
      <c r="D5326" s="2" t="str">
        <f t="shared" si="82"/>
        <v>Error?</v>
      </c>
    </row>
    <row r="5327" spans="1:5" x14ac:dyDescent="0.2">
      <c r="A5327" s="5">
        <v>5266</v>
      </c>
      <c r="B5327" s="138">
        <f>'Revenues 9-14'!C268</f>
        <v>3575106</v>
      </c>
      <c r="C5327" s="2" t="s">
        <v>573</v>
      </c>
      <c r="D5327" s="2" t="str">
        <f t="shared" si="82"/>
        <v>Error?</v>
      </c>
    </row>
    <row r="5328" spans="1:5" x14ac:dyDescent="0.2">
      <c r="A5328" s="5">
        <v>5267</v>
      </c>
      <c r="B5328" s="138">
        <f>'Revenues 9-14'!D5</f>
        <v>139195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139195</v>
      </c>
      <c r="C5334" s="2" t="s">
        <v>573</v>
      </c>
      <c r="D5334" s="2" t="str">
        <f t="shared" si="82"/>
        <v>Error?</v>
      </c>
    </row>
    <row r="5335" spans="1:4" x14ac:dyDescent="0.2">
      <c r="A5335" s="5">
        <v>5274</v>
      </c>
      <c r="B5335" s="138">
        <f>'Revenues 9-14'!D14</f>
        <v>1330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1330</v>
      </c>
      <c r="C5339" s="2" t="s">
        <v>573</v>
      </c>
      <c r="D5339" s="2" t="str">
        <f t="shared" si="82"/>
        <v>Error?</v>
      </c>
    </row>
    <row r="5340" spans="1:4" x14ac:dyDescent="0.2">
      <c r="A5340" s="5">
        <v>5279</v>
      </c>
      <c r="B5340" s="138">
        <f>'Revenues 9-14'!D65</f>
        <v>401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401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317</v>
      </c>
      <c r="D5354" s="2" t="str">
        <f t="shared" si="82"/>
        <v>Error?</v>
      </c>
    </row>
    <row r="5355" spans="1:4" x14ac:dyDescent="0.2">
      <c r="A5355" s="5">
        <v>5294</v>
      </c>
      <c r="B5355" s="138">
        <f>'Revenues 9-14'!D108</f>
        <v>317</v>
      </c>
      <c r="C5355" s="2" t="s">
        <v>573</v>
      </c>
      <c r="D5355" s="2" t="str">
        <f t="shared" si="82"/>
        <v>Error?</v>
      </c>
    </row>
    <row r="5356" spans="1:4" x14ac:dyDescent="0.2">
      <c r="A5356" s="5">
        <v>5295</v>
      </c>
      <c r="B5356" s="138">
        <f>'Revenues 9-14'!D109</f>
        <v>141243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141243</v>
      </c>
      <c r="C5508" s="2" t="s">
        <v>573</v>
      </c>
      <c r="D5508" s="2" t="str">
        <f t="shared" si="85"/>
        <v>Error?</v>
      </c>
    </row>
    <row r="5509" spans="1:4" x14ac:dyDescent="0.2">
      <c r="A5509" s="5">
        <v>5448</v>
      </c>
      <c r="B5509" s="138">
        <f>'Revenues 9-14'!E5</f>
        <v>198223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198223</v>
      </c>
      <c r="C5513" s="2" t="s">
        <v>573</v>
      </c>
      <c r="D5513" s="2" t="str">
        <f t="shared" si="85"/>
        <v>Error?</v>
      </c>
    </row>
    <row r="5514" spans="1:4" x14ac:dyDescent="0.2">
      <c r="A5514" s="5">
        <v>5453</v>
      </c>
      <c r="B5514" s="138">
        <f>'Revenues 9-14'!E14</f>
        <v>1926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1926</v>
      </c>
      <c r="C5518" s="2" t="s">
        <v>573</v>
      </c>
      <c r="D5518" s="2" t="str">
        <f t="shared" si="85"/>
        <v>Error?</v>
      </c>
    </row>
    <row r="5519" spans="1:4" x14ac:dyDescent="0.2">
      <c r="A5519" s="5">
        <v>5458</v>
      </c>
      <c r="B5519" s="138">
        <f>'Revenues 9-14'!E65</f>
        <v>571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571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200720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200720</v>
      </c>
      <c r="C5552" s="2" t="s">
        <v>573</v>
      </c>
      <c r="D5552" s="2" t="str">
        <f t="shared" si="85"/>
        <v>Error?</v>
      </c>
    </row>
    <row r="5553" spans="1:4" x14ac:dyDescent="0.2">
      <c r="A5553" s="5">
        <v>5492</v>
      </c>
      <c r="B5553" s="138">
        <f>'Revenues 9-14'!F5</f>
        <v>76139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76139</v>
      </c>
      <c r="C5557" s="2" t="s">
        <v>573</v>
      </c>
      <c r="D5557" s="2" t="str">
        <f t="shared" si="85"/>
        <v>Error?</v>
      </c>
    </row>
    <row r="5558" spans="1:4" x14ac:dyDescent="0.2">
      <c r="A5558" s="5">
        <v>5497</v>
      </c>
      <c r="B5558" s="138">
        <f>'Revenues 9-14'!F14</f>
        <v>738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738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5569</v>
      </c>
      <c r="D5586" s="2" t="str">
        <f t="shared" si="86"/>
        <v>Error?</v>
      </c>
    </row>
    <row r="5587" spans="1:4" x14ac:dyDescent="0.2">
      <c r="A5587" s="5">
        <v>5526</v>
      </c>
      <c r="B5587" s="138">
        <f>'Revenues 9-14'!F108</f>
        <v>5569</v>
      </c>
      <c r="C5587" s="2" t="s">
        <v>573</v>
      </c>
      <c r="D5587" s="2" t="str">
        <f t="shared" si="86"/>
        <v>Error?</v>
      </c>
    </row>
    <row r="5588" spans="1:4" x14ac:dyDescent="0.2">
      <c r="A5588" s="5">
        <v>5527</v>
      </c>
      <c r="B5588" s="138">
        <f>'Revenues 9-14'!F109</f>
        <v>82665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35000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113184</v>
      </c>
      <c r="D5615" s="2" t="str">
        <f t="shared" si="86"/>
        <v>Error?</v>
      </c>
    </row>
    <row r="5616" spans="1:4" x14ac:dyDescent="0.2">
      <c r="A5616" s="10">
        <v>5555</v>
      </c>
      <c r="D5616" s="2" t="str">
        <f t="shared" si="86"/>
        <v>OK</v>
      </c>
    </row>
    <row r="5617" spans="1:5" x14ac:dyDescent="0.2">
      <c r="A5617" s="5">
        <v>5556</v>
      </c>
      <c r="B5617" s="138">
        <f>'Revenues 9-14'!F153</f>
        <v>20890</v>
      </c>
      <c r="D5617" s="2" t="str">
        <f t="shared" si="86"/>
        <v>Error?</v>
      </c>
    </row>
    <row r="5618" spans="1:5" x14ac:dyDescent="0.2">
      <c r="A5618" s="5">
        <v>5557</v>
      </c>
      <c r="B5618" s="138">
        <f>'Revenues 9-14'!F155</f>
        <v>134074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134074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169074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251739</v>
      </c>
      <c r="C5720" s="2" t="s">
        <v>573</v>
      </c>
      <c r="D5720" s="2" t="str">
        <f t="shared" si="88"/>
        <v>Error?</v>
      </c>
    </row>
    <row r="5721" spans="1:4" x14ac:dyDescent="0.2">
      <c r="A5721" s="5">
        <v>5660</v>
      </c>
      <c r="B5721" s="138">
        <f>'Revenues 9-14'!G5</f>
        <v>93203</v>
      </c>
      <c r="D5721" s="2" t="str">
        <f t="shared" si="88"/>
        <v>Error?</v>
      </c>
    </row>
    <row r="5722" spans="1:4" x14ac:dyDescent="0.2">
      <c r="A5722" s="5">
        <v>5661</v>
      </c>
      <c r="B5722" s="138">
        <f>'Revenues 9-14'!G7</f>
        <v>0</v>
      </c>
      <c r="D5722" s="2" t="str">
        <f t="shared" si="88"/>
        <v>Error?</v>
      </c>
    </row>
    <row r="5723" spans="1:4" x14ac:dyDescent="0.2">
      <c r="A5723" s="5">
        <v>5662</v>
      </c>
      <c r="B5723" s="138">
        <f>'Revenues 9-14'!G8</f>
        <v>57727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150930</v>
      </c>
      <c r="C5725" s="2" t="s">
        <v>573</v>
      </c>
      <c r="D5725" s="2" t="str">
        <f t="shared" si="88"/>
        <v>Error?</v>
      </c>
    </row>
    <row r="5726" spans="1:4" x14ac:dyDescent="0.2">
      <c r="A5726" s="5">
        <v>5665</v>
      </c>
      <c r="B5726" s="138">
        <f>'Revenues 9-14'!G14</f>
        <v>1368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1368</v>
      </c>
      <c r="C5730" s="2" t="s">
        <v>573</v>
      </c>
      <c r="D5730" s="2" t="str">
        <f t="shared" si="88"/>
        <v>Error?</v>
      </c>
    </row>
    <row r="5731" spans="1:4" x14ac:dyDescent="0.2">
      <c r="A5731" s="5">
        <v>5670</v>
      </c>
      <c r="B5731" s="138">
        <f>'Revenues 9-14'!G65</f>
        <v>434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152732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2127545</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2127545</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2127545</v>
      </c>
      <c r="C5915" s="2" t="s">
        <v>573</v>
      </c>
      <c r="D5915" s="2" t="str">
        <f t="shared" si="91"/>
        <v>Error?</v>
      </c>
    </row>
    <row r="5916" spans="1:4" x14ac:dyDescent="0.2">
      <c r="A5916" s="5">
        <v>5855</v>
      </c>
      <c r="B5916" s="138">
        <f>'Revenues 9-14'!I5</f>
        <v>15665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15665</v>
      </c>
      <c r="C5918" s="2" t="s">
        <v>573</v>
      </c>
      <c r="D5918" s="2" t="str">
        <f t="shared" si="91"/>
        <v>Error?</v>
      </c>
    </row>
    <row r="5919" spans="1:4" x14ac:dyDescent="0.2">
      <c r="A5919" s="5">
        <v>5858</v>
      </c>
      <c r="B5919" s="138">
        <f>'Revenues 9-14'!I14</f>
        <v>149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149</v>
      </c>
      <c r="C5923" s="2" t="s">
        <v>573</v>
      </c>
      <c r="D5923" s="2" t="str">
        <f t="shared" si="91"/>
        <v>Error?</v>
      </c>
    </row>
    <row r="5924" spans="1:4" x14ac:dyDescent="0.2">
      <c r="A5924" s="5">
        <v>5863</v>
      </c>
      <c r="B5924" s="138">
        <f>'Revenues 9-14'!I65</f>
        <v>76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15890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20356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20356</v>
      </c>
      <c r="C5987" s="2" t="s">
        <v>573</v>
      </c>
      <c r="D5987" s="2" t="str">
        <f t="shared" si="92"/>
        <v>Error?</v>
      </c>
    </row>
    <row r="5988" spans="1:4" x14ac:dyDescent="0.2">
      <c r="A5988" s="5">
        <v>5927</v>
      </c>
      <c r="B5988" s="138">
        <f>'Revenues 9-14'!K14</f>
        <v>197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197</v>
      </c>
      <c r="C5992" s="2" t="s">
        <v>573</v>
      </c>
      <c r="D5992" s="2" t="str">
        <f t="shared" si="92"/>
        <v>Error?</v>
      </c>
    </row>
    <row r="5993" spans="1:4" x14ac:dyDescent="0.2">
      <c r="A5993" s="5">
        <v>5932</v>
      </c>
      <c r="B5993" s="138">
        <f>'Revenues 9-14'!K65</f>
        <v>59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20612</v>
      </c>
      <c r="C6023" s="2" t="s">
        <v>573</v>
      </c>
      <c r="D6023" s="2" t="str">
        <f t="shared" si="93"/>
        <v>Error?</v>
      </c>
    </row>
    <row r="6024" spans="1:5" x14ac:dyDescent="0.2">
      <c r="A6024" s="5">
        <v>5963</v>
      </c>
      <c r="B6024" s="138">
        <f>'Revenues 9-14'!G109</f>
        <v>152732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15890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20612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35143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331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48190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48190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48190</v>
      </c>
      <c r="D6216" s="2" t="str">
        <f t="shared" si="96"/>
        <v>Error?</v>
      </c>
      <c r="E6216" s="2" t="s">
        <v>190</v>
      </c>
    </row>
    <row r="6217" spans="1:5" x14ac:dyDescent="0.2">
      <c r="A6217">
        <v>6156</v>
      </c>
      <c r="B6217" s="138">
        <f>'Assets-Liab 5-6'!J4</f>
        <v>48190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164680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164680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164680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170674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170674</v>
      </c>
      <c r="D6229" s="2" t="str">
        <f t="shared" si="96"/>
        <v>Error?</v>
      </c>
      <c r="E6229" s="2" t="s">
        <v>190</v>
      </c>
    </row>
    <row r="6230" spans="1:5" x14ac:dyDescent="0.2">
      <c r="A6230">
        <v>6169</v>
      </c>
      <c r="B6230" s="138">
        <f>'Acct Summary 7-8'!J20</f>
        <v>-5994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-5994</v>
      </c>
      <c r="D6263" s="2" t="str">
        <f t="shared" si="96"/>
        <v>Error?</v>
      </c>
      <c r="E6263" s="2" t="s">
        <v>190</v>
      </c>
    </row>
    <row r="6264" spans="1:5" x14ac:dyDescent="0.2">
      <c r="A6264">
        <v>6203</v>
      </c>
      <c r="B6264" s="138">
        <f>'Acct Summary 7-8'!J79</f>
        <v>54184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48190</v>
      </c>
      <c r="D6266" s="2" t="str">
        <f t="shared" si="96"/>
        <v>Error?</v>
      </c>
      <c r="E6266" s="2" t="s">
        <v>190</v>
      </c>
    </row>
    <row r="6267" spans="1:5" x14ac:dyDescent="0.2">
      <c r="A6267">
        <v>6206</v>
      </c>
      <c r="B6267" s="138">
        <f>'Acct Summary 7-8'!C82</f>
        <v>779231</v>
      </c>
      <c r="D6267" s="2" t="str">
        <f t="shared" si="96"/>
        <v>Error?</v>
      </c>
      <c r="E6267" s="2" t="s">
        <v>190</v>
      </c>
    </row>
    <row r="6268" spans="1:5" x14ac:dyDescent="0.2">
      <c r="A6268">
        <v>6207</v>
      </c>
      <c r="B6268" s="138">
        <f>'Acct Summary 7-8'!D82</f>
        <v>9912</v>
      </c>
      <c r="D6268" s="2" t="str">
        <f t="shared" si="96"/>
        <v>Error?</v>
      </c>
      <c r="E6268" s="2" t="s">
        <v>190</v>
      </c>
    </row>
    <row r="6269" spans="1:5" x14ac:dyDescent="0.2">
      <c r="A6269">
        <v>6208</v>
      </c>
      <c r="B6269" s="138">
        <f>'Acct Summary 7-8'!E82</f>
        <v>12</v>
      </c>
      <c r="D6269" s="2" t="str">
        <f t="shared" si="96"/>
        <v>Error?</v>
      </c>
      <c r="E6269" s="2" t="s">
        <v>190</v>
      </c>
    </row>
    <row r="6270" spans="1:5" x14ac:dyDescent="0.2">
      <c r="A6270">
        <v>6209</v>
      </c>
      <c r="B6270" s="138">
        <f>'Acct Summary 7-8'!F82</f>
        <v>-58778</v>
      </c>
      <c r="D6270" s="2" t="str">
        <f t="shared" si="96"/>
        <v>Error?</v>
      </c>
      <c r="E6270" s="2" t="s">
        <v>190</v>
      </c>
    </row>
    <row r="6271" spans="1:5" x14ac:dyDescent="0.2">
      <c r="A6271">
        <v>6210</v>
      </c>
      <c r="B6271" s="138">
        <f>'Acct Summary 7-8'!G82</f>
        <v>24700</v>
      </c>
      <c r="D6271" s="2" t="str">
        <f t="shared" ref="D6271:D6334" si="97">IF(ISBLANK(B6271),"OK",IF(A6271-B6271=0,"OK","Error?"))</f>
        <v>Error?</v>
      </c>
      <c r="E6271" s="2" t="s">
        <v>190</v>
      </c>
    </row>
    <row r="6272" spans="1:5" x14ac:dyDescent="0.2">
      <c r="A6272">
        <v>6211</v>
      </c>
      <c r="B6272" s="138">
        <f>'Acct Summary 7-8'!H82</f>
        <v>-1259907</v>
      </c>
      <c r="D6272" s="2" t="str">
        <f t="shared" si="97"/>
        <v>Error?</v>
      </c>
      <c r="E6272" s="2" t="s">
        <v>190</v>
      </c>
    </row>
    <row r="6273" spans="1:5" x14ac:dyDescent="0.2">
      <c r="A6273">
        <v>6212</v>
      </c>
      <c r="B6273" s="138">
        <f>'Acct Summary 7-8'!I82</f>
        <v>15890</v>
      </c>
      <c r="D6273" s="2" t="str">
        <f t="shared" si="97"/>
        <v>Error?</v>
      </c>
      <c r="E6273" s="2" t="s">
        <v>190</v>
      </c>
    </row>
    <row r="6274" spans="1:5" x14ac:dyDescent="0.2">
      <c r="A6274">
        <v>6213</v>
      </c>
      <c r="B6274" s="138">
        <f>'Acct Summary 7-8'!J82</f>
        <v>-5994</v>
      </c>
      <c r="D6274" s="2" t="str">
        <f t="shared" si="97"/>
        <v>Error?</v>
      </c>
      <c r="E6274" s="2" t="s">
        <v>190</v>
      </c>
    </row>
    <row r="6275" spans="1:5" x14ac:dyDescent="0.2">
      <c r="A6275">
        <v>6214</v>
      </c>
      <c r="B6275" s="138">
        <f>'Acct Summary 7-8'!K82</f>
        <v>6579</v>
      </c>
      <c r="D6275" s="2" t="str">
        <f t="shared" si="97"/>
        <v>Error?</v>
      </c>
      <c r="E6275" s="2" t="s">
        <v>190</v>
      </c>
    </row>
    <row r="6276" spans="1:5" x14ac:dyDescent="0.2">
      <c r="A6276">
        <v>6215</v>
      </c>
      <c r="B6276" s="138">
        <f>'Acct Summary 7-8'!C83</f>
        <v>0.33693401380457827</v>
      </c>
      <c r="D6276" s="2" t="str">
        <f t="shared" si="97"/>
        <v>Error?</v>
      </c>
      <c r="E6276" s="2" t="s">
        <v>190</v>
      </c>
    </row>
    <row r="6277" spans="1:5" x14ac:dyDescent="0.2">
      <c r="A6277">
        <v>6216</v>
      </c>
      <c r="B6277" s="138">
        <f>'Acct Summary 7-8'!D83</f>
        <v>3.7293441290672122E-2</v>
      </c>
      <c r="D6277" s="2" t="str">
        <f t="shared" si="97"/>
        <v>Error?</v>
      </c>
      <c r="E6277" s="2" t="s">
        <v>190</v>
      </c>
    </row>
    <row r="6278" spans="1:5" x14ac:dyDescent="0.2">
      <c r="A6278">
        <v>6217</v>
      </c>
      <c r="B6278" s="138">
        <f>'Acct Summary 7-8'!E83</f>
        <v>1.6441284064285419E-4</v>
      </c>
      <c r="D6278" s="2" t="str">
        <f t="shared" si="97"/>
        <v>Error?</v>
      </c>
      <c r="E6278" s="2" t="s">
        <v>190</v>
      </c>
    </row>
    <row r="6279" spans="1:5" x14ac:dyDescent="0.2">
      <c r="A6279">
        <v>6218</v>
      </c>
      <c r="B6279" s="138">
        <f>'Acct Summary 7-8'!F83</f>
        <v>-0.29263459757639726</v>
      </c>
      <c r="D6279" s="2" t="str">
        <f t="shared" si="97"/>
        <v>Error?</v>
      </c>
      <c r="E6279" s="2" t="s">
        <v>190</v>
      </c>
    </row>
    <row r="6280" spans="1:5" x14ac:dyDescent="0.2">
      <c r="A6280">
        <v>6219</v>
      </c>
      <c r="B6280" s="138">
        <f>'Acct Summary 7-8'!G83</f>
        <v>0.14991138841008958</v>
      </c>
      <c r="D6280" s="2" t="str">
        <f t="shared" si="97"/>
        <v>Error?</v>
      </c>
      <c r="E6280" s="2" t="s">
        <v>190</v>
      </c>
    </row>
    <row r="6281" spans="1:5" x14ac:dyDescent="0.2">
      <c r="A6281">
        <v>6220</v>
      </c>
      <c r="B6281" s="138">
        <f>'Acct Summary 7-8'!H83</f>
        <v>-2.7679739351850836</v>
      </c>
      <c r="D6281" s="2" t="str">
        <f t="shared" si="97"/>
        <v>Error?</v>
      </c>
      <c r="E6281" s="2" t="s">
        <v>190</v>
      </c>
    </row>
    <row r="6282" spans="1:5" x14ac:dyDescent="0.2">
      <c r="A6282">
        <v>6221</v>
      </c>
      <c r="B6282" s="138">
        <f>'Acct Summary 7-8'!I83</f>
        <v>6.1537865732044998E-2</v>
      </c>
      <c r="D6282" s="2" t="str">
        <f t="shared" si="97"/>
        <v>Error?</v>
      </c>
      <c r="E6282" s="2" t="s">
        <v>190</v>
      </c>
    </row>
    <row r="6283" spans="1:5" x14ac:dyDescent="0.2">
      <c r="A6283">
        <v>6222</v>
      </c>
      <c r="B6283" s="138">
        <f>'Acct Summary 7-8'!J83</f>
        <v>-0.12438265200249014</v>
      </c>
      <c r="D6283" s="2" t="str">
        <f t="shared" si="97"/>
        <v>Error?</v>
      </c>
      <c r="E6283" s="2" t="s">
        <v>190</v>
      </c>
    </row>
    <row r="6284" spans="1:5" x14ac:dyDescent="0.2">
      <c r="A6284">
        <v>6223</v>
      </c>
      <c r="B6284" s="138">
        <f>'Acct Summary 7-8'!K83</f>
        <v>0.31342003715878236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162817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162817</v>
      </c>
      <c r="D6301" s="2" t="str">
        <f t="shared" si="97"/>
        <v>Error?</v>
      </c>
      <c r="E6301" s="2" t="s">
        <v>190</v>
      </c>
    </row>
    <row r="6302" spans="1:5" x14ac:dyDescent="0.2">
      <c r="A6302">
        <v>6241</v>
      </c>
      <c r="B6302" s="138">
        <f>'Revenues 9-14'!J14</f>
        <v>1395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1395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468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468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164680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13174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3425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170674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164680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55435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55435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104336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10903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115239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104336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66338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170674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104336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66338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170674</v>
      </c>
      <c r="D7224" s="2" t="str">
        <f t="shared" si="111"/>
        <v>Error?</v>
      </c>
    </row>
    <row r="7225" spans="1:4" x14ac:dyDescent="0.2">
      <c r="A7225">
        <v>7164</v>
      </c>
      <c r="B7225" s="138">
        <f>'Expenditures 15-22'!K343</f>
        <v>-5994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3425</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55904</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55904</v>
      </c>
      <c r="D7609" s="2" t="str">
        <f t="shared" si="122"/>
        <v>Error?</v>
      </c>
      <c r="E7609" s="2" t="s">
        <v>19</v>
      </c>
    </row>
    <row r="7610" spans="1:5" x14ac:dyDescent="0.2">
      <c r="A7610">
        <f t="shared" si="123"/>
        <v>7549</v>
      </c>
      <c r="B7610" s="138">
        <f>'Cap Outlay Deprec 26'!H9</f>
        <v>13417</v>
      </c>
      <c r="D7610" s="2" t="str">
        <f t="shared" si="122"/>
        <v>Error?</v>
      </c>
      <c r="E7610" s="2" t="s">
        <v>19</v>
      </c>
    </row>
    <row r="7611" spans="1:5" x14ac:dyDescent="0.2">
      <c r="A7611">
        <f t="shared" si="123"/>
        <v>7550</v>
      </c>
      <c r="B7611" s="138">
        <f>'Cap Outlay Deprec 26'!I9</f>
        <v>2236</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15653</v>
      </c>
      <c r="D7613" s="2" t="str">
        <f t="shared" si="122"/>
        <v>Error?</v>
      </c>
      <c r="E7613" s="2" t="s">
        <v>19</v>
      </c>
    </row>
    <row r="7614" spans="1:5" x14ac:dyDescent="0.2">
      <c r="A7614">
        <f t="shared" si="123"/>
        <v>7553</v>
      </c>
      <c r="B7614" s="138">
        <f>'Cap Outlay Deprec 26'!L9</f>
        <v>40251</v>
      </c>
      <c r="D7614" s="2" t="str">
        <f t="shared" si="122"/>
        <v>Error?</v>
      </c>
      <c r="E7614" s="2" t="s">
        <v>19</v>
      </c>
    </row>
    <row r="7615" spans="1:5" x14ac:dyDescent="0.2">
      <c r="A7615">
        <f t="shared" si="123"/>
        <v>7554</v>
      </c>
      <c r="B7615" s="138">
        <f>'Cap Outlay Deprec 26'!C14</f>
        <v>2667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2667</v>
      </c>
      <c r="D7618" s="2" t="str">
        <f t="shared" si="124"/>
        <v>Error?</v>
      </c>
      <c r="E7618" s="2" t="s">
        <v>19</v>
      </c>
    </row>
    <row r="7619" spans="1:5" x14ac:dyDescent="0.2">
      <c r="A7619">
        <f t="shared" si="123"/>
        <v>7558</v>
      </c>
      <c r="B7619" s="138">
        <f>'Cap Outlay Deprec 26'!H14</f>
        <v>2667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2667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231134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20356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1987</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Bluford Unit School District 318</v>
      </c>
      <c r="B7" s="2386"/>
      <c r="C7" s="2386"/>
      <c r="D7" s="2423"/>
      <c r="E7" s="2424">
        <f>COVER!A13</f>
        <v>13041318027</v>
      </c>
      <c r="F7" s="2425"/>
      <c r="G7" s="2392">
        <f>COVER!T23</f>
        <v>65.012236000000001</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Dale L. Guebert</v>
      </c>
      <c r="H9" s="2399"/>
      <c r="I9" s="2399"/>
      <c r="J9" s="2399"/>
      <c r="K9" s="2399"/>
      <c r="L9" s="2400"/>
    </row>
    <row r="10" spans="1:29" ht="13.5" customHeight="1" x14ac:dyDescent="0.2">
      <c r="A10" s="2382">
        <f>COVER!A38</f>
        <v>0</v>
      </c>
      <c r="B10" s="2383"/>
      <c r="C10" s="2383"/>
      <c r="D10" s="2383"/>
      <c r="E10" s="2383"/>
      <c r="F10" s="2384"/>
      <c r="G10" s="2398" t="str">
        <f>COVER!T17</f>
        <v>140 W Market</v>
      </c>
      <c r="H10" s="2411"/>
      <c r="I10" s="2411"/>
      <c r="J10" s="2411"/>
      <c r="K10" s="2411"/>
      <c r="L10" s="2412"/>
    </row>
    <row r="11" spans="1:29" ht="13.5" customHeight="1" x14ac:dyDescent="0.2">
      <c r="A11" s="1184" t="s">
        <v>1519</v>
      </c>
      <c r="B11" s="1185"/>
      <c r="C11" s="1186"/>
      <c r="D11" s="1191"/>
      <c r="E11" s="1186"/>
      <c r="F11" s="1190"/>
      <c r="G11" s="2398" t="str">
        <f>COVER!T19</f>
        <v>Red Bud</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dguebert@htc.net</v>
      </c>
      <c r="J13" s="2420"/>
      <c r="K13" s="2420"/>
      <c r="L13" s="2421"/>
    </row>
    <row r="14" spans="1:29" ht="13.5" customHeight="1" x14ac:dyDescent="0.2">
      <c r="A14" s="2398" t="str">
        <f>COVER!A19</f>
        <v>901 Sixth Street</v>
      </c>
      <c r="B14" s="2411"/>
      <c r="C14" s="2411"/>
      <c r="D14" s="2411"/>
      <c r="E14" s="2411"/>
      <c r="F14" s="2412"/>
      <c r="G14" s="1195" t="s">
        <v>1185</v>
      </c>
      <c r="H14" s="1193"/>
      <c r="I14" s="1193"/>
      <c r="J14" s="1193"/>
      <c r="K14" s="1193"/>
      <c r="L14" s="1194"/>
    </row>
    <row r="15" spans="1:29" ht="13.5" customHeight="1" x14ac:dyDescent="0.2">
      <c r="A15" s="2398" t="str">
        <f>COVER!A21</f>
        <v xml:space="preserve">Bluford  </v>
      </c>
      <c r="B15" s="2411"/>
      <c r="C15" s="2411"/>
      <c r="D15" s="2411"/>
      <c r="E15" s="2411"/>
      <c r="F15" s="2412"/>
      <c r="G15" s="2408" t="str">
        <f>COVER!T15</f>
        <v>Dale L. Guebert</v>
      </c>
      <c r="H15" s="2409"/>
      <c r="I15" s="2409"/>
      <c r="J15" s="2409"/>
      <c r="K15" s="2409"/>
      <c r="L15" s="2410"/>
    </row>
    <row r="16" spans="1:29" ht="12.2" customHeight="1" x14ac:dyDescent="0.2">
      <c r="A16" s="2388">
        <f>COVER!A25</f>
        <v>62814</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618-282-8300</v>
      </c>
      <c r="H18" s="2386"/>
      <c r="I18" s="2386"/>
      <c r="J18" s="2386"/>
      <c r="K18" s="2385" t="str">
        <f>COVER!X21</f>
        <v>618-282-8301</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Bluford Unit School District 318</v>
      </c>
      <c r="B1" s="2422"/>
      <c r="C1" s="2422"/>
      <c r="D1" s="2422"/>
    </row>
    <row r="2" spans="1:11" s="1212" customFormat="1" ht="12.75" x14ac:dyDescent="0.2">
      <c r="A2" s="2427">
        <f>'Single Audit Cover'!E7</f>
        <v>13041318027</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Bluford Unit School District 318</v>
      </c>
      <c r="B1" s="2430"/>
      <c r="C1" s="2430"/>
      <c r="D1" s="2430"/>
      <c r="E1" s="2430"/>
    </row>
    <row r="2" spans="1:5" x14ac:dyDescent="0.2">
      <c r="A2" s="2431">
        <f>'Single Audit Cover'!E7</f>
        <v>13041318027</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371129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371129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371129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371129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Bluford Unit School District 318</v>
      </c>
      <c r="C1" s="2434"/>
      <c r="D1" s="2434"/>
      <c r="E1" s="2434"/>
      <c r="F1" s="2434"/>
      <c r="G1" s="2434"/>
      <c r="H1" s="2434"/>
      <c r="I1" s="2434"/>
      <c r="J1" s="2434"/>
      <c r="K1" s="2434"/>
      <c r="L1" s="2434"/>
      <c r="M1" s="2434"/>
    </row>
    <row r="2" spans="2:14" ht="15" x14ac:dyDescent="0.2">
      <c r="B2" s="2435">
        <f>'Single Audit Cover'!E7</f>
        <v>13041318027</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Bluford Unit School District 318</v>
      </c>
      <c r="B1" s="2439"/>
      <c r="C1" s="2439"/>
      <c r="D1" s="2439"/>
      <c r="E1" s="2439"/>
      <c r="F1" s="2439"/>
    </row>
    <row r="2" spans="1:7" ht="13.5" customHeight="1" x14ac:dyDescent="0.2">
      <c r="A2" s="2435">
        <f>'Single Audit Cover'!E7</f>
        <v>13041318027</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0"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2078</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2078</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t="s">
        <v>2082</v>
      </c>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Bluford Unit School District 318</v>
      </c>
      <c r="C1" s="2455"/>
      <c r="D1" s="2455"/>
      <c r="E1" s="2455"/>
      <c r="F1" s="2455"/>
      <c r="G1" s="2455"/>
      <c r="H1" s="2455"/>
      <c r="I1" s="2455"/>
      <c r="J1" s="1406"/>
    </row>
    <row r="2" spans="2:10" s="317" customFormat="1" ht="12.75" customHeight="1" x14ac:dyDescent="0.2">
      <c r="B2" s="2456">
        <f>'Single Audit Cover'!E7</f>
        <v>13041318027</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2062</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Bluford Unit School District 318</v>
      </c>
      <c r="C1" s="2454"/>
      <c r="D1" s="2454"/>
      <c r="E1" s="2454"/>
      <c r="F1" s="2454"/>
      <c r="G1" s="2454"/>
      <c r="H1" s="2454"/>
      <c r="I1" s="2454"/>
      <c r="J1" s="2454"/>
      <c r="K1" s="2454"/>
      <c r="L1" s="1371"/>
      <c r="M1" s="1371"/>
    </row>
    <row r="2" spans="1:13" ht="12" customHeight="1" x14ac:dyDescent="0.2">
      <c r="B2" s="2456">
        <f>'Single Audit Cover'!E7</f>
        <v>13041318027</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Bluford Unit School District 318</v>
      </c>
      <c r="C1" s="2481"/>
      <c r="D1" s="2481"/>
      <c r="E1" s="2481"/>
      <c r="F1" s="2481"/>
      <c r="G1" s="2481"/>
      <c r="H1" s="2481"/>
      <c r="I1" s="2481"/>
      <c r="J1" s="2481"/>
      <c r="K1" s="2481"/>
      <c r="L1" s="1449"/>
    </row>
    <row r="2" spans="1:12" ht="12.75" customHeight="1" x14ac:dyDescent="0.2">
      <c r="B2" s="2482">
        <f>'Single Audit Cover'!E7</f>
        <v>13041318027</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Bluford Unit School District 318</v>
      </c>
      <c r="C1" s="2454"/>
      <c r="D1" s="2454"/>
      <c r="E1" s="1469"/>
    </row>
    <row r="2" spans="2:5" s="1279" customFormat="1" ht="12.75" customHeight="1" x14ac:dyDescent="0.2">
      <c r="B2" s="2456">
        <f>'Single Audit Cover'!E7</f>
        <v>13041318027</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35752714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1.9835999999999999E-2</v>
      </c>
      <c r="E10" s="356" t="s">
        <v>1005</v>
      </c>
      <c r="F10" s="355">
        <v>4.8488000000000003E-3</v>
      </c>
      <c r="G10" s="356" t="s">
        <v>1005</v>
      </c>
      <c r="H10" s="355">
        <v>2.6448999999999999E-3</v>
      </c>
      <c r="I10" s="356" t="s">
        <v>1006</v>
      </c>
      <c r="J10" s="1732">
        <f>ROUND(D10+F10+H10,5)</f>
        <v>2.733E-2</v>
      </c>
      <c r="K10" s="222"/>
      <c r="L10" s="355">
        <v>4.4089999999999998E-4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3983978</v>
      </c>
      <c r="E16" s="356"/>
      <c r="F16" s="1733">
        <f>SUM('Acct Summary 7-8'!C17,'Acct Summary 7-8'!D17,'Acct Summary 7-8'!F17)</f>
        <v>3237723</v>
      </c>
      <c r="G16" s="356"/>
      <c r="H16" s="1733">
        <f>SUM(D16-F16)</f>
        <v>746255</v>
      </c>
      <c r="I16" s="222"/>
      <c r="J16" s="1733">
        <f>SUM('Acct Summary 7-8'!C81,'Acct Summary 7-8'!D81,'Acct Summary 7-8'!F81,'Acct Summary 7-8'!I81)</f>
        <v>3037568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4933874.5320000006</v>
      </c>
      <c r="I31" s="368"/>
      <c r="J31" s="222"/>
      <c r="K31" s="222"/>
      <c r="L31" s="222"/>
      <c r="M31" s="222"/>
    </row>
    <row r="32" spans="1:13" ht="13.35" customHeight="1" x14ac:dyDescent="0.2">
      <c r="B32" s="369" t="s">
        <v>2078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3140900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Bluford Unit School District 318</v>
      </c>
      <c r="E7" s="391"/>
      <c r="G7" s="252"/>
      <c r="H7" s="387"/>
      <c r="I7" s="387"/>
      <c r="J7" s="387"/>
      <c r="K7" s="387"/>
      <c r="L7" s="329"/>
      <c r="M7" s="329"/>
      <c r="N7" s="329"/>
      <c r="O7" s="329"/>
      <c r="P7" s="329"/>
    </row>
    <row r="8" spans="1:18" ht="12.75" x14ac:dyDescent="0.2">
      <c r="A8" s="329"/>
      <c r="B8" s="329"/>
      <c r="C8" s="389" t="s">
        <v>1125</v>
      </c>
      <c r="D8" s="392">
        <f>COVER!A13</f>
        <v>13041318027</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3037568</v>
      </c>
      <c r="I12" s="404"/>
      <c r="J12" s="404"/>
      <c r="K12" s="405">
        <f>TRUNC((H12/H13*100000),5)/100000</f>
        <v>0.76244597729999997</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3983978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3237723</v>
      </c>
      <c r="I17" s="404"/>
      <c r="J17" s="416"/>
      <c r="K17" s="405">
        <f>TRUNC((H17/H18*100000),5)/100000</f>
        <v>0.81268596360000001</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3983978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3037568</v>
      </c>
      <c r="I24" s="422"/>
      <c r="J24" s="422"/>
      <c r="K24" s="423">
        <f>TRUNC(((H24/H25*100000)/100000),2)</f>
        <v>337.74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8993.6749999999993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830553.42258000001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3140900</v>
      </c>
      <c r="I32" s="420"/>
      <c r="J32" s="420"/>
      <c r="K32" s="423">
        <f>TRUNC(100-((((H32/H33*100))*100)/100),2)</f>
        <v>36.340000000000003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4933874.5320000006</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H39" sqref="H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2312711</v>
      </c>
      <c r="D4" s="466">
        <v>265784</v>
      </c>
      <c r="E4" s="466">
        <v>72987</v>
      </c>
      <c r="F4" s="466">
        <v>200858</v>
      </c>
      <c r="G4" s="466">
        <v>164764</v>
      </c>
      <c r="H4" s="466">
        <v>455173</v>
      </c>
      <c r="I4" s="466">
        <v>258215</v>
      </c>
      <c r="J4" s="467">
        <v>48190</v>
      </c>
      <c r="K4" s="466">
        <v>20991</v>
      </c>
      <c r="L4" s="466">
        <v>87799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2312711</v>
      </c>
      <c r="D13" s="1737">
        <f t="shared" ref="D13:L13" si="0">SUM(D4:D12)</f>
        <v>265784</v>
      </c>
      <c r="E13" s="1737">
        <f t="shared" si="0"/>
        <v>72987</v>
      </c>
      <c r="F13" s="1737">
        <f t="shared" si="0"/>
        <v>200858</v>
      </c>
      <c r="G13" s="1737">
        <f t="shared" si="0"/>
        <v>164764</v>
      </c>
      <c r="H13" s="1737">
        <f t="shared" si="0"/>
        <v>455173</v>
      </c>
      <c r="I13" s="1737">
        <f t="shared" si="0"/>
        <v>258215</v>
      </c>
      <c r="J13" s="1737">
        <f t="shared" si="0"/>
        <v>48190</v>
      </c>
      <c r="K13" s="1737">
        <f t="shared" si="0"/>
        <v>20991</v>
      </c>
      <c r="L13" s="1737">
        <f t="shared" si="0"/>
        <v>87799</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118520</v>
      </c>
      <c r="N16" s="484"/>
    </row>
    <row r="17" spans="1:14" s="485" customFormat="1" ht="12.75" customHeight="1" x14ac:dyDescent="0.2">
      <c r="A17" s="482" t="s">
        <v>1403</v>
      </c>
      <c r="B17" s="483">
        <v>230</v>
      </c>
      <c r="C17" s="477"/>
      <c r="D17" s="477"/>
      <c r="E17" s="477"/>
      <c r="F17" s="477"/>
      <c r="G17" s="477"/>
      <c r="H17" s="477"/>
      <c r="I17" s="477"/>
      <c r="J17" s="477"/>
      <c r="K17" s="477"/>
      <c r="L17" s="477"/>
      <c r="M17" s="467">
        <v>5469246</v>
      </c>
      <c r="N17" s="484"/>
    </row>
    <row r="18" spans="1:14" s="485" customFormat="1" ht="12.75" customHeight="1" x14ac:dyDescent="0.2">
      <c r="A18" s="482" t="s">
        <v>1404</v>
      </c>
      <c r="B18" s="483">
        <v>240</v>
      </c>
      <c r="C18" s="477"/>
      <c r="D18" s="477"/>
      <c r="E18" s="477"/>
      <c r="F18" s="477"/>
      <c r="G18" s="477"/>
      <c r="H18" s="477"/>
      <c r="I18" s="477"/>
      <c r="J18" s="477"/>
      <c r="K18" s="477"/>
      <c r="L18" s="477"/>
      <c r="M18" s="467">
        <v>509624</v>
      </c>
      <c r="N18" s="484"/>
    </row>
    <row r="19" spans="1:14" s="485" customFormat="1" ht="12.75" customHeight="1" x14ac:dyDescent="0.2">
      <c r="A19" s="482" t="s">
        <v>1405</v>
      </c>
      <c r="B19" s="483">
        <v>250</v>
      </c>
      <c r="C19" s="477"/>
      <c r="D19" s="477"/>
      <c r="E19" s="477"/>
      <c r="F19" s="477"/>
      <c r="G19" s="477"/>
      <c r="H19" s="477"/>
      <c r="I19" s="477"/>
      <c r="J19" s="477"/>
      <c r="K19" s="477"/>
      <c r="L19" s="477"/>
      <c r="M19" s="467">
        <v>1747380</v>
      </c>
      <c r="N19" s="484"/>
    </row>
    <row r="20" spans="1:14" s="485" customFormat="1" ht="12.75" customHeight="1" x14ac:dyDescent="0.2">
      <c r="A20" s="482" t="s">
        <v>1406</v>
      </c>
      <c r="B20" s="483">
        <v>260</v>
      </c>
      <c r="C20" s="477"/>
      <c r="D20" s="477"/>
      <c r="E20" s="477"/>
      <c r="F20" s="477"/>
      <c r="G20" s="477"/>
      <c r="H20" s="477"/>
      <c r="I20" s="477"/>
      <c r="J20" s="477"/>
      <c r="K20" s="477"/>
      <c r="L20" s="477"/>
      <c r="M20" s="467">
        <v>6080234</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3140900</v>
      </c>
    </row>
    <row r="23" spans="1:14" ht="13.5" customHeight="1" thickBot="1" x14ac:dyDescent="0.25">
      <c r="A23" s="1736" t="s">
        <v>643</v>
      </c>
      <c r="B23" s="1741"/>
      <c r="C23" s="468"/>
      <c r="D23" s="468"/>
      <c r="E23" s="468"/>
      <c r="F23" s="468"/>
      <c r="G23" s="468"/>
      <c r="H23" s="468"/>
      <c r="I23" s="468"/>
      <c r="J23" s="468"/>
      <c r="K23" s="468"/>
      <c r="L23" s="468"/>
      <c r="M23" s="1688">
        <f>SUM(M15:M22)</f>
        <v>13925004</v>
      </c>
      <c r="N23" s="1688">
        <f>SUM(N21:N22)</f>
        <v>3140900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87799</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87799</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3140900</v>
      </c>
    </row>
    <row r="37" spans="1:14" ht="13.5" thickBot="1" x14ac:dyDescent="0.25">
      <c r="A37" s="1736" t="s">
        <v>653</v>
      </c>
      <c r="B37" s="1741"/>
      <c r="C37" s="477"/>
      <c r="D37" s="477"/>
      <c r="E37" s="477"/>
      <c r="F37" s="477"/>
      <c r="G37" s="477"/>
      <c r="H37" s="477"/>
      <c r="I37" s="477"/>
      <c r="J37" s="477"/>
      <c r="K37" s="477"/>
      <c r="L37" s="480"/>
      <c r="M37" s="468"/>
      <c r="N37" s="1688">
        <f>SUM(N36:N36)</f>
        <v>3140900</v>
      </c>
    </row>
    <row r="38" spans="1:14" s="329" customFormat="1" ht="13.5" customHeight="1" thickTop="1" x14ac:dyDescent="0.2">
      <c r="A38" s="496" t="s">
        <v>420</v>
      </c>
      <c r="B38" s="483">
        <v>714</v>
      </c>
      <c r="C38" s="466"/>
      <c r="D38" s="466"/>
      <c r="E38" s="466">
        <v>72987</v>
      </c>
      <c r="F38" s="466"/>
      <c r="G38" s="466">
        <v>164764</v>
      </c>
      <c r="H38" s="466">
        <v>455173</v>
      </c>
      <c r="I38" s="466"/>
      <c r="J38" s="467">
        <v>48190</v>
      </c>
      <c r="K38" s="466">
        <v>20991</v>
      </c>
      <c r="L38" s="481"/>
      <c r="M38" s="497"/>
      <c r="N38" s="497"/>
    </row>
    <row r="39" spans="1:14" s="329" customFormat="1" ht="13.5" customHeight="1" x14ac:dyDescent="0.2">
      <c r="A39" s="496" t="s">
        <v>342</v>
      </c>
      <c r="B39" s="483">
        <v>730</v>
      </c>
      <c r="C39" s="466">
        <v>2312711</v>
      </c>
      <c r="D39" s="466">
        <v>265784</v>
      </c>
      <c r="E39" s="466"/>
      <c r="F39" s="466">
        <v>200858</v>
      </c>
      <c r="G39" s="466"/>
      <c r="H39" s="466"/>
      <c r="I39" s="466">
        <v>258215</v>
      </c>
      <c r="J39" s="467">
        <v>0</v>
      </c>
      <c r="K39" s="466">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13925004</v>
      </c>
      <c r="N40" s="497"/>
    </row>
    <row r="41" spans="1:14" ht="13.5" customHeight="1" thickBot="1" x14ac:dyDescent="0.25">
      <c r="A41" s="1736" t="s">
        <v>655</v>
      </c>
      <c r="B41" s="1706"/>
      <c r="C41" s="1688">
        <f>(SUM(C34,C37,C38,C39))</f>
        <v>2312711</v>
      </c>
      <c r="D41" s="1688">
        <f t="shared" ref="D41:L41" si="2">SUM(D34,D37,D38:D39)</f>
        <v>265784</v>
      </c>
      <c r="E41" s="1688">
        <f t="shared" si="2"/>
        <v>72987</v>
      </c>
      <c r="F41" s="1688">
        <f t="shared" si="2"/>
        <v>200858</v>
      </c>
      <c r="G41" s="1688">
        <f t="shared" si="2"/>
        <v>164764</v>
      </c>
      <c r="H41" s="1688">
        <f t="shared" si="2"/>
        <v>455173</v>
      </c>
      <c r="I41" s="1688">
        <f t="shared" si="2"/>
        <v>258215</v>
      </c>
      <c r="J41" s="1688">
        <f t="shared" si="2"/>
        <v>48190</v>
      </c>
      <c r="K41" s="1688">
        <f t="shared" si="2"/>
        <v>20991</v>
      </c>
      <c r="L41" s="1688">
        <f t="shared" si="2"/>
        <v>87799</v>
      </c>
      <c r="M41" s="1688">
        <f>SUM(M40)</f>
        <v>13925004</v>
      </c>
      <c r="N41" s="1688">
        <f>SUM(N37)</f>
        <v>3140900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8"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1044838</v>
      </c>
      <c r="D4" s="1742">
        <f>'Revenues 9-14'!D109</f>
        <v>141243</v>
      </c>
      <c r="E4" s="1742">
        <f>'Revenues 9-14'!E109</f>
        <v>200720</v>
      </c>
      <c r="F4" s="1742">
        <f>'Revenues 9-14'!F109</f>
        <v>82665</v>
      </c>
      <c r="G4" s="1742">
        <f>'Revenues 9-14'!G109</f>
        <v>152732</v>
      </c>
      <c r="H4" s="1742">
        <f>'Revenues 9-14'!H109</f>
        <v>0</v>
      </c>
      <c r="I4" s="1742">
        <f>'Revenues 9-14'!I109</f>
        <v>15890</v>
      </c>
      <c r="J4" s="1742">
        <f>'Revenues 9-14'!J109</f>
        <v>164680</v>
      </c>
      <c r="K4" s="1742">
        <f>'Revenues 9-14'!K109</f>
        <v>20612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2159139</v>
      </c>
      <c r="D6" s="1743">
        <f>'Revenues 9-14'!D170</f>
        <v>0</v>
      </c>
      <c r="E6" s="1743">
        <f>'Revenues 9-14'!E170</f>
        <v>0</v>
      </c>
      <c r="F6" s="1743">
        <f>'Revenues 9-14'!F170</f>
        <v>169074</v>
      </c>
      <c r="G6" s="1743">
        <f>'Revenues 9-14'!G170</f>
        <v>0</v>
      </c>
      <c r="H6" s="1743">
        <f>'Revenues 9-14'!H170</f>
        <v>2127545</v>
      </c>
      <c r="I6" s="1743">
        <f>'Revenues 9-14'!I170</f>
        <v>0</v>
      </c>
      <c r="J6" s="1743">
        <f>'Revenues 9-14'!J170</f>
        <v>0</v>
      </c>
      <c r="K6" s="1743">
        <f>'Revenues 9-14'!K170</f>
        <v>0</v>
      </c>
      <c r="L6" s="347"/>
      <c r="M6" s="513"/>
    </row>
    <row r="7" spans="1:13" ht="15.75" customHeight="1" x14ac:dyDescent="0.2">
      <c r="A7" s="1576" t="s">
        <v>1502</v>
      </c>
      <c r="B7" s="1578">
        <v>4000</v>
      </c>
      <c r="C7" s="1743">
        <f>'Revenues 9-14'!C267</f>
        <v>371129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3575106</v>
      </c>
      <c r="D8" s="1688">
        <f t="shared" ref="D8:K8" si="0">SUM(D4:D7)</f>
        <v>141243</v>
      </c>
      <c r="E8" s="1688">
        <f t="shared" si="0"/>
        <v>200720</v>
      </c>
      <c r="F8" s="1688">
        <f t="shared" si="0"/>
        <v>251739</v>
      </c>
      <c r="G8" s="1688">
        <f t="shared" si="0"/>
        <v>152732</v>
      </c>
      <c r="H8" s="1688">
        <f t="shared" si="0"/>
        <v>2127545</v>
      </c>
      <c r="I8" s="1688">
        <f t="shared" si="0"/>
        <v>15890</v>
      </c>
      <c r="J8" s="1688">
        <f t="shared" si="0"/>
        <v>164680</v>
      </c>
      <c r="K8" s="1688">
        <f t="shared" si="0"/>
        <v>20612</v>
      </c>
      <c r="L8" s="347"/>
    </row>
    <row r="9" spans="1:13" ht="15.75" thickTop="1" x14ac:dyDescent="0.2">
      <c r="A9" s="514" t="s">
        <v>1653</v>
      </c>
      <c r="B9" s="515">
        <v>3998</v>
      </c>
      <c r="C9" s="481">
        <v>476533</v>
      </c>
      <c r="D9" s="516"/>
      <c r="E9" s="481"/>
      <c r="F9" s="481"/>
      <c r="G9" s="517"/>
      <c r="H9" s="481"/>
      <c r="I9" s="509" t="s">
        <v>1169</v>
      </c>
      <c r="J9" s="478"/>
      <c r="K9" s="481"/>
      <c r="L9" s="347"/>
    </row>
    <row r="10" spans="1:13" s="519" customFormat="1" ht="13.5" thickBot="1" x14ac:dyDescent="0.25">
      <c r="A10" s="1736" t="s">
        <v>1173</v>
      </c>
      <c r="B10" s="1709"/>
      <c r="C10" s="1688">
        <f>SUM(C8:C9)</f>
        <v>4051639</v>
      </c>
      <c r="D10" s="1688">
        <f t="shared" ref="D10:K10" si="1">SUM(D8:D9)</f>
        <v>141243</v>
      </c>
      <c r="E10" s="1688">
        <f t="shared" si="1"/>
        <v>200720</v>
      </c>
      <c r="F10" s="1688">
        <f t="shared" si="1"/>
        <v>251739</v>
      </c>
      <c r="G10" s="1688">
        <f t="shared" si="1"/>
        <v>152732</v>
      </c>
      <c r="H10" s="1688">
        <f t="shared" si="1"/>
        <v>2127545</v>
      </c>
      <c r="I10" s="1688">
        <f t="shared" si="1"/>
        <v>15890</v>
      </c>
      <c r="J10" s="1688">
        <f t="shared" si="1"/>
        <v>164680</v>
      </c>
      <c r="K10" s="1688">
        <f t="shared" si="1"/>
        <v>20612</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1882093</v>
      </c>
      <c r="D12" s="520" t="s">
        <v>1169</v>
      </c>
      <c r="E12" s="468" t="s">
        <v>1169</v>
      </c>
      <c r="F12" s="468" t="s">
        <v>1169</v>
      </c>
      <c r="G12" s="1742">
        <f>'Expenditures 15-22'!K229</f>
        <v>50840</v>
      </c>
      <c r="H12" s="521"/>
      <c r="I12" s="468" t="s">
        <v>1169</v>
      </c>
      <c r="J12" s="468" t="s">
        <v>1169</v>
      </c>
      <c r="K12" s="521" t="s">
        <v>1169</v>
      </c>
      <c r="L12" s="347"/>
    </row>
    <row r="13" spans="1:13" ht="15.75" customHeight="1" x14ac:dyDescent="0.2">
      <c r="A13" s="1576" t="s">
        <v>457</v>
      </c>
      <c r="B13" s="1578">
        <v>2000</v>
      </c>
      <c r="C13" s="1743">
        <f>'Expenditures 15-22'!K74</f>
        <v>725063</v>
      </c>
      <c r="D13" s="1743">
        <f>'Expenditures 15-22'!K129</f>
        <v>131331</v>
      </c>
      <c r="E13" s="469" t="s">
        <v>1169</v>
      </c>
      <c r="F13" s="1743">
        <f>'Expenditures 15-22'!K184</f>
        <v>310517</v>
      </c>
      <c r="G13" s="1743">
        <f>'Expenditures 15-22'!K279</f>
        <v>77192</v>
      </c>
      <c r="H13" s="1743">
        <f>'Expenditures 15-22'!K303</f>
        <v>3387452</v>
      </c>
      <c r="I13" s="468" t="s">
        <v>1169</v>
      </c>
      <c r="J13" s="1743">
        <f>'Expenditures 15-22'!K330</f>
        <v>170674</v>
      </c>
      <c r="K13" s="1747">
        <f>'Expenditures 15-22'!K352</f>
        <v>14033</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188719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200708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2795875</v>
      </c>
      <c r="D17" s="1688">
        <f t="shared" si="2"/>
        <v>131331</v>
      </c>
      <c r="E17" s="1688">
        <f t="shared" si="2"/>
        <v>200708</v>
      </c>
      <c r="F17" s="1688">
        <f t="shared" si="2"/>
        <v>310517</v>
      </c>
      <c r="G17" s="1688">
        <f t="shared" si="2"/>
        <v>128032</v>
      </c>
      <c r="H17" s="1688">
        <f t="shared" si="2"/>
        <v>3387452</v>
      </c>
      <c r="I17" s="468"/>
      <c r="J17" s="1688">
        <f>SUM(J12:J16)</f>
        <v>170674</v>
      </c>
      <c r="K17" s="1688">
        <f>SUM(K12:K16)</f>
        <v>14033</v>
      </c>
      <c r="L17" s="347"/>
    </row>
    <row r="18" spans="1:12" ht="15" customHeight="1" thickTop="1" x14ac:dyDescent="0.2">
      <c r="A18" s="1744" t="s">
        <v>1654</v>
      </c>
      <c r="B18" s="1745">
        <v>4180</v>
      </c>
      <c r="C18" s="1742">
        <f t="shared" ref="C18:H18" si="3">C9</f>
        <v>476533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3272408</v>
      </c>
      <c r="D19" s="1688">
        <f t="shared" si="4"/>
        <v>131331</v>
      </c>
      <c r="E19" s="1688">
        <f t="shared" si="4"/>
        <v>200708</v>
      </c>
      <c r="F19" s="1688">
        <f t="shared" si="4"/>
        <v>310517</v>
      </c>
      <c r="G19" s="1688">
        <f t="shared" si="4"/>
        <v>128032</v>
      </c>
      <c r="H19" s="1688">
        <f t="shared" si="4"/>
        <v>3387452</v>
      </c>
      <c r="I19" s="468"/>
      <c r="J19" s="1688">
        <f>SUM(J17:J18)</f>
        <v>170674</v>
      </c>
      <c r="K19" s="1688">
        <f>SUM(K17:K18)</f>
        <v>14033</v>
      </c>
      <c r="L19" s="347"/>
    </row>
    <row r="20" spans="1:12" ht="16.5" thickTop="1" thickBot="1" x14ac:dyDescent="0.25">
      <c r="A20" s="2127" t="s">
        <v>1655</v>
      </c>
      <c r="B20" s="2128"/>
      <c r="C20" s="1746">
        <f>C8-C17</f>
        <v>779231</v>
      </c>
      <c r="D20" s="1746">
        <f t="shared" ref="D20:K20" si="5">D8-D17</f>
        <v>9912</v>
      </c>
      <c r="E20" s="1746">
        <f t="shared" si="5"/>
        <v>12</v>
      </c>
      <c r="F20" s="1746">
        <f t="shared" si="5"/>
        <v>-58778</v>
      </c>
      <c r="G20" s="1746">
        <f t="shared" si="5"/>
        <v>24700</v>
      </c>
      <c r="H20" s="1746">
        <f t="shared" si="5"/>
        <v>-1259907</v>
      </c>
      <c r="I20" s="1746">
        <f t="shared" si="5"/>
        <v>15890</v>
      </c>
      <c r="J20" s="1746">
        <f t="shared" si="5"/>
        <v>-5994</v>
      </c>
      <c r="K20" s="1746">
        <f t="shared" si="5"/>
        <v>6579</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779231</v>
      </c>
      <c r="D78" s="1702">
        <f t="shared" si="9"/>
        <v>9912</v>
      </c>
      <c r="E78" s="1702">
        <f t="shared" si="9"/>
        <v>12</v>
      </c>
      <c r="F78" s="1702">
        <f t="shared" si="9"/>
        <v>-58778</v>
      </c>
      <c r="G78" s="1702">
        <f t="shared" si="9"/>
        <v>24700</v>
      </c>
      <c r="H78" s="1702">
        <f t="shared" si="9"/>
        <v>-1259907</v>
      </c>
      <c r="I78" s="1702">
        <f t="shared" si="9"/>
        <v>15890</v>
      </c>
      <c r="J78" s="1702">
        <f t="shared" si="9"/>
        <v>-5994</v>
      </c>
      <c r="K78" s="1702">
        <f t="shared" si="9"/>
        <v>6579</v>
      </c>
      <c r="L78" s="533"/>
    </row>
    <row r="79" spans="1:12" ht="13.5" thickTop="1" x14ac:dyDescent="0.2">
      <c r="A79" s="1494" t="s">
        <v>1947</v>
      </c>
      <c r="B79" s="534"/>
      <c r="C79" s="478">
        <v>1533480</v>
      </c>
      <c r="D79" s="535">
        <v>255872</v>
      </c>
      <c r="E79" s="535">
        <v>72975</v>
      </c>
      <c r="F79" s="535">
        <v>259636</v>
      </c>
      <c r="G79" s="535">
        <v>140064</v>
      </c>
      <c r="H79" s="535">
        <v>1715080</v>
      </c>
      <c r="I79" s="535">
        <v>242325</v>
      </c>
      <c r="J79" s="535">
        <v>54184</v>
      </c>
      <c r="K79" s="535">
        <v>14412</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8">
        <f>(SUM(C78:C80))</f>
        <v>2312711</v>
      </c>
      <c r="D81" s="1688">
        <f>SUM(D78:D80)</f>
        <v>265784</v>
      </c>
      <c r="E81" s="1688">
        <f t="shared" ref="E81:K81" si="10">SUM(E78:E80)</f>
        <v>72987</v>
      </c>
      <c r="F81" s="1688">
        <f t="shared" si="10"/>
        <v>200858</v>
      </c>
      <c r="G81" s="1688">
        <f t="shared" si="10"/>
        <v>164764</v>
      </c>
      <c r="H81" s="1688">
        <f t="shared" si="10"/>
        <v>455173</v>
      </c>
      <c r="I81" s="1688">
        <f t="shared" si="10"/>
        <v>258215</v>
      </c>
      <c r="J81" s="1688">
        <f t="shared" si="10"/>
        <v>48190</v>
      </c>
      <c r="K81" s="1688">
        <f t="shared" si="10"/>
        <v>20991</v>
      </c>
      <c r="L81" s="347"/>
    </row>
    <row r="82" spans="1:12" ht="0.75" customHeight="1" thickTop="1" thickBot="1" x14ac:dyDescent="0.25">
      <c r="A82" s="536" t="s">
        <v>343</v>
      </c>
      <c r="B82" s="537"/>
      <c r="C82" s="538">
        <f>(C81-C79)</f>
        <v>779231</v>
      </c>
      <c r="D82" s="538">
        <f t="shared" ref="D82:K82" si="11">(D81-D79)</f>
        <v>9912</v>
      </c>
      <c r="E82" s="538">
        <f t="shared" si="11"/>
        <v>12</v>
      </c>
      <c r="F82" s="538">
        <f t="shared" si="11"/>
        <v>-58778</v>
      </c>
      <c r="G82" s="538">
        <f t="shared" si="11"/>
        <v>24700</v>
      </c>
      <c r="H82" s="538">
        <f t="shared" si="11"/>
        <v>-1259907</v>
      </c>
      <c r="I82" s="538">
        <f t="shared" si="11"/>
        <v>15890</v>
      </c>
      <c r="J82" s="538">
        <f t="shared" si="11"/>
        <v>-5994</v>
      </c>
      <c r="K82" s="538">
        <f t="shared" si="11"/>
        <v>6579</v>
      </c>
    </row>
    <row r="83" spans="1:12" ht="14.25" hidden="1" thickTop="1" thickBot="1" x14ac:dyDescent="0.25">
      <c r="A83" s="539" t="s">
        <v>344</v>
      </c>
      <c r="B83" s="464"/>
      <c r="C83" s="540">
        <f>C82/C81</f>
        <v>0.33693401380457827</v>
      </c>
      <c r="D83" s="540">
        <f t="shared" ref="D83:K83" si="12">D82/D81</f>
        <v>3.7293441290672122E-2</v>
      </c>
      <c r="E83" s="540">
        <f t="shared" si="12"/>
        <v>1.6441284064285419E-4</v>
      </c>
      <c r="F83" s="540">
        <f t="shared" si="12"/>
        <v>-0.29263459757639726</v>
      </c>
      <c r="G83" s="540">
        <f t="shared" si="12"/>
        <v>0.14991138841008958</v>
      </c>
      <c r="H83" s="540">
        <f t="shared" si="12"/>
        <v>-2.7679739351850836</v>
      </c>
      <c r="I83" s="540">
        <f t="shared" si="12"/>
        <v>6.1537865732044998E-2</v>
      </c>
      <c r="J83" s="540">
        <f t="shared" si="12"/>
        <v>-0.12438265200249014</v>
      </c>
      <c r="K83" s="540">
        <f t="shared" si="12"/>
        <v>0.31342003715878236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9"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572953</v>
      </c>
      <c r="D5" s="481">
        <v>139195</v>
      </c>
      <c r="E5" s="466">
        <v>198223</v>
      </c>
      <c r="F5" s="548">
        <v>76139</v>
      </c>
      <c r="G5" s="466">
        <v>93203</v>
      </c>
      <c r="H5" s="466">
        <v>0</v>
      </c>
      <c r="I5" s="466">
        <v>15665</v>
      </c>
      <c r="J5" s="467">
        <v>162817</v>
      </c>
      <c r="K5" s="466">
        <v>20356</v>
      </c>
    </row>
    <row r="6" spans="1:12" ht="15" x14ac:dyDescent="0.2">
      <c r="A6" s="463" t="s">
        <v>1662</v>
      </c>
      <c r="B6" s="470">
        <v>1130</v>
      </c>
      <c r="C6" s="466">
        <v>24472</v>
      </c>
      <c r="D6" s="466"/>
      <c r="E6" s="475"/>
      <c r="F6" s="475"/>
      <c r="G6" s="468"/>
      <c r="H6" s="468"/>
      <c r="I6" s="468"/>
      <c r="J6" s="468"/>
      <c r="K6" s="468"/>
    </row>
    <row r="7" spans="1:12" x14ac:dyDescent="0.2">
      <c r="A7" s="463" t="s">
        <v>110</v>
      </c>
      <c r="B7" s="549">
        <v>1140</v>
      </c>
      <c r="C7" s="466">
        <v>20356</v>
      </c>
      <c r="D7" s="466"/>
      <c r="E7" s="468"/>
      <c r="F7" s="467"/>
      <c r="G7" s="467"/>
      <c r="H7" s="467"/>
      <c r="I7" s="468"/>
      <c r="J7" s="468"/>
      <c r="K7" s="468"/>
    </row>
    <row r="8" spans="1:12" x14ac:dyDescent="0.2">
      <c r="A8" s="463" t="s">
        <v>413</v>
      </c>
      <c r="B8" s="470">
        <v>1150</v>
      </c>
      <c r="C8" s="475"/>
      <c r="D8" s="475"/>
      <c r="E8" s="477"/>
      <c r="F8" s="477"/>
      <c r="G8" s="481">
        <v>57727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617781</v>
      </c>
      <c r="D12" s="1707">
        <f t="shared" si="0"/>
        <v>139195</v>
      </c>
      <c r="E12" s="1707">
        <f t="shared" si="0"/>
        <v>198223</v>
      </c>
      <c r="F12" s="1707">
        <f t="shared" si="0"/>
        <v>76139</v>
      </c>
      <c r="G12" s="1707">
        <f t="shared" si="0"/>
        <v>150930</v>
      </c>
      <c r="H12" s="1707">
        <f t="shared" si="0"/>
        <v>0</v>
      </c>
      <c r="I12" s="1707">
        <f t="shared" si="0"/>
        <v>15665</v>
      </c>
      <c r="J12" s="1707">
        <f t="shared" si="0"/>
        <v>162817</v>
      </c>
      <c r="K12" s="1688">
        <f t="shared" si="0"/>
        <v>20356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6087</v>
      </c>
      <c r="D14" s="466">
        <v>1330</v>
      </c>
      <c r="E14" s="466">
        <v>1926</v>
      </c>
      <c r="F14" s="466">
        <v>738</v>
      </c>
      <c r="G14" s="466">
        <v>1368</v>
      </c>
      <c r="H14" s="466">
        <v>0</v>
      </c>
      <c r="I14" s="466">
        <v>149</v>
      </c>
      <c r="J14" s="467">
        <v>1395</v>
      </c>
      <c r="K14" s="466">
        <v>197</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57942</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64029</v>
      </c>
      <c r="D18" s="1710">
        <f t="shared" ref="D18:K18" si="1">SUM(D14:D17)</f>
        <v>1330</v>
      </c>
      <c r="E18" s="1710">
        <f t="shared" si="1"/>
        <v>1926</v>
      </c>
      <c r="F18" s="1710">
        <f t="shared" si="1"/>
        <v>738</v>
      </c>
      <c r="G18" s="1710">
        <f t="shared" si="1"/>
        <v>1368</v>
      </c>
      <c r="H18" s="1710">
        <f t="shared" si="1"/>
        <v>0</v>
      </c>
      <c r="I18" s="1710">
        <f t="shared" si="1"/>
        <v>149</v>
      </c>
      <c r="J18" s="1710">
        <f t="shared" si="1"/>
        <v>1395</v>
      </c>
      <c r="K18" s="1711">
        <f t="shared" si="1"/>
        <v>197</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105384</v>
      </c>
      <c r="D65" s="466">
        <v>401</v>
      </c>
      <c r="E65" s="466">
        <v>571</v>
      </c>
      <c r="F65" s="467">
        <v>219</v>
      </c>
      <c r="G65" s="466">
        <v>434</v>
      </c>
      <c r="H65" s="466">
        <v>0</v>
      </c>
      <c r="I65" s="466">
        <v>76</v>
      </c>
      <c r="J65" s="467">
        <v>468</v>
      </c>
      <c r="K65" s="466">
        <v>59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105384</v>
      </c>
      <c r="D67" s="1688">
        <f t="shared" ref="D67:K67" si="2">SUM(D65:D66)</f>
        <v>401</v>
      </c>
      <c r="E67" s="1688">
        <f t="shared" si="2"/>
        <v>571</v>
      </c>
      <c r="F67" s="1688">
        <f t="shared" si="2"/>
        <v>219</v>
      </c>
      <c r="G67" s="1688">
        <f t="shared" si="2"/>
        <v>434</v>
      </c>
      <c r="H67" s="1688">
        <f t="shared" si="2"/>
        <v>0</v>
      </c>
      <c r="I67" s="1688">
        <f t="shared" si="2"/>
        <v>76</v>
      </c>
      <c r="J67" s="1688">
        <f t="shared" si="2"/>
        <v>468</v>
      </c>
      <c r="K67" s="1688">
        <f t="shared" si="2"/>
        <v>59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35143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35143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12452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-1284</v>
      </c>
      <c r="D81" s="466"/>
      <c r="E81" s="468"/>
      <c r="F81" s="468"/>
      <c r="G81" s="468"/>
      <c r="H81" s="468"/>
      <c r="I81" s="468"/>
      <c r="J81" s="468"/>
      <c r="K81" s="468"/>
    </row>
    <row r="82" spans="1:11" ht="12.75" customHeight="1" thickBot="1" x14ac:dyDescent="0.25">
      <c r="A82" s="1708" t="s">
        <v>241</v>
      </c>
      <c r="B82" s="1709"/>
      <c r="C82" s="1707">
        <f>SUM(C77:C81)</f>
        <v>11168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8409</v>
      </c>
      <c r="D84" s="468"/>
      <c r="E84" s="468"/>
      <c r="F84" s="468"/>
      <c r="G84" s="468"/>
      <c r="H84" s="468"/>
      <c r="I84" s="468"/>
      <c r="J84" s="468"/>
      <c r="K84" s="468"/>
    </row>
    <row r="85" spans="1:11" ht="12.75" customHeight="1" x14ac:dyDescent="0.2">
      <c r="A85" s="463" t="s">
        <v>553</v>
      </c>
      <c r="B85" s="470">
        <v>1812</v>
      </c>
      <c r="C85" s="551">
        <v>753</v>
      </c>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9162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170745</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31426</v>
      </c>
      <c r="D107" s="466">
        <v>317</v>
      </c>
      <c r="E107" s="466"/>
      <c r="F107" s="466">
        <v>5569</v>
      </c>
      <c r="G107" s="466"/>
      <c r="H107" s="466"/>
      <c r="I107" s="466"/>
      <c r="J107" s="467"/>
      <c r="K107" s="466"/>
    </row>
    <row r="108" spans="1:12" ht="12.75" customHeight="1" thickBot="1" x14ac:dyDescent="0.25">
      <c r="A108" s="1708" t="s">
        <v>487</v>
      </c>
      <c r="B108" s="1712"/>
      <c r="C108" s="1707">
        <f>SUM(C95:C107)</f>
        <v>202171</v>
      </c>
      <c r="D108" s="1707">
        <f t="shared" ref="D108:K108" si="3">SUM(D95:D107)</f>
        <v>317</v>
      </c>
      <c r="E108" s="1707">
        <f t="shared" si="3"/>
        <v>0</v>
      </c>
      <c r="F108" s="1707">
        <f t="shared" si="3"/>
        <v>5569</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1044838</v>
      </c>
      <c r="D109" s="1715">
        <f t="shared" si="4"/>
        <v>141243</v>
      </c>
      <c r="E109" s="1715">
        <f t="shared" si="4"/>
        <v>200720</v>
      </c>
      <c r="F109" s="1715">
        <f t="shared" si="4"/>
        <v>82665</v>
      </c>
      <c r="G109" s="1715">
        <f t="shared" si="4"/>
        <v>152732</v>
      </c>
      <c r="H109" s="1715">
        <f t="shared" si="4"/>
        <v>0</v>
      </c>
      <c r="I109" s="1715">
        <f t="shared" si="4"/>
        <v>15890</v>
      </c>
      <c r="J109" s="1715">
        <f t="shared" si="4"/>
        <v>164680</v>
      </c>
      <c r="K109" s="1702">
        <f t="shared" si="4"/>
        <v>20612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1937015</v>
      </c>
      <c r="D117" s="481"/>
      <c r="E117" s="466"/>
      <c r="F117" s="481">
        <v>35000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v>170291</v>
      </c>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2107306</v>
      </c>
      <c r="D122" s="1707">
        <f t="shared" si="5"/>
        <v>0</v>
      </c>
      <c r="E122" s="1707">
        <f t="shared" si="5"/>
        <v>0</v>
      </c>
      <c r="F122" s="1707">
        <f t="shared" si="5"/>
        <v>35000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30741</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30741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13174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13174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1609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6309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113184</v>
      </c>
      <c r="G152" s="467"/>
      <c r="H152" s="468"/>
      <c r="I152" s="468"/>
      <c r="J152" s="468"/>
      <c r="K152" s="468"/>
    </row>
    <row r="153" spans="1:11" ht="12.75" customHeight="1" x14ac:dyDescent="0.2">
      <c r="A153" s="463" t="s">
        <v>1057</v>
      </c>
      <c r="B153" s="562">
        <v>3510</v>
      </c>
      <c r="C153" s="551"/>
      <c r="D153" s="466"/>
      <c r="E153" s="561"/>
      <c r="F153" s="466">
        <v>20890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134074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v>2127545</v>
      </c>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51833</v>
      </c>
      <c r="D169" s="1722">
        <f t="shared" si="6"/>
        <v>0</v>
      </c>
      <c r="E169" s="1722">
        <f t="shared" si="6"/>
        <v>0</v>
      </c>
      <c r="F169" s="1722">
        <f t="shared" si="6"/>
        <v>134074</v>
      </c>
      <c r="G169" s="1722">
        <f t="shared" si="6"/>
        <v>0</v>
      </c>
      <c r="H169" s="1722">
        <f t="shared" si="6"/>
        <v>2127545</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2159139</v>
      </c>
      <c r="D170" s="1715">
        <f t="shared" si="7"/>
        <v>0</v>
      </c>
      <c r="E170" s="1715">
        <f t="shared" si="7"/>
        <v>0</v>
      </c>
      <c r="F170" s="1715">
        <f t="shared" si="7"/>
        <v>169074</v>
      </c>
      <c r="G170" s="1715">
        <f t="shared" si="7"/>
        <v>0</v>
      </c>
      <c r="H170" s="1715">
        <f t="shared" si="7"/>
        <v>2127545</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68742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21835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90577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193764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193764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53806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32982</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371129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371129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3575106</v>
      </c>
      <c r="D268" s="1715">
        <f t="shared" si="12"/>
        <v>141243</v>
      </c>
      <c r="E268" s="1715">
        <f t="shared" si="12"/>
        <v>200720</v>
      </c>
      <c r="F268" s="1715">
        <f t="shared" si="12"/>
        <v>251739</v>
      </c>
      <c r="G268" s="1715">
        <f t="shared" si="12"/>
        <v>152732</v>
      </c>
      <c r="H268" s="1715">
        <f t="shared" si="12"/>
        <v>2127545</v>
      </c>
      <c r="I268" s="1715">
        <f t="shared" si="12"/>
        <v>15890</v>
      </c>
      <c r="J268" s="1715">
        <f t="shared" si="12"/>
        <v>164680</v>
      </c>
      <c r="K268" s="1702">
        <f t="shared" si="12"/>
        <v>20612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1" activePane="bottomLeft" state="frozen"/>
      <selection pane="bottomLeft" activeCell="L302" sqref="L30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856374</v>
      </c>
      <c r="D5" s="466">
        <v>254486</v>
      </c>
      <c r="E5" s="466">
        <v>40015</v>
      </c>
      <c r="F5" s="466">
        <v>59141</v>
      </c>
      <c r="G5" s="466">
        <v>23681</v>
      </c>
      <c r="H5" s="466">
        <v>1180</v>
      </c>
      <c r="I5" s="467"/>
      <c r="J5" s="467"/>
      <c r="K5" s="1671">
        <f>SUM(C5:J5)</f>
        <v>1234877</v>
      </c>
      <c r="L5" s="466">
        <v>1243495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267967</v>
      </c>
      <c r="D8" s="466">
        <v>56492</v>
      </c>
      <c r="E8" s="466">
        <v>472</v>
      </c>
      <c r="F8" s="466">
        <v>1876</v>
      </c>
      <c r="G8" s="466"/>
      <c r="H8" s="466"/>
      <c r="I8" s="467"/>
      <c r="J8" s="467"/>
      <c r="K8" s="1671">
        <f t="shared" si="0"/>
        <v>326807</v>
      </c>
      <c r="L8" s="466">
        <v>325733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70286</v>
      </c>
      <c r="D10" s="466">
        <v>32125</v>
      </c>
      <c r="E10" s="466">
        <v>26234</v>
      </c>
      <c r="F10" s="466"/>
      <c r="G10" s="466"/>
      <c r="H10" s="466"/>
      <c r="I10" s="467"/>
      <c r="J10" s="467"/>
      <c r="K10" s="1671">
        <f t="shared" si="0"/>
        <v>128645</v>
      </c>
      <c r="L10" s="466">
        <v>128646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102591</v>
      </c>
      <c r="D13" s="466"/>
      <c r="E13" s="466"/>
      <c r="F13" s="466">
        <v>3571</v>
      </c>
      <c r="G13" s="466"/>
      <c r="H13" s="466"/>
      <c r="I13" s="467"/>
      <c r="J13" s="467"/>
      <c r="K13" s="1671">
        <f t="shared" si="0"/>
        <v>106162</v>
      </c>
      <c r="L13" s="466">
        <v>106166</v>
      </c>
    </row>
    <row r="14" spans="1:14" x14ac:dyDescent="0.2">
      <c r="A14" s="1504" t="s">
        <v>963</v>
      </c>
      <c r="B14" s="614">
        <v>1500</v>
      </c>
      <c r="C14" s="466">
        <v>42427</v>
      </c>
      <c r="D14" s="466">
        <v>3655</v>
      </c>
      <c r="E14" s="466">
        <v>18400</v>
      </c>
      <c r="F14" s="466">
        <v>17039</v>
      </c>
      <c r="G14" s="466"/>
      <c r="H14" s="466">
        <v>656</v>
      </c>
      <c r="I14" s="467"/>
      <c r="J14" s="467"/>
      <c r="K14" s="1671">
        <f t="shared" si="0"/>
        <v>82177</v>
      </c>
      <c r="L14" s="466">
        <v>80226</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3425</v>
      </c>
      <c r="D17" s="467"/>
      <c r="E17" s="467"/>
      <c r="F17" s="467"/>
      <c r="G17" s="467"/>
      <c r="H17" s="467"/>
      <c r="I17" s="467"/>
      <c r="J17" s="467"/>
      <c r="K17" s="1671">
        <f t="shared" si="0"/>
        <v>3425</v>
      </c>
      <c r="L17" s="466">
        <v>3426</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1343070</v>
      </c>
      <c r="D33" s="1670">
        <f t="shared" ref="D33:L33" si="1">SUM(D5:D32)</f>
        <v>346758</v>
      </c>
      <c r="E33" s="1670">
        <f t="shared" si="1"/>
        <v>85121</v>
      </c>
      <c r="F33" s="1670">
        <f t="shared" si="1"/>
        <v>81627</v>
      </c>
      <c r="G33" s="1670">
        <f t="shared" si="1"/>
        <v>23681</v>
      </c>
      <c r="H33" s="1670">
        <f t="shared" si="1"/>
        <v>1836</v>
      </c>
      <c r="I33" s="1670">
        <f t="shared" si="1"/>
        <v>0</v>
      </c>
      <c r="J33" s="1670">
        <f t="shared" si="1"/>
        <v>0</v>
      </c>
      <c r="K33" s="1670">
        <f t="shared" si="1"/>
        <v>1882093</v>
      </c>
      <c r="L33" s="1670">
        <f t="shared" si="1"/>
        <v>1887692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64064</v>
      </c>
      <c r="D37" s="466">
        <v>8880</v>
      </c>
      <c r="E37" s="466"/>
      <c r="F37" s="466"/>
      <c r="G37" s="466"/>
      <c r="H37" s="466"/>
      <c r="I37" s="467"/>
      <c r="J37" s="467"/>
      <c r="K37" s="1671">
        <f t="shared" si="2"/>
        <v>72944</v>
      </c>
      <c r="L37" s="466">
        <v>73315</v>
      </c>
    </row>
    <row r="38" spans="1:14" x14ac:dyDescent="0.2">
      <c r="A38" s="1504" t="s">
        <v>198</v>
      </c>
      <c r="B38" s="614">
        <v>2130</v>
      </c>
      <c r="C38" s="466">
        <v>1697</v>
      </c>
      <c r="D38" s="466">
        <v>389</v>
      </c>
      <c r="E38" s="466"/>
      <c r="F38" s="466">
        <v>170</v>
      </c>
      <c r="G38" s="466"/>
      <c r="H38" s="466"/>
      <c r="I38" s="467"/>
      <c r="J38" s="467"/>
      <c r="K38" s="1671">
        <f t="shared" si="2"/>
        <v>2256</v>
      </c>
      <c r="L38" s="466">
        <v>2330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65761</v>
      </c>
      <c r="D42" s="1670">
        <f t="shared" ref="D42:L42" si="3">SUM(D36:D41)</f>
        <v>9269</v>
      </c>
      <c r="E42" s="1670">
        <f t="shared" si="3"/>
        <v>0</v>
      </c>
      <c r="F42" s="1670">
        <f t="shared" si="3"/>
        <v>170</v>
      </c>
      <c r="G42" s="1670">
        <f t="shared" si="3"/>
        <v>0</v>
      </c>
      <c r="H42" s="1670">
        <f t="shared" si="3"/>
        <v>0</v>
      </c>
      <c r="I42" s="1670">
        <f t="shared" si="3"/>
        <v>0</v>
      </c>
      <c r="J42" s="1670">
        <f t="shared" si="3"/>
        <v>0</v>
      </c>
      <c r="K42" s="1670">
        <f t="shared" si="3"/>
        <v>75200</v>
      </c>
      <c r="L42" s="1670">
        <f t="shared" si="3"/>
        <v>75645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12590</v>
      </c>
      <c r="D44" s="481"/>
      <c r="E44" s="481"/>
      <c r="F44" s="481">
        <v>3846</v>
      </c>
      <c r="G44" s="481"/>
      <c r="H44" s="481"/>
      <c r="I44" s="467"/>
      <c r="J44" s="467"/>
      <c r="K44" s="1672">
        <f>SUM(C44:J44)</f>
        <v>16436</v>
      </c>
      <c r="L44" s="481">
        <v>16440</v>
      </c>
    </row>
    <row r="45" spans="1:14" x14ac:dyDescent="0.2">
      <c r="A45" s="1504" t="s">
        <v>815</v>
      </c>
      <c r="B45" s="614">
        <v>2220</v>
      </c>
      <c r="C45" s="466"/>
      <c r="D45" s="466"/>
      <c r="E45" s="466">
        <v>7529</v>
      </c>
      <c r="F45" s="466">
        <v>14789</v>
      </c>
      <c r="G45" s="466">
        <v>16491</v>
      </c>
      <c r="H45" s="466"/>
      <c r="I45" s="467"/>
      <c r="J45" s="467"/>
      <c r="K45" s="1672">
        <f>SUM(C45:J45)</f>
        <v>38809</v>
      </c>
      <c r="L45" s="466">
        <v>38820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12590</v>
      </c>
      <c r="D47" s="1670">
        <f t="shared" ref="D47:K47" si="4">SUM(D44:D46)</f>
        <v>0</v>
      </c>
      <c r="E47" s="1670">
        <f t="shared" si="4"/>
        <v>7529</v>
      </c>
      <c r="F47" s="1670">
        <f t="shared" si="4"/>
        <v>18635</v>
      </c>
      <c r="G47" s="1670">
        <f t="shared" si="4"/>
        <v>16491</v>
      </c>
      <c r="H47" s="1670">
        <f t="shared" si="4"/>
        <v>0</v>
      </c>
      <c r="I47" s="1670">
        <f t="shared" si="4"/>
        <v>0</v>
      </c>
      <c r="J47" s="1670">
        <f t="shared" si="4"/>
        <v>0</v>
      </c>
      <c r="K47" s="1670">
        <f t="shared" si="4"/>
        <v>55245</v>
      </c>
      <c r="L47" s="1670">
        <f>SUM(L44:L46)</f>
        <v>55260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21528</v>
      </c>
      <c r="D49" s="481"/>
      <c r="E49" s="481">
        <v>40712</v>
      </c>
      <c r="F49" s="481">
        <v>2068</v>
      </c>
      <c r="G49" s="481"/>
      <c r="H49" s="481">
        <v>6840</v>
      </c>
      <c r="I49" s="467"/>
      <c r="J49" s="467"/>
      <c r="K49" s="1672">
        <f>SUM(C49:J49)</f>
        <v>71148</v>
      </c>
      <c r="L49" s="481">
        <v>71095</v>
      </c>
    </row>
    <row r="50" spans="1:14" x14ac:dyDescent="0.2">
      <c r="A50" s="1504" t="s">
        <v>818</v>
      </c>
      <c r="B50" s="614">
        <v>2320</v>
      </c>
      <c r="C50" s="466">
        <v>99672</v>
      </c>
      <c r="D50" s="466">
        <v>16173</v>
      </c>
      <c r="E50" s="466">
        <v>25</v>
      </c>
      <c r="F50" s="466"/>
      <c r="G50" s="466"/>
      <c r="H50" s="466">
        <v>1042</v>
      </c>
      <c r="I50" s="467"/>
      <c r="J50" s="467"/>
      <c r="K50" s="1672">
        <f>SUM(C50:J50)</f>
        <v>116912</v>
      </c>
      <c r="L50" s="466">
        <v>115570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121200</v>
      </c>
      <c r="D53" s="1670">
        <f t="shared" ref="D53:L53" si="5">SUM(D49:D52)</f>
        <v>16173</v>
      </c>
      <c r="E53" s="1670">
        <f t="shared" si="5"/>
        <v>40737</v>
      </c>
      <c r="F53" s="1670">
        <f t="shared" si="5"/>
        <v>2068</v>
      </c>
      <c r="G53" s="1670">
        <f t="shared" si="5"/>
        <v>0</v>
      </c>
      <c r="H53" s="1670">
        <f t="shared" si="5"/>
        <v>7882</v>
      </c>
      <c r="I53" s="1670">
        <f t="shared" si="5"/>
        <v>0</v>
      </c>
      <c r="J53" s="1670">
        <f t="shared" si="5"/>
        <v>0</v>
      </c>
      <c r="K53" s="1670">
        <f t="shared" si="5"/>
        <v>188060</v>
      </c>
      <c r="L53" s="1670">
        <f t="shared" si="5"/>
        <v>186665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76628</v>
      </c>
      <c r="D55" s="481">
        <v>9627</v>
      </c>
      <c r="E55" s="481"/>
      <c r="F55" s="481"/>
      <c r="G55" s="481"/>
      <c r="H55" s="481"/>
      <c r="I55" s="467"/>
      <c r="J55" s="467"/>
      <c r="K55" s="1672">
        <f>SUM(C55:J55)</f>
        <v>86255</v>
      </c>
      <c r="L55" s="481">
        <v>86260</v>
      </c>
    </row>
    <row r="56" spans="1:14" ht="12.75" customHeight="1" x14ac:dyDescent="0.2">
      <c r="A56" s="1508" t="s">
        <v>376</v>
      </c>
      <c r="B56" s="628">
        <v>2490</v>
      </c>
      <c r="C56" s="466">
        <v>19531</v>
      </c>
      <c r="D56" s="466">
        <v>4700</v>
      </c>
      <c r="E56" s="466">
        <v>1818</v>
      </c>
      <c r="F56" s="466">
        <v>471</v>
      </c>
      <c r="G56" s="466"/>
      <c r="H56" s="466"/>
      <c r="I56" s="467"/>
      <c r="J56" s="467"/>
      <c r="K56" s="1672">
        <f>SUM(C56:J56)</f>
        <v>26520</v>
      </c>
      <c r="L56" s="466">
        <v>26403</v>
      </c>
    </row>
    <row r="57" spans="1:14" s="343" customFormat="1" ht="12.75" customHeight="1" thickBot="1" x14ac:dyDescent="0.25">
      <c r="A57" s="1668" t="s">
        <v>263</v>
      </c>
      <c r="B57" s="1673" t="s">
        <v>34</v>
      </c>
      <c r="C57" s="1674">
        <f>SUM(C55:C56)</f>
        <v>96159</v>
      </c>
      <c r="D57" s="1674">
        <f t="shared" ref="D57:K57" si="6">SUM(D55:D56)</f>
        <v>14327</v>
      </c>
      <c r="E57" s="1674">
        <f t="shared" si="6"/>
        <v>1818</v>
      </c>
      <c r="F57" s="1674">
        <f t="shared" si="6"/>
        <v>471</v>
      </c>
      <c r="G57" s="1674">
        <f t="shared" si="6"/>
        <v>0</v>
      </c>
      <c r="H57" s="1674">
        <f t="shared" si="6"/>
        <v>0</v>
      </c>
      <c r="I57" s="1674">
        <f t="shared" si="6"/>
        <v>0</v>
      </c>
      <c r="J57" s="1674">
        <f t="shared" si="6"/>
        <v>0</v>
      </c>
      <c r="K57" s="1674">
        <f t="shared" si="6"/>
        <v>112775</v>
      </c>
      <c r="L57" s="1670">
        <f>SUM(L55:L56)</f>
        <v>112663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22528</v>
      </c>
      <c r="D60" s="466">
        <v>11169</v>
      </c>
      <c r="E60" s="466">
        <v>1623</v>
      </c>
      <c r="F60" s="466">
        <v>119</v>
      </c>
      <c r="G60" s="466"/>
      <c r="H60" s="466"/>
      <c r="I60" s="467"/>
      <c r="J60" s="467"/>
      <c r="K60" s="1672">
        <f t="shared" si="7"/>
        <v>35439</v>
      </c>
      <c r="L60" s="466">
        <v>35442</v>
      </c>
      <c r="M60" s="609"/>
      <c r="N60" s="609"/>
    </row>
    <row r="61" spans="1:14" s="343" customFormat="1" x14ac:dyDescent="0.2">
      <c r="A61" s="1504" t="s">
        <v>197</v>
      </c>
      <c r="B61" s="614">
        <v>2540</v>
      </c>
      <c r="C61" s="466">
        <v>520</v>
      </c>
      <c r="D61" s="466">
        <v>17567</v>
      </c>
      <c r="E61" s="466"/>
      <c r="F61" s="466"/>
      <c r="G61" s="466"/>
      <c r="H61" s="466"/>
      <c r="I61" s="467"/>
      <c r="J61" s="467"/>
      <c r="K61" s="1672">
        <f t="shared" si="7"/>
        <v>18087</v>
      </c>
      <c r="L61" s="466">
        <v>124040</v>
      </c>
      <c r="M61" s="609"/>
      <c r="N61" s="609"/>
    </row>
    <row r="62" spans="1:14" s="343" customFormat="1" x14ac:dyDescent="0.2">
      <c r="A62" s="1504" t="s">
        <v>953</v>
      </c>
      <c r="B62" s="614">
        <v>2550</v>
      </c>
      <c r="C62" s="466"/>
      <c r="D62" s="466">
        <v>37596</v>
      </c>
      <c r="E62" s="466">
        <v>68942</v>
      </c>
      <c r="F62" s="466"/>
      <c r="G62" s="466"/>
      <c r="H62" s="466"/>
      <c r="I62" s="467"/>
      <c r="J62" s="467"/>
      <c r="K62" s="1672">
        <f t="shared" si="7"/>
        <v>106538</v>
      </c>
      <c r="L62" s="466"/>
      <c r="M62" s="609"/>
      <c r="N62" s="609"/>
    </row>
    <row r="63" spans="1:14" s="609" customFormat="1" x14ac:dyDescent="0.2">
      <c r="A63" s="1504" t="s">
        <v>100</v>
      </c>
      <c r="B63" s="614">
        <v>2560</v>
      </c>
      <c r="C63" s="466">
        <v>41692</v>
      </c>
      <c r="D63" s="466">
        <v>15292</v>
      </c>
      <c r="E63" s="466">
        <v>3624</v>
      </c>
      <c r="F63" s="466">
        <v>65661</v>
      </c>
      <c r="G63" s="466">
        <v>7450</v>
      </c>
      <c r="H63" s="466"/>
      <c r="I63" s="467"/>
      <c r="J63" s="467"/>
      <c r="K63" s="1672">
        <f t="shared" si="7"/>
        <v>133719</v>
      </c>
      <c r="L63" s="466">
        <v>132832</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64740</v>
      </c>
      <c r="D65" s="1670">
        <f t="shared" ref="D65:L65" si="8">SUM(D59:D64)</f>
        <v>81624</v>
      </c>
      <c r="E65" s="1670">
        <f t="shared" si="8"/>
        <v>74189</v>
      </c>
      <c r="F65" s="1670">
        <f t="shared" si="8"/>
        <v>65780</v>
      </c>
      <c r="G65" s="1670">
        <f t="shared" si="8"/>
        <v>7450</v>
      </c>
      <c r="H65" s="1670">
        <f t="shared" si="8"/>
        <v>0</v>
      </c>
      <c r="I65" s="1670">
        <f t="shared" si="8"/>
        <v>0</v>
      </c>
      <c r="J65" s="1670">
        <f t="shared" si="8"/>
        <v>0</v>
      </c>
      <c r="K65" s="1670">
        <f t="shared" si="8"/>
        <v>293783</v>
      </c>
      <c r="L65" s="1670">
        <f t="shared" si="8"/>
        <v>292314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360450</v>
      </c>
      <c r="D74" s="1677">
        <f t="shared" ref="D74:K74" si="10">SUM(D42,D47,D53,D57,D65,D72,D73)</f>
        <v>121393</v>
      </c>
      <c r="E74" s="1677">
        <f t="shared" si="10"/>
        <v>124273</v>
      </c>
      <c r="F74" s="1677">
        <f t="shared" si="10"/>
        <v>87124</v>
      </c>
      <c r="G74" s="1677">
        <f t="shared" si="10"/>
        <v>23941</v>
      </c>
      <c r="H74" s="1677">
        <f t="shared" si="10"/>
        <v>7882</v>
      </c>
      <c r="I74" s="1677">
        <f t="shared" si="10"/>
        <v>0</v>
      </c>
      <c r="J74" s="1677">
        <f t="shared" si="10"/>
        <v>0</v>
      </c>
      <c r="K74" s="1677">
        <f t="shared" si="10"/>
        <v>725063</v>
      </c>
      <c r="L74" s="1677">
        <f>SUM(L42,L47,L53,L57,L65,L72,L73)</f>
        <v>722547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83138</v>
      </c>
      <c r="F79" s="616"/>
      <c r="G79" s="616"/>
      <c r="H79" s="466">
        <v>105581</v>
      </c>
      <c r="I79" s="477"/>
      <c r="J79" s="477"/>
      <c r="K79" s="1671">
        <f t="shared" si="11"/>
        <v>188719</v>
      </c>
      <c r="L79" s="466">
        <v>188721</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83138</v>
      </c>
      <c r="F84" s="616"/>
      <c r="G84" s="616"/>
      <c r="H84" s="1670">
        <f>SUM(H78:H83)</f>
        <v>105581</v>
      </c>
      <c r="I84" s="477"/>
      <c r="J84" s="477"/>
      <c r="K84" s="1670">
        <f>SUM(K78:K83)</f>
        <v>188719</v>
      </c>
      <c r="L84" s="1670">
        <f>SUM(L78:L83)</f>
        <v>188721</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83138</v>
      </c>
      <c r="F102" s="616"/>
      <c r="G102" s="616"/>
      <c r="H102" s="1677">
        <f>SUM(H84,H92,H100,H101)</f>
        <v>105581</v>
      </c>
      <c r="I102" s="477"/>
      <c r="J102" s="477"/>
      <c r="K102" s="1677">
        <f>SUM(K84,K92,K100,K101)</f>
        <v>188719</v>
      </c>
      <c r="L102" s="1677">
        <f>SUM(L84,L92,L100,L101)</f>
        <v>188721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1703520</v>
      </c>
      <c r="D114" s="1670">
        <f t="shared" ref="D114:K114" si="13">SUM(D33,D74,D75,D102,D112,D113)</f>
        <v>468151</v>
      </c>
      <c r="E114" s="1670">
        <f t="shared" si="13"/>
        <v>292532</v>
      </c>
      <c r="F114" s="1670">
        <f t="shared" si="13"/>
        <v>168751</v>
      </c>
      <c r="G114" s="1670">
        <f t="shared" si="13"/>
        <v>47622</v>
      </c>
      <c r="H114" s="1670">
        <f>SUM(H33,H74,H75,H102,H112,H113)</f>
        <v>115299</v>
      </c>
      <c r="I114" s="1670">
        <f t="shared" si="13"/>
        <v>0</v>
      </c>
      <c r="J114" s="1670">
        <f t="shared" si="13"/>
        <v>0</v>
      </c>
      <c r="K114" s="1670">
        <f t="shared" si="13"/>
        <v>2795875</v>
      </c>
      <c r="L114" s="1670">
        <f>SUM(L33,L74,L75,L102,L112,L113)</f>
        <v>2798960</v>
      </c>
    </row>
    <row r="115" spans="1:14" ht="13.5" thickTop="1" x14ac:dyDescent="0.2">
      <c r="A115" s="2157" t="s">
        <v>996</v>
      </c>
      <c r="B115" s="2158"/>
      <c r="C115" s="618"/>
      <c r="D115" s="618"/>
      <c r="E115" s="618"/>
      <c r="F115" s="618"/>
      <c r="G115" s="618"/>
      <c r="H115" s="618"/>
      <c r="I115" s="618"/>
      <c r="J115" s="618"/>
      <c r="K115" s="1684">
        <f>'Revenues 9-14'!C268-'Expenditures 15-22'!K114</f>
        <v>779231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73429</v>
      </c>
      <c r="D124" s="466"/>
      <c r="E124" s="466">
        <v>18341</v>
      </c>
      <c r="F124" s="466">
        <v>25332</v>
      </c>
      <c r="G124" s="466">
        <v>13951</v>
      </c>
      <c r="H124" s="466">
        <v>278</v>
      </c>
      <c r="I124" s="467"/>
      <c r="J124" s="467"/>
      <c r="K124" s="1670">
        <f>SUM(C124:J124)</f>
        <v>131331</v>
      </c>
      <c r="L124" s="466">
        <v>131340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73429</v>
      </c>
      <c r="D127" s="1670">
        <f t="shared" ref="D127:L127" si="14">SUM(D122:D126)</f>
        <v>0</v>
      </c>
      <c r="E127" s="1670">
        <f t="shared" si="14"/>
        <v>18341</v>
      </c>
      <c r="F127" s="1670">
        <f t="shared" si="14"/>
        <v>25332</v>
      </c>
      <c r="G127" s="1670">
        <f t="shared" si="14"/>
        <v>13951</v>
      </c>
      <c r="H127" s="1670">
        <f t="shared" si="14"/>
        <v>278</v>
      </c>
      <c r="I127" s="1670">
        <f t="shared" si="14"/>
        <v>0</v>
      </c>
      <c r="J127" s="1670">
        <f t="shared" si="14"/>
        <v>0</v>
      </c>
      <c r="K127" s="1670">
        <f t="shared" si="14"/>
        <v>131331</v>
      </c>
      <c r="L127" s="1670">
        <f t="shared" si="14"/>
        <v>131340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73429</v>
      </c>
      <c r="D129" s="1677">
        <f t="shared" ref="D129:L129" si="15">SUM(D120,D127,D128)</f>
        <v>0</v>
      </c>
      <c r="E129" s="1677">
        <f t="shared" si="15"/>
        <v>18341</v>
      </c>
      <c r="F129" s="1677">
        <f t="shared" si="15"/>
        <v>25332</v>
      </c>
      <c r="G129" s="1677">
        <f t="shared" si="15"/>
        <v>13951</v>
      </c>
      <c r="H129" s="1677">
        <f t="shared" si="15"/>
        <v>278</v>
      </c>
      <c r="I129" s="1677">
        <f t="shared" si="15"/>
        <v>0</v>
      </c>
      <c r="J129" s="1677">
        <f t="shared" si="15"/>
        <v>0</v>
      </c>
      <c r="K129" s="1677">
        <f t="shared" si="15"/>
        <v>131331</v>
      </c>
      <c r="L129" s="1677">
        <f t="shared" si="15"/>
        <v>131340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70">
        <f>SUM(C129,C130,C139,C149,C150)</f>
        <v>73429</v>
      </c>
      <c r="D151" s="1670">
        <f t="shared" ref="D151:K151" si="16">SUM(D129,D130,D139,D149,D150)</f>
        <v>0</v>
      </c>
      <c r="E151" s="1670">
        <f t="shared" si="16"/>
        <v>18341</v>
      </c>
      <c r="F151" s="1670">
        <f t="shared" si="16"/>
        <v>25332</v>
      </c>
      <c r="G151" s="1670">
        <f t="shared" si="16"/>
        <v>13951</v>
      </c>
      <c r="H151" s="1670">
        <f t="shared" si="16"/>
        <v>278</v>
      </c>
      <c r="I151" s="1670">
        <f t="shared" si="16"/>
        <v>0</v>
      </c>
      <c r="J151" s="1670">
        <f t="shared" si="16"/>
        <v>0</v>
      </c>
      <c r="K151" s="1670">
        <f t="shared" si="16"/>
        <v>131331</v>
      </c>
      <c r="L151" s="1670">
        <f>SUM(L129,L130,L139,L149,L150)</f>
        <v>131340</v>
      </c>
    </row>
    <row r="152" spans="1:14" ht="12.75" customHeight="1" thickTop="1" x14ac:dyDescent="0.2">
      <c r="A152" s="2177" t="s">
        <v>1178</v>
      </c>
      <c r="B152" s="2178"/>
      <c r="C152" s="618"/>
      <c r="D152" s="618"/>
      <c r="E152" s="618"/>
      <c r="F152" s="618"/>
      <c r="G152" s="618"/>
      <c r="H152" s="618"/>
      <c r="I152" s="618"/>
      <c r="J152" s="616"/>
      <c r="K152" s="1684">
        <f>'Revenues 9-14'!D268-'Expenditures 15-22'!K151</f>
        <v>9912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v>53859</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53859</v>
      </c>
    </row>
    <row r="169" spans="1:14" ht="15.75" customHeight="1" thickTop="1" x14ac:dyDescent="0.2">
      <c r="A169" s="669" t="s">
        <v>83</v>
      </c>
      <c r="B169" s="670" t="s">
        <v>38</v>
      </c>
      <c r="C169" s="616"/>
      <c r="D169" s="616"/>
      <c r="E169" s="616"/>
      <c r="F169" s="616"/>
      <c r="G169" s="616"/>
      <c r="H169" s="656">
        <v>93608</v>
      </c>
      <c r="I169" s="616"/>
      <c r="J169" s="616"/>
      <c r="K169" s="1671">
        <f>SUM(C169:H169)</f>
        <v>93608</v>
      </c>
      <c r="L169" s="656">
        <v>50000</v>
      </c>
    </row>
    <row r="170" spans="1:14" ht="33.75" customHeight="1" x14ac:dyDescent="0.2">
      <c r="A170" s="669" t="s">
        <v>1670</v>
      </c>
      <c r="B170" s="671" t="s">
        <v>31</v>
      </c>
      <c r="C170" s="616"/>
      <c r="D170" s="616"/>
      <c r="E170" s="616"/>
      <c r="F170" s="616"/>
      <c r="G170" s="616"/>
      <c r="H170" s="569">
        <v>106400</v>
      </c>
      <c r="I170" s="616"/>
      <c r="J170" s="616"/>
      <c r="K170" s="1671">
        <f>SUM(C170:J170)</f>
        <v>106400</v>
      </c>
      <c r="L170" s="569">
        <v>152241</v>
      </c>
    </row>
    <row r="171" spans="1:14" ht="15.75" customHeight="1" x14ac:dyDescent="0.2">
      <c r="A171" s="621" t="s">
        <v>766</v>
      </c>
      <c r="B171" s="672" t="s">
        <v>84</v>
      </c>
      <c r="C171" s="616"/>
      <c r="D171" s="616"/>
      <c r="E171" s="466"/>
      <c r="F171" s="616"/>
      <c r="G171" s="616"/>
      <c r="H171" s="569">
        <v>700</v>
      </c>
      <c r="I171" s="477"/>
      <c r="J171" s="616"/>
      <c r="K171" s="1671">
        <f>SUM(C171:J171)</f>
        <v>700</v>
      </c>
      <c r="L171" s="569">
        <v>700</v>
      </c>
    </row>
    <row r="172" spans="1:14" ht="12.75" customHeight="1" thickBot="1" x14ac:dyDescent="0.25">
      <c r="A172" s="1668" t="s">
        <v>638</v>
      </c>
      <c r="B172" s="1669" t="s">
        <v>492</v>
      </c>
      <c r="C172" s="616"/>
      <c r="D172" s="616"/>
      <c r="E172" s="1677">
        <f>SUM(E168,E169,E170,E171)</f>
        <v>0</v>
      </c>
      <c r="F172" s="616"/>
      <c r="G172" s="616"/>
      <c r="H172" s="1677">
        <f>SUM(H168,H169,H170,H171)</f>
        <v>200708</v>
      </c>
      <c r="I172" s="638"/>
      <c r="J172" s="616"/>
      <c r="K172" s="1677">
        <f>SUM(K168,K169,K170,K171)</f>
        <v>200708</v>
      </c>
      <c r="L172" s="1677">
        <f>SUM(L168,L169,L170,L171)</f>
        <v>256800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200708</v>
      </c>
      <c r="I174" s="638"/>
      <c r="J174" s="616"/>
      <c r="K174" s="1677">
        <f>SUM(K160,K172,K173)</f>
        <v>200708</v>
      </c>
      <c r="L174" s="1677">
        <f>SUM(L160,L172,L173)</f>
        <v>256800</v>
      </c>
    </row>
    <row r="175" spans="1:14" ht="13.5" thickTop="1" x14ac:dyDescent="0.2">
      <c r="A175" s="2157" t="s">
        <v>996</v>
      </c>
      <c r="B175" s="2158"/>
      <c r="C175" s="616"/>
      <c r="D175" s="616"/>
      <c r="E175" s="616"/>
      <c r="F175" s="616"/>
      <c r="G175" s="616"/>
      <c r="H175" s="618"/>
      <c r="I175" s="616"/>
      <c r="J175" s="616"/>
      <c r="K175" s="1684">
        <f>'Revenues 9-14'!E268-'Expenditures 15-22'!K174</f>
        <v>12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111048</v>
      </c>
      <c r="D182" s="466">
        <v>16976</v>
      </c>
      <c r="E182" s="466">
        <v>42380</v>
      </c>
      <c r="F182" s="466">
        <v>34893</v>
      </c>
      <c r="G182" s="466">
        <v>105220</v>
      </c>
      <c r="H182" s="466"/>
      <c r="I182" s="467"/>
      <c r="J182" s="467"/>
      <c r="K182" s="1671">
        <f>SUM(C182:J182)</f>
        <v>310517</v>
      </c>
      <c r="L182" s="466">
        <v>308877</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111048</v>
      </c>
      <c r="D184" s="1677">
        <f t="shared" ref="D184:J184" si="17">SUM(D180,D182,D183)</f>
        <v>16976</v>
      </c>
      <c r="E184" s="1677">
        <f t="shared" si="17"/>
        <v>42380</v>
      </c>
      <c r="F184" s="1677">
        <f t="shared" si="17"/>
        <v>34893</v>
      </c>
      <c r="G184" s="1677">
        <f t="shared" si="17"/>
        <v>105220</v>
      </c>
      <c r="H184" s="1677">
        <f t="shared" si="17"/>
        <v>0</v>
      </c>
      <c r="I184" s="1677">
        <f t="shared" si="17"/>
        <v>0</v>
      </c>
      <c r="J184" s="1677">
        <f t="shared" si="17"/>
        <v>0</v>
      </c>
      <c r="K184" s="1677">
        <f>SUM(K180,K182,K183)</f>
        <v>310517</v>
      </c>
      <c r="L184" s="1677">
        <f>SUM(L180, L182:L183)</f>
        <v>308877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111048</v>
      </c>
      <c r="D210" s="1670">
        <f>SUM(D184,D185)</f>
        <v>16976</v>
      </c>
      <c r="E210" s="1670">
        <f>SUM(E184,E185,E196)</f>
        <v>42380</v>
      </c>
      <c r="F210" s="1670">
        <f>SUM(F184,F185)</f>
        <v>34893</v>
      </c>
      <c r="G210" s="1670">
        <f>SUM(G184,G185)</f>
        <v>105220</v>
      </c>
      <c r="H210" s="1670">
        <f>SUM(H184,H185,H196,H208,H209)</f>
        <v>0</v>
      </c>
      <c r="I210" s="1670">
        <f>SUM(I184,I185)</f>
        <v>0</v>
      </c>
      <c r="J210" s="1670">
        <f>SUM(J184,J185)</f>
        <v>0</v>
      </c>
      <c r="K210" s="1671">
        <f>SUM(K184,K185,K196,K208,K209)</f>
        <v>310517</v>
      </c>
      <c r="L210" s="1670">
        <f>SUM(L184,L185,L196,L208,L209)</f>
        <v>308877</v>
      </c>
    </row>
    <row r="211" spans="1:14" ht="13.5" thickTop="1" x14ac:dyDescent="0.2">
      <c r="A211" s="2157" t="s">
        <v>996</v>
      </c>
      <c r="B211" s="2158"/>
      <c r="C211" s="618"/>
      <c r="D211" s="618"/>
      <c r="E211" s="618"/>
      <c r="F211" s="618"/>
      <c r="G211" s="618"/>
      <c r="H211" s="618"/>
      <c r="I211" s="616"/>
      <c r="J211" s="616"/>
      <c r="K211" s="1684">
        <f>'Revenues 9-14'!F268-'Expenditures 15-22'!K210</f>
        <v>-58778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12239</v>
      </c>
      <c r="E215" s="616"/>
      <c r="F215" s="616"/>
      <c r="G215" s="616"/>
      <c r="H215" s="616"/>
      <c r="I215" s="616"/>
      <c r="J215" s="616"/>
      <c r="K215" s="1671">
        <f>D215</f>
        <v>12239</v>
      </c>
      <c r="L215" s="466">
        <v>13000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30744</v>
      </c>
      <c r="E217" s="616"/>
      <c r="F217" s="616"/>
      <c r="G217" s="616"/>
      <c r="H217" s="616"/>
      <c r="I217" s="616"/>
      <c r="J217" s="616"/>
      <c r="K217" s="1671">
        <f t="shared" si="19"/>
        <v>30744</v>
      </c>
      <c r="L217" s="466">
        <v>31000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4400</v>
      </c>
      <c r="E219" s="616"/>
      <c r="F219" s="616"/>
      <c r="G219" s="616"/>
      <c r="H219" s="616"/>
      <c r="I219" s="616"/>
      <c r="J219" s="616"/>
      <c r="K219" s="1671">
        <f t="shared" si="19"/>
        <v>4400</v>
      </c>
      <c r="L219" s="466">
        <v>4400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1239</v>
      </c>
      <c r="E222" s="616"/>
      <c r="F222" s="616"/>
      <c r="G222" s="616"/>
      <c r="H222" s="616"/>
      <c r="I222" s="616"/>
      <c r="J222" s="616"/>
      <c r="K222" s="1671">
        <f t="shared" si="19"/>
        <v>1239</v>
      </c>
      <c r="L222" s="466">
        <v>1240</v>
      </c>
    </row>
    <row r="223" spans="1:14" x14ac:dyDescent="0.2">
      <c r="A223" s="1504" t="s">
        <v>963</v>
      </c>
      <c r="B223" s="614">
        <v>1500</v>
      </c>
      <c r="C223" s="616"/>
      <c r="D223" s="466">
        <v>2218</v>
      </c>
      <c r="E223" s="616"/>
      <c r="F223" s="616"/>
      <c r="G223" s="616"/>
      <c r="H223" s="616"/>
      <c r="I223" s="616"/>
      <c r="J223" s="616"/>
      <c r="K223" s="1671">
        <f t="shared" si="19"/>
        <v>2218</v>
      </c>
      <c r="L223" s="466">
        <v>2220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50840</v>
      </c>
      <c r="E229" s="616"/>
      <c r="F229" s="616"/>
      <c r="G229" s="616"/>
      <c r="H229" s="616"/>
      <c r="I229" s="616"/>
      <c r="J229" s="616"/>
      <c r="K229" s="1670">
        <f>SUM(K215:K228)</f>
        <v>50840</v>
      </c>
      <c r="L229" s="1670">
        <f>SUM(L215:L228)</f>
        <v>51860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929</v>
      </c>
      <c r="E233" s="616"/>
      <c r="F233" s="616"/>
      <c r="G233" s="616"/>
      <c r="H233" s="616"/>
      <c r="I233" s="616"/>
      <c r="J233" s="616"/>
      <c r="K233" s="1671">
        <f t="shared" si="20"/>
        <v>929</v>
      </c>
      <c r="L233" s="466">
        <v>1000</v>
      </c>
    </row>
    <row r="234" spans="1:12" x14ac:dyDescent="0.2">
      <c r="A234" s="1504" t="s">
        <v>198</v>
      </c>
      <c r="B234" s="614">
        <v>2130</v>
      </c>
      <c r="C234" s="616"/>
      <c r="D234" s="466">
        <v>284</v>
      </c>
      <c r="E234" s="616"/>
      <c r="F234" s="616"/>
      <c r="G234" s="616"/>
      <c r="H234" s="616"/>
      <c r="I234" s="616"/>
      <c r="J234" s="616"/>
      <c r="K234" s="1671">
        <f t="shared" si="20"/>
        <v>284</v>
      </c>
      <c r="L234" s="466">
        <v>300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1213</v>
      </c>
      <c r="E238" s="616"/>
      <c r="F238" s="616"/>
      <c r="G238" s="616"/>
      <c r="H238" s="616"/>
      <c r="I238" s="616"/>
      <c r="J238" s="616"/>
      <c r="K238" s="1670">
        <f>SUM(K232:K237)</f>
        <v>1213</v>
      </c>
      <c r="L238" s="1670">
        <f>SUM(L232:L237)</f>
        <v>1300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4808</v>
      </c>
      <c r="E245" s="616"/>
      <c r="F245" s="616"/>
      <c r="G245" s="616"/>
      <c r="H245" s="616"/>
      <c r="I245" s="616"/>
      <c r="J245" s="616"/>
      <c r="K245" s="1672">
        <f>D245</f>
        <v>4808</v>
      </c>
      <c r="L245" s="481">
        <v>4810</v>
      </c>
    </row>
    <row r="246" spans="1:12" x14ac:dyDescent="0.2">
      <c r="A246" s="1504" t="s">
        <v>818</v>
      </c>
      <c r="B246" s="614">
        <v>2320</v>
      </c>
      <c r="C246" s="616"/>
      <c r="D246" s="466">
        <v>1267</v>
      </c>
      <c r="E246" s="616"/>
      <c r="F246" s="616"/>
      <c r="G246" s="616"/>
      <c r="H246" s="616"/>
      <c r="I246" s="616"/>
      <c r="J246" s="616"/>
      <c r="K246" s="1672">
        <f t="shared" ref="K246:K256" si="21">D246</f>
        <v>1267</v>
      </c>
      <c r="L246" s="466">
        <v>1270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6075</v>
      </c>
      <c r="E257" s="616"/>
      <c r="F257" s="616"/>
      <c r="G257" s="616"/>
      <c r="H257" s="616"/>
      <c r="I257" s="616"/>
      <c r="J257" s="616"/>
      <c r="K257" s="1670">
        <f>SUM(K245:K256)</f>
        <v>6075</v>
      </c>
      <c r="L257" s="1670">
        <f>SUM(L245:L256)</f>
        <v>6080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1019</v>
      </c>
      <c r="E259" s="616"/>
      <c r="F259" s="616"/>
      <c r="G259" s="616"/>
      <c r="H259" s="616"/>
      <c r="I259" s="616"/>
      <c r="J259" s="616"/>
      <c r="K259" s="1672">
        <f>D259</f>
        <v>1019</v>
      </c>
      <c r="L259" s="481">
        <v>1020</v>
      </c>
    </row>
    <row r="260" spans="1:14" s="597" customFormat="1" x14ac:dyDescent="0.2">
      <c r="A260" s="1522" t="s">
        <v>1804</v>
      </c>
      <c r="B260" s="628">
        <v>2490</v>
      </c>
      <c r="C260" s="616"/>
      <c r="D260" s="466">
        <v>9950</v>
      </c>
      <c r="E260" s="616"/>
      <c r="F260" s="616"/>
      <c r="G260" s="616"/>
      <c r="H260" s="616"/>
      <c r="I260" s="616"/>
      <c r="J260" s="616"/>
      <c r="K260" s="1672">
        <f>D260</f>
        <v>9950</v>
      </c>
      <c r="L260" s="466">
        <v>10000</v>
      </c>
      <c r="M260" s="210"/>
      <c r="N260" s="210"/>
    </row>
    <row r="261" spans="1:14" ht="12.75" customHeight="1" thickBot="1" x14ac:dyDescent="0.25">
      <c r="A261" s="1692" t="s">
        <v>263</v>
      </c>
      <c r="B261" s="1697" t="s">
        <v>34</v>
      </c>
      <c r="C261" s="616"/>
      <c r="D261" s="1670">
        <f>SUM(D259:D260)</f>
        <v>10969</v>
      </c>
      <c r="E261" s="616"/>
      <c r="F261" s="616"/>
      <c r="G261" s="616"/>
      <c r="H261" s="616"/>
      <c r="I261" s="616"/>
      <c r="J261" s="616"/>
      <c r="K261" s="1670">
        <f>SUM(K259:K260)</f>
        <v>10969</v>
      </c>
      <c r="L261" s="1670">
        <f>SUM(L259:L260)</f>
        <v>11020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5006</v>
      </c>
      <c r="E264" s="616"/>
      <c r="F264" s="616"/>
      <c r="G264" s="616"/>
      <c r="H264" s="616"/>
      <c r="I264" s="616"/>
      <c r="J264" s="616"/>
      <c r="K264" s="1672">
        <f t="shared" ref="K264:K269" si="22">D264</f>
        <v>5006</v>
      </c>
      <c r="L264" s="466">
        <v>5010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20860</v>
      </c>
      <c r="E266" s="616"/>
      <c r="F266" s="616"/>
      <c r="G266" s="616"/>
      <c r="H266" s="616"/>
      <c r="I266" s="616"/>
      <c r="J266" s="616"/>
      <c r="K266" s="1672">
        <f t="shared" si="22"/>
        <v>20860</v>
      </c>
      <c r="L266" s="466">
        <v>20900</v>
      </c>
    </row>
    <row r="267" spans="1:14" x14ac:dyDescent="0.2">
      <c r="A267" s="1504" t="s">
        <v>953</v>
      </c>
      <c r="B267" s="614">
        <v>2550</v>
      </c>
      <c r="C267" s="616"/>
      <c r="D267" s="466">
        <v>23281</v>
      </c>
      <c r="E267" s="616"/>
      <c r="F267" s="616"/>
      <c r="G267" s="616"/>
      <c r="H267" s="616"/>
      <c r="I267" s="616"/>
      <c r="J267" s="616"/>
      <c r="K267" s="1672">
        <f t="shared" si="22"/>
        <v>23281</v>
      </c>
      <c r="L267" s="466">
        <v>22910</v>
      </c>
    </row>
    <row r="268" spans="1:14" x14ac:dyDescent="0.2">
      <c r="A268" s="1504" t="s">
        <v>100</v>
      </c>
      <c r="B268" s="614">
        <v>2560</v>
      </c>
      <c r="C268" s="616"/>
      <c r="D268" s="466">
        <v>9788</v>
      </c>
      <c r="E268" s="616"/>
      <c r="F268" s="616"/>
      <c r="G268" s="616"/>
      <c r="H268" s="616"/>
      <c r="I268" s="616"/>
      <c r="J268" s="616"/>
      <c r="K268" s="1672">
        <f t="shared" si="22"/>
        <v>9788</v>
      </c>
      <c r="L268" s="466">
        <v>9800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58935</v>
      </c>
      <c r="E270" s="616"/>
      <c r="F270" s="616"/>
      <c r="G270" s="616"/>
      <c r="H270" s="616"/>
      <c r="I270" s="616"/>
      <c r="J270" s="616"/>
      <c r="K270" s="1670">
        <f>SUM(K263:K269)</f>
        <v>58935</v>
      </c>
      <c r="L270" s="1670">
        <f>SUM(L263:L269)</f>
        <v>58620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77192</v>
      </c>
      <c r="E279" s="616"/>
      <c r="F279" s="616"/>
      <c r="G279" s="616"/>
      <c r="H279" s="616"/>
      <c r="I279" s="616"/>
      <c r="J279" s="616"/>
      <c r="K279" s="1677">
        <f>SUM(K238,K243,K257,K261,K270,K277,K278)</f>
        <v>77192</v>
      </c>
      <c r="L279" s="1677">
        <f>SUM(L238,L243,L257,L261,L270,L277,L278)</f>
        <v>77020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128032</v>
      </c>
      <c r="E295" s="616"/>
      <c r="F295" s="616"/>
      <c r="G295" s="616"/>
      <c r="H295" s="1670">
        <f>H293</f>
        <v>0</v>
      </c>
      <c r="I295" s="616"/>
      <c r="J295" s="616"/>
      <c r="K295" s="1670">
        <f>SUM(K229,K279,K280,K285,K293,K294)</f>
        <v>128032</v>
      </c>
      <c r="L295" s="1670">
        <f>SUM(L229,L279,L280,L285,L293,L294)</f>
        <v>128880</v>
      </c>
    </row>
    <row r="296" spans="1:14" ht="13.5" thickTop="1" x14ac:dyDescent="0.2">
      <c r="A296" s="2157" t="s">
        <v>996</v>
      </c>
      <c r="B296" s="2158"/>
      <c r="C296" s="616"/>
      <c r="D296" s="618"/>
      <c r="E296" s="616"/>
      <c r="F296" s="616"/>
      <c r="G296" s="616"/>
      <c r="H296" s="687"/>
      <c r="I296" s="616"/>
      <c r="J296" s="616"/>
      <c r="K296" s="1684">
        <f>'Revenues 9-14'!G268-'Expenditures 15-22'!K295</f>
        <v>24700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3387452</v>
      </c>
      <c r="F301" s="466"/>
      <c r="G301" s="466"/>
      <c r="H301" s="466"/>
      <c r="I301" s="467"/>
      <c r="J301" s="467"/>
      <c r="K301" s="1671">
        <f>SUM(C301:J301)</f>
        <v>3387452</v>
      </c>
      <c r="L301" s="467">
        <v>3387452</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3387452</v>
      </c>
      <c r="F303" s="1677">
        <f t="shared" si="23"/>
        <v>0</v>
      </c>
      <c r="G303" s="1677">
        <f t="shared" si="23"/>
        <v>0</v>
      </c>
      <c r="H303" s="1677">
        <f t="shared" si="23"/>
        <v>0</v>
      </c>
      <c r="I303" s="1677">
        <f t="shared" si="23"/>
        <v>0</v>
      </c>
      <c r="J303" s="1677">
        <f t="shared" si="23"/>
        <v>0</v>
      </c>
      <c r="K303" s="1677">
        <f t="shared" si="23"/>
        <v>3387452</v>
      </c>
      <c r="L303" s="1677">
        <f t="shared" si="23"/>
        <v>3387452</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3387452</v>
      </c>
      <c r="F312" s="1670">
        <f>SUM(F303)</f>
        <v>0</v>
      </c>
      <c r="G312" s="1670">
        <f>SUM(G303)</f>
        <v>0</v>
      </c>
      <c r="H312" s="1670">
        <f>SUM(H303,H310)</f>
        <v>0</v>
      </c>
      <c r="I312" s="1670">
        <f>SUM(I303)</f>
        <v>0</v>
      </c>
      <c r="J312" s="1670">
        <f>SUM(J303)</f>
        <v>0</v>
      </c>
      <c r="K312" s="1670">
        <f>SUM(K303,K310,K311)</f>
        <v>3387452</v>
      </c>
      <c r="L312" s="1670">
        <f>SUM(L303,L310,L311)</f>
        <v>3387452</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-1259907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55435</v>
      </c>
      <c r="F320" s="467"/>
      <c r="G320" s="467"/>
      <c r="H320" s="467"/>
      <c r="I320" s="467"/>
      <c r="J320" s="467"/>
      <c r="K320" s="1671">
        <f t="shared" ref="K320:K327" si="24">SUM(C320:J320)</f>
        <v>55435</v>
      </c>
      <c r="L320" s="467">
        <v>21675</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1800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31964</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104336</v>
      </c>
      <c r="D325" s="467"/>
      <c r="E325" s="467">
        <v>10903</v>
      </c>
      <c r="F325" s="467"/>
      <c r="G325" s="467"/>
      <c r="H325" s="467"/>
      <c r="I325" s="467"/>
      <c r="J325" s="467"/>
      <c r="K325" s="1671">
        <f t="shared" si="24"/>
        <v>115239</v>
      </c>
      <c r="L325" s="467">
        <v>101081</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104336</v>
      </c>
      <c r="D330" s="1670">
        <f t="shared" ref="D330:J330" si="25">SUM(D319:D329)</f>
        <v>0</v>
      </c>
      <c r="E330" s="1670">
        <f t="shared" si="25"/>
        <v>66338</v>
      </c>
      <c r="F330" s="1670">
        <f t="shared" si="25"/>
        <v>0</v>
      </c>
      <c r="G330" s="1670">
        <f t="shared" si="25"/>
        <v>0</v>
      </c>
      <c r="H330" s="1670">
        <f t="shared" si="25"/>
        <v>0</v>
      </c>
      <c r="I330" s="1670">
        <f t="shared" si="25"/>
        <v>0</v>
      </c>
      <c r="J330" s="1670">
        <f t="shared" si="25"/>
        <v>0</v>
      </c>
      <c r="K330" s="1670">
        <f>SUM(K319:K329)</f>
        <v>170674</v>
      </c>
      <c r="L330" s="1670">
        <f>SUM(L319:L329)</f>
        <v>156520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104336</v>
      </c>
      <c r="D342" s="1670">
        <f>SUM(D330)</f>
        <v>0</v>
      </c>
      <c r="E342" s="1670">
        <f>SUM(E330)</f>
        <v>66338</v>
      </c>
      <c r="F342" s="1670">
        <f>SUM(F330)</f>
        <v>0</v>
      </c>
      <c r="G342" s="1670">
        <f>SUM(G330)</f>
        <v>0</v>
      </c>
      <c r="H342" s="1670">
        <f>SUM(H330,H334,H340)</f>
        <v>0</v>
      </c>
      <c r="I342" s="1670">
        <f>SUM(I330)</f>
        <v>0</v>
      </c>
      <c r="J342" s="1670">
        <f>SUM(J330)</f>
        <v>0</v>
      </c>
      <c r="K342" s="1670">
        <f>SUM(K330,K334,K340)</f>
        <v>170674</v>
      </c>
      <c r="L342" s="1677">
        <f>SUM(L330,L334,L340,L341)</f>
        <v>156520</v>
      </c>
    </row>
    <row r="343" spans="1:14" ht="12.75" customHeight="1" thickTop="1" x14ac:dyDescent="0.2">
      <c r="A343" s="2170" t="s">
        <v>996</v>
      </c>
      <c r="B343" s="2171"/>
      <c r="C343" s="616"/>
      <c r="D343" s="616"/>
      <c r="E343" s="616"/>
      <c r="F343" s="616"/>
      <c r="G343" s="616"/>
      <c r="H343" s="616"/>
      <c r="I343" s="616"/>
      <c r="J343" s="616"/>
      <c r="K343" s="1684">
        <f>'Revenues 9-14'!J268-'Expenditures 15-22'!K342</f>
        <v>-5994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11218</v>
      </c>
      <c r="F349" s="466">
        <v>2815</v>
      </c>
      <c r="G349" s="466"/>
      <c r="H349" s="466"/>
      <c r="I349" s="467"/>
      <c r="J349" s="467"/>
      <c r="K349" s="1671">
        <f>SUM(C349:J349)</f>
        <v>14033</v>
      </c>
      <c r="L349" s="466">
        <v>14420</v>
      </c>
    </row>
    <row r="350" spans="1:14" ht="12.75" customHeight="1" thickBot="1" x14ac:dyDescent="0.25">
      <c r="A350" s="1668" t="s">
        <v>719</v>
      </c>
      <c r="B350" s="1669" t="s">
        <v>35</v>
      </c>
      <c r="C350" s="1670">
        <f>SUM(C348:C349)</f>
        <v>0</v>
      </c>
      <c r="D350" s="1670">
        <f t="shared" ref="D350:L350" si="26">SUM(D348:D349)</f>
        <v>0</v>
      </c>
      <c r="E350" s="1670">
        <f t="shared" si="26"/>
        <v>11218</v>
      </c>
      <c r="F350" s="1670">
        <f t="shared" si="26"/>
        <v>2815</v>
      </c>
      <c r="G350" s="1670">
        <f t="shared" si="26"/>
        <v>0</v>
      </c>
      <c r="H350" s="1670">
        <f t="shared" si="26"/>
        <v>0</v>
      </c>
      <c r="I350" s="1670">
        <f t="shared" si="26"/>
        <v>0</v>
      </c>
      <c r="J350" s="1670">
        <f t="shared" si="26"/>
        <v>0</v>
      </c>
      <c r="K350" s="1670">
        <f t="shared" si="26"/>
        <v>14033</v>
      </c>
      <c r="L350" s="1670">
        <f t="shared" si="26"/>
        <v>14420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11218</v>
      </c>
      <c r="F352" s="1670">
        <f t="shared" si="27"/>
        <v>2815</v>
      </c>
      <c r="G352" s="1670">
        <f t="shared" si="27"/>
        <v>0</v>
      </c>
      <c r="H352" s="1670">
        <f t="shared" si="27"/>
        <v>0</v>
      </c>
      <c r="I352" s="1670">
        <f t="shared" si="27"/>
        <v>0</v>
      </c>
      <c r="J352" s="1670">
        <f t="shared" si="27"/>
        <v>0</v>
      </c>
      <c r="K352" s="1670">
        <f t="shared" si="27"/>
        <v>14033</v>
      </c>
      <c r="L352" s="1670">
        <f t="shared" si="27"/>
        <v>14420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11218</v>
      </c>
      <c r="F367" s="1670">
        <f t="shared" si="28"/>
        <v>2815</v>
      </c>
      <c r="G367" s="1670">
        <f t="shared" si="28"/>
        <v>0</v>
      </c>
      <c r="H367" s="1670">
        <f t="shared" si="28"/>
        <v>0</v>
      </c>
      <c r="I367" s="1670">
        <f t="shared" si="28"/>
        <v>0</v>
      </c>
      <c r="J367" s="1670">
        <f t="shared" si="28"/>
        <v>0</v>
      </c>
      <c r="K367" s="1670">
        <f t="shared" si="28"/>
        <v>14033</v>
      </c>
      <c r="L367" s="1670">
        <f t="shared" si="28"/>
        <v>14420</v>
      </c>
    </row>
    <row r="368" spans="1:14" ht="13.5" thickTop="1" x14ac:dyDescent="0.2">
      <c r="A368" s="2157" t="s">
        <v>996</v>
      </c>
      <c r="B368" s="2158"/>
      <c r="C368" s="654"/>
      <c r="D368" s="654"/>
      <c r="E368" s="626"/>
      <c r="F368" s="626"/>
      <c r="G368" s="626"/>
      <c r="H368" s="626"/>
      <c r="I368" s="626"/>
      <c r="J368" s="623"/>
      <c r="K368" s="1671">
        <f>'Revenues 9-14'!K268-'Expenditures 15-22'!K367</f>
        <v>6579</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terms/"/>
    <ds:schemaRef ds:uri="http://purl.org/dc/dcmitype/"/>
    <ds:schemaRef ds:uri="http://schemas.microsoft.com/office/2006/metadata/properties"/>
    <ds:schemaRef ds:uri="http://schemas.openxmlformats.org/package/2006/metadata/core-properties"/>
    <ds:schemaRef ds:uri="http://schemas.microsoft.com/office/infopath/2007/PartnerControls"/>
    <ds:schemaRef ds:uri="4d435f69-8686-490b-bd6d-b153bf22ab50"/>
    <ds:schemaRef ds:uri="d21dc803-237d-4c68-8692-8d731fd29118"/>
    <ds:schemaRef ds:uri="http://schemas.microsoft.com/office/2006/documentManagement/types"/>
    <ds:schemaRef ds:uri="6ce3111e-7420-4802-b50a-75d4e9a0b980"/>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2019-10-09T13:46:49Z</cp:lastPrinted>
  <dcterms:created xsi:type="dcterms:W3CDTF">2003-10-29T19:06:34Z</dcterms:created>
  <dcterms:modified xsi:type="dcterms:W3CDTF">2019-11-22T14:43:35Z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